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29"/>
  <workbookPr filterPrivacy="1" codeName="ThisWorkbook" defaultThemeVersion="124226"/>
  <xr:revisionPtr revIDLastSave="0" documentId="13_ncr:1_{50A94F9F-9E7D-420C-894C-2C720E4C4F75}" xr6:coauthVersionLast="43" xr6:coauthVersionMax="43" xr10:uidLastSave="{00000000-0000-0000-0000-000000000000}"/>
  <bookViews>
    <workbookView xWindow="-120" yWindow="-120" windowWidth="29040" windowHeight="15840" activeTab="6" xr2:uid="{00000000-000D-0000-FFFF-FFFF00000000}"/>
  </bookViews>
  <sheets>
    <sheet name="Introduction" sheetId="13" r:id="rId1"/>
    <sheet name="Carbon factors" sheetId="2" r:id="rId2"/>
    <sheet name="Baseline" sheetId="1" r:id="rId3"/>
    <sheet name="Be Lean" sheetId="8" r:id="rId4"/>
    <sheet name="Be Clean" sheetId="9" r:id="rId5"/>
    <sheet name="Be Green" sheetId="10" r:id="rId6"/>
    <sheet name="GLA Summary tables" sheetId="5" r:id="rId7"/>
    <sheet name="Version control" sheetId="12" r:id="rId8"/>
  </sheets>
  <externalReferences>
    <externalReference r:id="rId9"/>
  </externalReferences>
  <definedNames>
    <definedName name="__123Graph_A" hidden="1">'[1]Dec97 Efficiency'!$B$35:$AF$35</definedName>
    <definedName name="__123Graph_Amarch98" hidden="1">'[1]mar 98 eff'!$B$35:$AF$35</definedName>
    <definedName name="__123Graph_X" hidden="1">'[1]Dec97 Efficiency'!$B$5:$AF$5</definedName>
    <definedName name="_Order1" hidden="1">255</definedName>
    <definedName name="_Order2" hidden="1">255</definedName>
    <definedName name="Fuel_Type">'Carbon factors'!$A$4:$A$10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73" i="5" l="1"/>
  <c r="G74" i="5"/>
  <c r="C12" i="5"/>
  <c r="C11" i="5"/>
  <c r="I38" i="5"/>
  <c r="I37" i="5"/>
  <c r="I36" i="5"/>
  <c r="C38" i="5"/>
  <c r="C37" i="5"/>
  <c r="C36" i="5"/>
  <c r="C35" i="5"/>
  <c r="D7" i="1" l="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6" i="1"/>
  <c r="C9" i="5" l="1"/>
  <c r="C10" i="5"/>
  <c r="I12" i="5"/>
  <c r="I11" i="5"/>
  <c r="I10" i="5"/>
  <c r="T19" i="10" l="1"/>
  <c r="M19" i="10"/>
  <c r="K19" i="10"/>
  <c r="I19" i="10"/>
  <c r="G19" i="10"/>
  <c r="L18" i="8"/>
  <c r="I18" i="8"/>
  <c r="G18" i="8"/>
  <c r="T17" i="10"/>
  <c r="M17" i="10"/>
  <c r="K17" i="10"/>
  <c r="I17" i="10"/>
  <c r="G17" i="10"/>
  <c r="L16" i="8"/>
  <c r="I16" i="8"/>
  <c r="G16" i="8"/>
  <c r="T50" i="10" l="1"/>
  <c r="M50" i="10"/>
  <c r="K50" i="10"/>
  <c r="I50" i="10"/>
  <c r="G50" i="10"/>
  <c r="L49" i="8"/>
  <c r="I49" i="8"/>
  <c r="G49" i="8"/>
  <c r="T49" i="10"/>
  <c r="M49" i="10"/>
  <c r="K49" i="10"/>
  <c r="I49" i="10"/>
  <c r="G49" i="10"/>
  <c r="L48" i="8"/>
  <c r="I48" i="8"/>
  <c r="G48" i="8"/>
  <c r="T48" i="10"/>
  <c r="M48" i="10"/>
  <c r="K48" i="10"/>
  <c r="I48" i="10"/>
  <c r="G48" i="10"/>
  <c r="L47" i="8"/>
  <c r="I47" i="8"/>
  <c r="G47" i="8"/>
  <c r="T47" i="10" l="1"/>
  <c r="M47" i="10"/>
  <c r="K47" i="10"/>
  <c r="I47" i="10"/>
  <c r="G47" i="10"/>
  <c r="L46" i="8"/>
  <c r="I46" i="8"/>
  <c r="G46" i="8"/>
  <c r="T46" i="10"/>
  <c r="M46" i="10"/>
  <c r="K46" i="10"/>
  <c r="I46" i="10"/>
  <c r="G46" i="10"/>
  <c r="L45" i="8"/>
  <c r="I45" i="8"/>
  <c r="G45" i="8"/>
  <c r="T45" i="10"/>
  <c r="M45" i="10"/>
  <c r="K45" i="10"/>
  <c r="I45" i="10"/>
  <c r="G45" i="10"/>
  <c r="L44" i="8"/>
  <c r="O45" i="9" s="1"/>
  <c r="I44" i="8"/>
  <c r="G44" i="8"/>
  <c r="G45" i="9" s="1"/>
  <c r="T44" i="10"/>
  <c r="M44" i="10"/>
  <c r="K44" i="10"/>
  <c r="I44" i="10"/>
  <c r="G44" i="10"/>
  <c r="L43" i="8"/>
  <c r="I43" i="8"/>
  <c r="G43" i="8"/>
  <c r="G44" i="9" s="1"/>
  <c r="T43" i="10"/>
  <c r="M43" i="10"/>
  <c r="K43" i="10"/>
  <c r="I43" i="10"/>
  <c r="G43" i="10"/>
  <c r="L42" i="8"/>
  <c r="O43" i="9" s="1"/>
  <c r="I42" i="8"/>
  <c r="G42" i="8"/>
  <c r="T42" i="10"/>
  <c r="M42" i="10"/>
  <c r="K42" i="10"/>
  <c r="I42" i="10"/>
  <c r="G42" i="10"/>
  <c r="T51" i="10"/>
  <c r="T52" i="10"/>
  <c r="T53" i="10"/>
  <c r="M51" i="10"/>
  <c r="K51" i="10"/>
  <c r="I51" i="10"/>
  <c r="G51" i="10"/>
  <c r="P43" i="9"/>
  <c r="P44" i="9"/>
  <c r="P45" i="9"/>
  <c r="P46" i="9"/>
  <c r="P47" i="9"/>
  <c r="P48" i="9"/>
  <c r="P49" i="9"/>
  <c r="P50" i="9"/>
  <c r="P51" i="9"/>
  <c r="P52" i="9"/>
  <c r="O44" i="9"/>
  <c r="O46" i="9"/>
  <c r="O47" i="9"/>
  <c r="O48" i="9"/>
  <c r="O49" i="9"/>
  <c r="O50" i="9"/>
  <c r="O51" i="9"/>
  <c r="N43" i="9"/>
  <c r="N44" i="9"/>
  <c r="N45" i="9"/>
  <c r="N46" i="9"/>
  <c r="N47" i="9"/>
  <c r="N48" i="9"/>
  <c r="N49" i="9"/>
  <c r="N50" i="9"/>
  <c r="N51" i="9"/>
  <c r="N52" i="9"/>
  <c r="I42" i="9"/>
  <c r="I43" i="9"/>
  <c r="I44" i="9"/>
  <c r="I45" i="9"/>
  <c r="I46" i="9"/>
  <c r="I47" i="9"/>
  <c r="I48" i="9"/>
  <c r="I49" i="9"/>
  <c r="I50" i="9"/>
  <c r="G42" i="9"/>
  <c r="G43" i="9"/>
  <c r="G46" i="9"/>
  <c r="G47" i="9"/>
  <c r="G48" i="9"/>
  <c r="G49" i="9"/>
  <c r="G50" i="9"/>
  <c r="F42" i="9"/>
  <c r="F43" i="9"/>
  <c r="F44" i="9"/>
  <c r="F45" i="9"/>
  <c r="F46" i="9"/>
  <c r="F47" i="9"/>
  <c r="F48" i="9"/>
  <c r="F49" i="9"/>
  <c r="F50" i="9"/>
  <c r="F51" i="9"/>
  <c r="F52" i="9"/>
  <c r="L41" i="8"/>
  <c r="I41" i="8"/>
  <c r="G41" i="8"/>
  <c r="O52" i="9"/>
  <c r="I51" i="9"/>
  <c r="I52" i="9"/>
  <c r="G51" i="9"/>
  <c r="G52" i="9"/>
  <c r="T41" i="10" l="1"/>
  <c r="M41" i="10"/>
  <c r="K41" i="10"/>
  <c r="I41" i="10"/>
  <c r="G41" i="10"/>
  <c r="L40" i="8"/>
  <c r="I40" i="8"/>
  <c r="G40" i="8"/>
  <c r="T40" i="10"/>
  <c r="M40" i="10"/>
  <c r="K40" i="10"/>
  <c r="I40" i="10"/>
  <c r="G40" i="10"/>
  <c r="L39" i="8"/>
  <c r="I39" i="8"/>
  <c r="G39" i="8"/>
  <c r="T39" i="10"/>
  <c r="M39" i="10"/>
  <c r="K39" i="10"/>
  <c r="I39" i="10"/>
  <c r="G39" i="10"/>
  <c r="L38" i="8"/>
  <c r="I38" i="8"/>
  <c r="G38" i="8"/>
  <c r="G39" i="9" s="1"/>
  <c r="T38" i="10"/>
  <c r="M38" i="10"/>
  <c r="K38" i="10"/>
  <c r="I38" i="10"/>
  <c r="G38" i="10"/>
  <c r="L37" i="8"/>
  <c r="O38" i="9" s="1"/>
  <c r="I37" i="8"/>
  <c r="G37" i="8"/>
  <c r="G38" i="9" s="1"/>
  <c r="T37" i="10"/>
  <c r="M37" i="10"/>
  <c r="K37" i="10"/>
  <c r="I37" i="10"/>
  <c r="G37" i="10"/>
  <c r="L36" i="8"/>
  <c r="I36" i="8"/>
  <c r="G36" i="8"/>
  <c r="T36" i="10"/>
  <c r="M36" i="10"/>
  <c r="K36" i="10"/>
  <c r="I36" i="10"/>
  <c r="G36" i="10"/>
  <c r="F36" i="9"/>
  <c r="F37" i="9"/>
  <c r="F38" i="9"/>
  <c r="F39" i="9"/>
  <c r="F40" i="9"/>
  <c r="F41" i="9"/>
  <c r="L35" i="8"/>
  <c r="I35" i="8"/>
  <c r="G35" i="8"/>
  <c r="G36" i="9" s="1"/>
  <c r="T35" i="10"/>
  <c r="M35" i="10"/>
  <c r="K35" i="10"/>
  <c r="I35" i="10"/>
  <c r="G35" i="10"/>
  <c r="P36" i="9"/>
  <c r="P37" i="9"/>
  <c r="P38" i="9"/>
  <c r="P39" i="9"/>
  <c r="P40" i="9"/>
  <c r="P41" i="9"/>
  <c r="P42" i="9"/>
  <c r="O36" i="9"/>
  <c r="O37" i="9"/>
  <c r="O39" i="9"/>
  <c r="O40" i="9"/>
  <c r="O41" i="9"/>
  <c r="O42" i="9"/>
  <c r="N36" i="9"/>
  <c r="N37" i="9"/>
  <c r="N38" i="9"/>
  <c r="N39" i="9"/>
  <c r="N40" i="9"/>
  <c r="N41" i="9"/>
  <c r="N42" i="9"/>
  <c r="I36" i="9"/>
  <c r="I37" i="9"/>
  <c r="I38" i="9"/>
  <c r="I39" i="9"/>
  <c r="I40" i="9"/>
  <c r="I41" i="9"/>
  <c r="G37" i="9"/>
  <c r="G40" i="9"/>
  <c r="G41" i="9"/>
  <c r="L34" i="8"/>
  <c r="I34" i="8"/>
  <c r="I35" i="9" s="1"/>
  <c r="G34" i="8"/>
  <c r="G35" i="9" s="1"/>
  <c r="T34" i="10"/>
  <c r="M34" i="10"/>
  <c r="K34" i="10"/>
  <c r="I34" i="10"/>
  <c r="G34" i="10"/>
  <c r="L33" i="8"/>
  <c r="I33" i="8"/>
  <c r="G33" i="8"/>
  <c r="T33" i="10"/>
  <c r="M33" i="10"/>
  <c r="K33" i="10"/>
  <c r="I33" i="10"/>
  <c r="G33" i="10"/>
  <c r="L32" i="8"/>
  <c r="I32" i="8"/>
  <c r="I33" i="9" s="1"/>
  <c r="G32" i="8"/>
  <c r="T32" i="10"/>
  <c r="M32" i="10"/>
  <c r="K32" i="10"/>
  <c r="I32" i="10"/>
  <c r="G32" i="10"/>
  <c r="L31" i="8"/>
  <c r="I31" i="8"/>
  <c r="I32" i="9" s="1"/>
  <c r="G31" i="8"/>
  <c r="G32" i="9" s="1"/>
  <c r="T31" i="10"/>
  <c r="M31" i="10"/>
  <c r="K31" i="10"/>
  <c r="I31" i="10"/>
  <c r="G31" i="10"/>
  <c r="L30" i="8"/>
  <c r="I30" i="8"/>
  <c r="I31" i="9" s="1"/>
  <c r="G30" i="8"/>
  <c r="T30" i="10"/>
  <c r="M30" i="10"/>
  <c r="K30" i="10"/>
  <c r="I30" i="10"/>
  <c r="G30" i="10"/>
  <c r="G29" i="8"/>
  <c r="L29" i="8"/>
  <c r="I29" i="8"/>
  <c r="M29" i="10"/>
  <c r="T29" i="10"/>
  <c r="K29" i="10"/>
  <c r="I29" i="10"/>
  <c r="G29" i="10"/>
  <c r="G28" i="8"/>
  <c r="L28" i="8"/>
  <c r="O29" i="9" s="1"/>
  <c r="I28" i="8"/>
  <c r="I29" i="9" s="1"/>
  <c r="T28" i="10"/>
  <c r="M28" i="10"/>
  <c r="K28" i="10"/>
  <c r="I28" i="10"/>
  <c r="G28" i="10"/>
  <c r="L27" i="8"/>
  <c r="I27" i="8"/>
  <c r="G27" i="8"/>
  <c r="T27" i="10"/>
  <c r="M27" i="10"/>
  <c r="K27" i="10"/>
  <c r="I27" i="10"/>
  <c r="G27" i="10"/>
  <c r="L26" i="8"/>
  <c r="I26" i="8"/>
  <c r="I27" i="9" s="1"/>
  <c r="G26" i="8"/>
  <c r="T26" i="10"/>
  <c r="M26" i="10"/>
  <c r="K26" i="10"/>
  <c r="I26" i="10"/>
  <c r="G26" i="10"/>
  <c r="L25" i="8"/>
  <c r="I25" i="8"/>
  <c r="G25" i="8"/>
  <c r="G26" i="9" s="1"/>
  <c r="T25" i="10"/>
  <c r="M25" i="10"/>
  <c r="K25" i="10"/>
  <c r="I25" i="10"/>
  <c r="G25" i="10"/>
  <c r="L24" i="8"/>
  <c r="I24" i="8"/>
  <c r="G24" i="8"/>
  <c r="T24" i="10"/>
  <c r="M24" i="10"/>
  <c r="K24" i="10"/>
  <c r="I24" i="10"/>
  <c r="G24" i="10"/>
  <c r="L23" i="8"/>
  <c r="I23" i="8"/>
  <c r="G23" i="8"/>
  <c r="T23" i="10"/>
  <c r="M23" i="10"/>
  <c r="K23" i="10"/>
  <c r="I23" i="10"/>
  <c r="G23" i="10"/>
  <c r="P25" i="9"/>
  <c r="P26" i="9"/>
  <c r="P27" i="9"/>
  <c r="P28" i="9"/>
  <c r="P29" i="9"/>
  <c r="P30" i="9"/>
  <c r="P31" i="9"/>
  <c r="P32" i="9"/>
  <c r="P33" i="9"/>
  <c r="P34" i="9"/>
  <c r="P35" i="9"/>
  <c r="O24" i="9"/>
  <c r="O25" i="9"/>
  <c r="O26" i="9"/>
  <c r="O27" i="9"/>
  <c r="O28" i="9"/>
  <c r="O30" i="9"/>
  <c r="O31" i="9"/>
  <c r="O32" i="9"/>
  <c r="O33" i="9"/>
  <c r="O34" i="9"/>
  <c r="O35" i="9"/>
  <c r="N24" i="9"/>
  <c r="N25" i="9"/>
  <c r="N26" i="9"/>
  <c r="N27" i="9"/>
  <c r="N28" i="9"/>
  <c r="N29" i="9"/>
  <c r="N30" i="9"/>
  <c r="N31" i="9"/>
  <c r="N32" i="9"/>
  <c r="N33" i="9"/>
  <c r="N34" i="9"/>
  <c r="N35" i="9"/>
  <c r="I24" i="9"/>
  <c r="I25" i="9"/>
  <c r="I26" i="9"/>
  <c r="I28" i="9"/>
  <c r="I30" i="9"/>
  <c r="I34" i="9"/>
  <c r="G24" i="9"/>
  <c r="G25" i="9"/>
  <c r="G27" i="9"/>
  <c r="G28" i="9"/>
  <c r="G29" i="9"/>
  <c r="G30" i="9"/>
  <c r="G31" i="9"/>
  <c r="G33" i="9"/>
  <c r="G34" i="9"/>
  <c r="F23" i="9"/>
  <c r="F24" i="9"/>
  <c r="F25" i="9"/>
  <c r="F26" i="9"/>
  <c r="F27" i="9"/>
  <c r="F28" i="9"/>
  <c r="F29" i="9"/>
  <c r="F30" i="9"/>
  <c r="F31" i="9"/>
  <c r="F32" i="9"/>
  <c r="F33" i="9"/>
  <c r="F34" i="9"/>
  <c r="F35" i="9"/>
  <c r="L22" i="8"/>
  <c r="I22" i="8"/>
  <c r="I23" i="9" s="1"/>
  <c r="G22" i="8"/>
  <c r="G23" i="9" s="1"/>
  <c r="T22" i="10"/>
  <c r="M22" i="10"/>
  <c r="K22" i="10"/>
  <c r="I22" i="10"/>
  <c r="G22" i="10"/>
  <c r="L21" i="8"/>
  <c r="I21" i="8"/>
  <c r="G21" i="8"/>
  <c r="T21" i="10"/>
  <c r="M21" i="10"/>
  <c r="K21" i="10"/>
  <c r="I21" i="10"/>
  <c r="G21" i="10"/>
  <c r="L20" i="8"/>
  <c r="O21" i="9" s="1"/>
  <c r="I20" i="8"/>
  <c r="G20" i="8"/>
  <c r="G21" i="9" s="1"/>
  <c r="T20" i="10"/>
  <c r="M20" i="10"/>
  <c r="K20" i="10"/>
  <c r="I20" i="10"/>
  <c r="G20" i="10"/>
  <c r="L19" i="8"/>
  <c r="I19" i="8"/>
  <c r="G19" i="8"/>
  <c r="G20" i="9" s="1"/>
  <c r="T18" i="10"/>
  <c r="M18" i="10"/>
  <c r="K18" i="10"/>
  <c r="I18" i="10"/>
  <c r="G18" i="10"/>
  <c r="L17" i="8"/>
  <c r="I17" i="8"/>
  <c r="G17" i="8"/>
  <c r="T16" i="10"/>
  <c r="M16" i="10"/>
  <c r="K16" i="10"/>
  <c r="I16" i="10"/>
  <c r="G16" i="10"/>
  <c r="L15" i="8"/>
  <c r="O16" i="9" s="1"/>
  <c r="I15" i="8"/>
  <c r="G15" i="8"/>
  <c r="T15" i="10"/>
  <c r="M15" i="10"/>
  <c r="K15" i="10"/>
  <c r="I15" i="10"/>
  <c r="G15" i="10"/>
  <c r="L14" i="8"/>
  <c r="O15" i="9" s="1"/>
  <c r="I14" i="8"/>
  <c r="G14" i="8"/>
  <c r="I18" i="9"/>
  <c r="I22" i="9"/>
  <c r="T14" i="10"/>
  <c r="M14" i="10"/>
  <c r="K14" i="10"/>
  <c r="I14" i="10"/>
  <c r="G14" i="10"/>
  <c r="L13" i="8"/>
  <c r="O14" i="9" s="1"/>
  <c r="I13" i="8"/>
  <c r="G13" i="8"/>
  <c r="T13" i="10"/>
  <c r="M13" i="10"/>
  <c r="K13" i="10"/>
  <c r="I13" i="10"/>
  <c r="G13" i="10"/>
  <c r="L12" i="8"/>
  <c r="I12" i="8"/>
  <c r="G12" i="8"/>
  <c r="I13" i="9"/>
  <c r="T12" i="10"/>
  <c r="M12" i="10"/>
  <c r="K12" i="10"/>
  <c r="I12" i="10"/>
  <c r="G12" i="10"/>
  <c r="L11" i="8"/>
  <c r="O12" i="9" s="1"/>
  <c r="P12" i="9"/>
  <c r="P13" i="9"/>
  <c r="P14" i="9"/>
  <c r="P15" i="9"/>
  <c r="P16" i="9"/>
  <c r="P17" i="9"/>
  <c r="P18" i="9"/>
  <c r="P19" i="9"/>
  <c r="P20" i="9"/>
  <c r="P21" i="9"/>
  <c r="P22" i="9"/>
  <c r="P23" i="9"/>
  <c r="P24" i="9"/>
  <c r="O13" i="9"/>
  <c r="O17" i="9"/>
  <c r="O18" i="9"/>
  <c r="O19" i="9"/>
  <c r="O20" i="9"/>
  <c r="O22" i="9"/>
  <c r="O23" i="9"/>
  <c r="N12" i="9"/>
  <c r="N13" i="9"/>
  <c r="N14" i="9"/>
  <c r="N15" i="9"/>
  <c r="N16" i="9"/>
  <c r="N17" i="9"/>
  <c r="N18" i="9"/>
  <c r="N19" i="9"/>
  <c r="N20" i="9"/>
  <c r="N21" i="9"/>
  <c r="N22" i="9"/>
  <c r="N23" i="9"/>
  <c r="I12" i="9"/>
  <c r="I14" i="9"/>
  <c r="I15" i="9"/>
  <c r="I16" i="9"/>
  <c r="I17" i="9"/>
  <c r="I19" i="9"/>
  <c r="I20" i="9"/>
  <c r="I21" i="9"/>
  <c r="G12" i="9"/>
  <c r="G13" i="9"/>
  <c r="G14" i="9"/>
  <c r="G15" i="9"/>
  <c r="G16" i="9"/>
  <c r="G17" i="9"/>
  <c r="G18" i="9"/>
  <c r="G19" i="9"/>
  <c r="G22" i="9"/>
  <c r="F12" i="9"/>
  <c r="F13" i="9"/>
  <c r="F14" i="9"/>
  <c r="F15" i="9"/>
  <c r="F16" i="9"/>
  <c r="F17" i="9"/>
  <c r="F18" i="9"/>
  <c r="F19" i="9"/>
  <c r="F20" i="9"/>
  <c r="F21" i="9"/>
  <c r="F22" i="9"/>
  <c r="I11" i="8"/>
  <c r="G11" i="8"/>
  <c r="T11" i="10" l="1"/>
  <c r="M11" i="10"/>
  <c r="K11" i="10"/>
  <c r="I11" i="10"/>
  <c r="G11" i="10"/>
  <c r="P11" i="9"/>
  <c r="N11" i="9"/>
  <c r="I11" i="9"/>
  <c r="G11" i="9"/>
  <c r="F11" i="9"/>
  <c r="L10" i="8"/>
  <c r="O11" i="9" s="1"/>
  <c r="I10" i="8"/>
  <c r="G10" i="8"/>
  <c r="T10" i="10"/>
  <c r="M10" i="10"/>
  <c r="K10" i="10"/>
  <c r="I10" i="10"/>
  <c r="G10" i="10"/>
  <c r="L9" i="8"/>
  <c r="O10" i="9" s="1"/>
  <c r="I9" i="8"/>
  <c r="G9" i="8"/>
  <c r="G10" i="9" s="1"/>
  <c r="L6" i="8"/>
  <c r="I6" i="8"/>
  <c r="G6" i="8"/>
  <c r="L7" i="8"/>
  <c r="O8" i="9" s="1"/>
  <c r="I7" i="8"/>
  <c r="G7" i="8"/>
  <c r="T9" i="10"/>
  <c r="M9" i="10"/>
  <c r="K9" i="10"/>
  <c r="I9" i="10"/>
  <c r="G9" i="10"/>
  <c r="L8" i="8"/>
  <c r="O9" i="9" s="1"/>
  <c r="I8" i="8"/>
  <c r="I9" i="9" s="1"/>
  <c r="G8" i="8"/>
  <c r="G9" i="9" s="1"/>
  <c r="T8" i="10"/>
  <c r="I8" i="10"/>
  <c r="M8" i="10"/>
  <c r="K8" i="10"/>
  <c r="G8" i="10"/>
  <c r="P9" i="9"/>
  <c r="P10" i="9"/>
  <c r="P8" i="9"/>
  <c r="I10" i="9"/>
  <c r="I8" i="9"/>
  <c r="F10" i="9"/>
  <c r="F9" i="9"/>
  <c r="F8" i="9"/>
  <c r="F7" i="9"/>
  <c r="P7" i="9"/>
  <c r="N8" i="9"/>
  <c r="N9" i="9"/>
  <c r="N10" i="9"/>
  <c r="G8" i="9"/>
  <c r="O7" i="9" l="1"/>
  <c r="N7" i="9"/>
  <c r="I7" i="9"/>
  <c r="G7" i="9"/>
  <c r="M7" i="10"/>
  <c r="K7" i="10"/>
  <c r="I7" i="10"/>
  <c r="G7" i="10"/>
  <c r="T7" i="10"/>
  <c r="A56" i="5" l="1"/>
  <c r="G56" i="5"/>
  <c r="Z47" i="10" l="1"/>
  <c r="Y47" i="10"/>
  <c r="X47" i="10"/>
  <c r="Z46" i="10"/>
  <c r="Y46" i="10"/>
  <c r="X46" i="10"/>
  <c r="Z45" i="10"/>
  <c r="Y45" i="10"/>
  <c r="X45" i="10"/>
  <c r="Z44" i="10"/>
  <c r="Y44" i="10"/>
  <c r="X44" i="10"/>
  <c r="Z43" i="10"/>
  <c r="Y43" i="10"/>
  <c r="X43" i="10"/>
  <c r="Z42" i="10"/>
  <c r="Y42" i="10"/>
  <c r="X42" i="10"/>
  <c r="Z41" i="10"/>
  <c r="Y41" i="10"/>
  <c r="X41" i="10"/>
  <c r="Z40" i="10"/>
  <c r="Y40" i="10"/>
  <c r="X40" i="10"/>
  <c r="Z39" i="10"/>
  <c r="Y39" i="10"/>
  <c r="X39" i="10"/>
  <c r="Z38" i="10"/>
  <c r="Y38" i="10"/>
  <c r="X38" i="10"/>
  <c r="Z37" i="10"/>
  <c r="Y37" i="10"/>
  <c r="X37" i="10"/>
  <c r="Z36" i="10"/>
  <c r="Y36" i="10"/>
  <c r="X36" i="10"/>
  <c r="Z35" i="10"/>
  <c r="Y35" i="10"/>
  <c r="X35" i="10"/>
  <c r="Z34" i="10"/>
  <c r="Y34" i="10"/>
  <c r="X34" i="10"/>
  <c r="Z33" i="10"/>
  <c r="Y33" i="10"/>
  <c r="X33" i="10"/>
  <c r="Z32" i="10"/>
  <c r="Y32" i="10"/>
  <c r="X32" i="10"/>
  <c r="Z31" i="10"/>
  <c r="Y31" i="10"/>
  <c r="X31" i="10"/>
  <c r="Z30" i="10"/>
  <c r="Y30" i="10"/>
  <c r="X30" i="10"/>
  <c r="Z29" i="10"/>
  <c r="Y29" i="10"/>
  <c r="X29" i="10"/>
  <c r="Z28" i="10"/>
  <c r="Y28" i="10"/>
  <c r="X28" i="10"/>
  <c r="Z27" i="10"/>
  <c r="Y27" i="10"/>
  <c r="X27" i="10"/>
  <c r="Z26" i="10"/>
  <c r="Y26" i="10"/>
  <c r="X26" i="10"/>
  <c r="Z25" i="10"/>
  <c r="Y25" i="10"/>
  <c r="X25" i="10"/>
  <c r="Z24" i="10"/>
  <c r="Y24" i="10"/>
  <c r="X24" i="10"/>
  <c r="Z23" i="10"/>
  <c r="Y23" i="10"/>
  <c r="X23" i="10"/>
  <c r="Z22" i="10"/>
  <c r="Y22" i="10"/>
  <c r="X22" i="10"/>
  <c r="Z21" i="10"/>
  <c r="Y21" i="10"/>
  <c r="X21" i="10"/>
  <c r="Z20" i="10"/>
  <c r="Y20" i="10"/>
  <c r="X20" i="10"/>
  <c r="Z19" i="10"/>
  <c r="Y19" i="10"/>
  <c r="X19" i="10"/>
  <c r="Z18" i="10"/>
  <c r="Y18" i="10"/>
  <c r="X18" i="10"/>
  <c r="Z17" i="10"/>
  <c r="Y17" i="10"/>
  <c r="X17" i="10"/>
  <c r="Z16" i="10"/>
  <c r="Y16" i="10"/>
  <c r="X16" i="10"/>
  <c r="Z15" i="10"/>
  <c r="Y15" i="10"/>
  <c r="X15" i="10"/>
  <c r="Z14" i="10"/>
  <c r="Y14" i="10"/>
  <c r="X14" i="10"/>
  <c r="Z13" i="10"/>
  <c r="Y13" i="10"/>
  <c r="X13" i="10"/>
  <c r="Z12" i="10"/>
  <c r="Y12" i="10"/>
  <c r="X12" i="10"/>
  <c r="Z11" i="10"/>
  <c r="Y11" i="10"/>
  <c r="X11" i="10"/>
  <c r="Z10" i="10"/>
  <c r="Y10" i="10"/>
  <c r="X10" i="10"/>
  <c r="Z9" i="10"/>
  <c r="Y9" i="10"/>
  <c r="X9" i="10"/>
  <c r="J56" i="1"/>
  <c r="H56" i="1"/>
  <c r="J55" i="1"/>
  <c r="H55" i="1"/>
  <c r="J54" i="1"/>
  <c r="H54" i="1"/>
  <c r="J53" i="1"/>
  <c r="H53" i="1"/>
  <c r="J52" i="1"/>
  <c r="H52" i="1"/>
  <c r="J51" i="1"/>
  <c r="H51" i="1"/>
  <c r="J50" i="1"/>
  <c r="H50" i="1"/>
  <c r="J49" i="1"/>
  <c r="H49" i="1"/>
  <c r="J48" i="1"/>
  <c r="H48" i="1"/>
  <c r="J47" i="1"/>
  <c r="H47" i="1"/>
  <c r="J46" i="1"/>
  <c r="H46" i="1"/>
  <c r="J45" i="1"/>
  <c r="H45" i="1"/>
  <c r="J44" i="1"/>
  <c r="H44" i="1"/>
  <c r="J43" i="1"/>
  <c r="H43" i="1"/>
  <c r="J42" i="1"/>
  <c r="H42" i="1"/>
  <c r="J41" i="1"/>
  <c r="H41" i="1"/>
  <c r="J40" i="1"/>
  <c r="H40" i="1"/>
  <c r="J39" i="1"/>
  <c r="H39" i="1"/>
  <c r="J38" i="1"/>
  <c r="H38" i="1"/>
  <c r="J37" i="1"/>
  <c r="H37" i="1"/>
  <c r="J36" i="1"/>
  <c r="H36" i="1"/>
  <c r="J35" i="1"/>
  <c r="H35" i="1"/>
  <c r="J34" i="1"/>
  <c r="H34" i="1"/>
  <c r="J33" i="1"/>
  <c r="H33" i="1"/>
  <c r="J32" i="1"/>
  <c r="H32" i="1"/>
  <c r="J31" i="1"/>
  <c r="H31" i="1"/>
  <c r="J30" i="1"/>
  <c r="H30" i="1"/>
  <c r="J29" i="1"/>
  <c r="H29" i="1"/>
  <c r="J28" i="1"/>
  <c r="H28" i="1"/>
  <c r="J27" i="1"/>
  <c r="H27" i="1"/>
  <c r="J26" i="1"/>
  <c r="H26" i="1"/>
  <c r="J25" i="1"/>
  <c r="H25" i="1"/>
  <c r="J24" i="1"/>
  <c r="H24" i="1"/>
  <c r="J23" i="1"/>
  <c r="H23" i="1"/>
  <c r="J22" i="1"/>
  <c r="H22" i="1"/>
  <c r="J21" i="1"/>
  <c r="H21" i="1"/>
  <c r="J20" i="1"/>
  <c r="H20" i="1"/>
  <c r="J19" i="1"/>
  <c r="H19" i="1"/>
  <c r="J18" i="1"/>
  <c r="H18" i="1"/>
  <c r="J17" i="1"/>
  <c r="H17" i="1"/>
  <c r="J16" i="1"/>
  <c r="H16" i="1"/>
  <c r="J15" i="1"/>
  <c r="H15" i="1"/>
  <c r="J14" i="1"/>
  <c r="H14" i="1"/>
  <c r="J13" i="1"/>
  <c r="H13" i="1"/>
  <c r="J12" i="1"/>
  <c r="H12" i="1"/>
  <c r="J11" i="1"/>
  <c r="H11" i="1"/>
  <c r="J10" i="1"/>
  <c r="H10" i="1"/>
  <c r="J9" i="1"/>
  <c r="H9" i="1"/>
  <c r="J8" i="1"/>
  <c r="H8" i="1"/>
  <c r="J7" i="1"/>
  <c r="H7" i="1"/>
  <c r="M61" i="9" l="1"/>
  <c r="O60" i="1"/>
  <c r="R6" i="1"/>
  <c r="D93" i="10"/>
  <c r="D92" i="10"/>
  <c r="D91" i="10"/>
  <c r="D90" i="10"/>
  <c r="D89" i="10"/>
  <c r="D88" i="10"/>
  <c r="D87" i="10"/>
  <c r="D86" i="10"/>
  <c r="D85" i="10"/>
  <c r="D84" i="10"/>
  <c r="D83" i="10"/>
  <c r="D82" i="10"/>
  <c r="D81" i="10"/>
  <c r="D80" i="10"/>
  <c r="D79" i="10"/>
  <c r="D78" i="10"/>
  <c r="D77" i="10"/>
  <c r="D76" i="10"/>
  <c r="D75" i="10"/>
  <c r="D74" i="10"/>
  <c r="D73" i="10"/>
  <c r="D72" i="10"/>
  <c r="D71" i="10"/>
  <c r="D70" i="10"/>
  <c r="D69" i="10"/>
  <c r="D68" i="10"/>
  <c r="D67" i="10"/>
  <c r="D66" i="10"/>
  <c r="D65" i="10"/>
  <c r="D64" i="10"/>
  <c r="D63" i="10"/>
  <c r="D57" i="10"/>
  <c r="D56" i="10"/>
  <c r="D55" i="10"/>
  <c r="D54" i="10"/>
  <c r="D53" i="10"/>
  <c r="D52" i="10"/>
  <c r="D51" i="10"/>
  <c r="D50" i="10"/>
  <c r="D49" i="10"/>
  <c r="D48" i="10"/>
  <c r="D47" i="10"/>
  <c r="D46" i="10"/>
  <c r="D45" i="10"/>
  <c r="D44" i="10"/>
  <c r="D43" i="10"/>
  <c r="D42" i="10"/>
  <c r="D41" i="10"/>
  <c r="D40" i="10"/>
  <c r="D39" i="10"/>
  <c r="D38" i="10"/>
  <c r="D37" i="10"/>
  <c r="D36" i="10"/>
  <c r="D35" i="10"/>
  <c r="D34" i="10"/>
  <c r="D33" i="10"/>
  <c r="D32" i="10"/>
  <c r="D31" i="10"/>
  <c r="D30" i="10"/>
  <c r="D29" i="10"/>
  <c r="D28" i="10"/>
  <c r="D27" i="10"/>
  <c r="D26" i="10"/>
  <c r="D25" i="10"/>
  <c r="D24" i="10"/>
  <c r="D23" i="10"/>
  <c r="D22" i="10"/>
  <c r="D21" i="10"/>
  <c r="D20" i="10"/>
  <c r="D19" i="10"/>
  <c r="D18" i="10"/>
  <c r="D17" i="10"/>
  <c r="D16" i="10"/>
  <c r="D15" i="10"/>
  <c r="D14" i="10"/>
  <c r="D13" i="10"/>
  <c r="D12" i="10"/>
  <c r="D11" i="10"/>
  <c r="D10" i="10"/>
  <c r="D9" i="10"/>
  <c r="D8" i="10"/>
  <c r="D7" i="10"/>
  <c r="D3" i="10"/>
  <c r="D63" i="9"/>
  <c r="D64" i="9"/>
  <c r="D65" i="9"/>
  <c r="D66" i="9"/>
  <c r="D67" i="9"/>
  <c r="D68" i="9"/>
  <c r="D69" i="9"/>
  <c r="D70" i="9"/>
  <c r="D71" i="9"/>
  <c r="D72" i="9"/>
  <c r="D73" i="9"/>
  <c r="D74" i="9"/>
  <c r="D75" i="9"/>
  <c r="D76" i="9"/>
  <c r="D77" i="9"/>
  <c r="D78" i="9"/>
  <c r="D79" i="9"/>
  <c r="D80" i="9"/>
  <c r="D81" i="9"/>
  <c r="D82" i="9"/>
  <c r="D83" i="9"/>
  <c r="D84" i="9"/>
  <c r="D85" i="9"/>
  <c r="D86" i="9"/>
  <c r="D87" i="9"/>
  <c r="D88" i="9"/>
  <c r="D89" i="9"/>
  <c r="D90" i="9"/>
  <c r="D91" i="9"/>
  <c r="D92" i="9"/>
  <c r="D93" i="9"/>
  <c r="D7" i="9"/>
  <c r="D8" i="9"/>
  <c r="D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3" i="9"/>
  <c r="C59" i="8"/>
  <c r="C60" i="9" s="1"/>
  <c r="B59" i="8"/>
  <c r="B60" i="9" s="1"/>
  <c r="A59" i="8"/>
  <c r="A60" i="9" s="1"/>
  <c r="D62" i="8"/>
  <c r="D63" i="8"/>
  <c r="D64" i="8"/>
  <c r="D65" i="8"/>
  <c r="D66" i="8"/>
  <c r="D67" i="8"/>
  <c r="D68" i="8"/>
  <c r="D69" i="8"/>
  <c r="D70" i="8"/>
  <c r="D71" i="8"/>
  <c r="D72" i="8"/>
  <c r="D73" i="8"/>
  <c r="D74" i="8"/>
  <c r="D75" i="8"/>
  <c r="D76" i="8"/>
  <c r="D77" i="8"/>
  <c r="D78" i="8"/>
  <c r="D79" i="8"/>
  <c r="D80" i="8"/>
  <c r="D81" i="8"/>
  <c r="D82" i="8"/>
  <c r="D83" i="8"/>
  <c r="D84" i="8"/>
  <c r="D85" i="8"/>
  <c r="D86" i="8"/>
  <c r="D87" i="8"/>
  <c r="D88" i="8"/>
  <c r="D89" i="8"/>
  <c r="D90" i="8"/>
  <c r="D91" i="8"/>
  <c r="D92" i="8"/>
  <c r="C93" i="1"/>
  <c r="D93" i="1"/>
  <c r="B93" i="1"/>
  <c r="D57" i="1"/>
  <c r="D6" i="8"/>
  <c r="D7" i="8"/>
  <c r="D8" i="8"/>
  <c r="D9" i="8"/>
  <c r="D10" i="8"/>
  <c r="D11" i="8"/>
  <c r="D12"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49" i="8"/>
  <c r="D50" i="8"/>
  <c r="D51" i="8"/>
  <c r="D52" i="8"/>
  <c r="D53" i="8"/>
  <c r="D54" i="8"/>
  <c r="D55" i="8"/>
  <c r="D56" i="8"/>
  <c r="D3" i="8"/>
  <c r="D59" i="1"/>
  <c r="D59" i="8" s="1"/>
  <c r="D60" i="9" s="1"/>
  <c r="B6" i="8"/>
  <c r="C3" i="10"/>
  <c r="B3" i="10"/>
  <c r="A3" i="10"/>
  <c r="C3" i="9"/>
  <c r="B3" i="9"/>
  <c r="A3" i="9"/>
  <c r="C3" i="8"/>
  <c r="A3" i="8"/>
  <c r="B3" i="8"/>
  <c r="E60" i="9"/>
  <c r="E3" i="9"/>
  <c r="E59" i="8"/>
  <c r="E3" i="8"/>
  <c r="D94" i="9" l="1"/>
  <c r="D94" i="10"/>
  <c r="D58" i="9"/>
  <c r="B98" i="9" s="1"/>
  <c r="D58" i="10"/>
  <c r="D57" i="8"/>
  <c r="D60" i="10"/>
  <c r="D93" i="8"/>
  <c r="B97" i="1"/>
  <c r="B98" i="10" l="1"/>
  <c r="B97" i="8"/>
  <c r="S62" i="1"/>
  <c r="AB63" i="9" l="1"/>
  <c r="S72" i="1"/>
  <c r="E72" i="1" s="1"/>
  <c r="S73" i="1"/>
  <c r="E73" i="1" s="1"/>
  <c r="S74" i="1"/>
  <c r="E74" i="1" s="1"/>
  <c r="S75" i="1"/>
  <c r="E75" i="1" s="1"/>
  <c r="S76" i="1"/>
  <c r="E76" i="1" s="1"/>
  <c r="S77" i="1"/>
  <c r="E77" i="1" s="1"/>
  <c r="S78" i="1"/>
  <c r="E78" i="1" s="1"/>
  <c r="S79" i="1"/>
  <c r="E79" i="1" s="1"/>
  <c r="S80" i="1"/>
  <c r="E80" i="1" s="1"/>
  <c r="S81" i="1"/>
  <c r="E81" i="1" s="1"/>
  <c r="S82" i="1"/>
  <c r="E82" i="1" s="1"/>
  <c r="S83" i="1"/>
  <c r="E83" i="1" s="1"/>
  <c r="S84" i="1"/>
  <c r="E84" i="1" s="1"/>
  <c r="S85" i="1"/>
  <c r="E85" i="1" s="1"/>
  <c r="S86" i="1"/>
  <c r="E86" i="1" s="1"/>
  <c r="S87" i="1"/>
  <c r="E87" i="1" s="1"/>
  <c r="S88" i="1"/>
  <c r="E88" i="1" s="1"/>
  <c r="S89" i="1"/>
  <c r="E89" i="1" s="1"/>
  <c r="S90" i="1"/>
  <c r="E90" i="1" s="1"/>
  <c r="S91" i="1"/>
  <c r="E91" i="1" s="1"/>
  <c r="S92" i="1"/>
  <c r="E92" i="1" s="1"/>
  <c r="S63" i="1"/>
  <c r="E63" i="1" s="1"/>
  <c r="S64" i="1"/>
  <c r="E64" i="1" s="1"/>
  <c r="S65" i="1"/>
  <c r="E65" i="1" s="1"/>
  <c r="S66" i="1"/>
  <c r="E66" i="1" s="1"/>
  <c r="S67" i="1"/>
  <c r="E67" i="1" s="1"/>
  <c r="S68" i="1"/>
  <c r="E68" i="1" s="1"/>
  <c r="S69" i="1"/>
  <c r="E69" i="1" s="1"/>
  <c r="S70" i="1"/>
  <c r="E70" i="1" s="1"/>
  <c r="S71" i="1"/>
  <c r="E71" i="1" s="1"/>
  <c r="AF8" i="10" l="1"/>
  <c r="AF9" i="10"/>
  <c r="AF10" i="10"/>
  <c r="AF11" i="10"/>
  <c r="AF12" i="10"/>
  <c r="AF13" i="10"/>
  <c r="AF14" i="10"/>
  <c r="AF15" i="10"/>
  <c r="AF16" i="10"/>
  <c r="AF17" i="10"/>
  <c r="AF18" i="10"/>
  <c r="AF19" i="10"/>
  <c r="AF20" i="10"/>
  <c r="AF21" i="10"/>
  <c r="AF22" i="10"/>
  <c r="AF23" i="10"/>
  <c r="AF24" i="10"/>
  <c r="AF25" i="10"/>
  <c r="AF26" i="10"/>
  <c r="AF27" i="10"/>
  <c r="AF28" i="10"/>
  <c r="AF29" i="10"/>
  <c r="AF30" i="10"/>
  <c r="AF31" i="10"/>
  <c r="AF32" i="10"/>
  <c r="AF33" i="10"/>
  <c r="AF34" i="10"/>
  <c r="AF35" i="10"/>
  <c r="AF36" i="10"/>
  <c r="AF37" i="10"/>
  <c r="AF38" i="10"/>
  <c r="AF39" i="10"/>
  <c r="AF40" i="10"/>
  <c r="AF41" i="10"/>
  <c r="AF42" i="10"/>
  <c r="AF43" i="10"/>
  <c r="AF44" i="10"/>
  <c r="AF45" i="10"/>
  <c r="AF46" i="10"/>
  <c r="AF47" i="10"/>
  <c r="AF48" i="10"/>
  <c r="AF49" i="10"/>
  <c r="AF50" i="10"/>
  <c r="AF51" i="10"/>
  <c r="AF52" i="10"/>
  <c r="AF53" i="10"/>
  <c r="AF54" i="10"/>
  <c r="AF55" i="10"/>
  <c r="AF56" i="10"/>
  <c r="AF57" i="10"/>
  <c r="AF7" i="10"/>
  <c r="AE8" i="10"/>
  <c r="AE9" i="10"/>
  <c r="AE10" i="10"/>
  <c r="AE11" i="10"/>
  <c r="AE12" i="10"/>
  <c r="AE13" i="10"/>
  <c r="AE14" i="10"/>
  <c r="AE15" i="10"/>
  <c r="AE16" i="10"/>
  <c r="AE17" i="10"/>
  <c r="AE18" i="10"/>
  <c r="AE19" i="10"/>
  <c r="AE20" i="10"/>
  <c r="AE21" i="10"/>
  <c r="AE22" i="10"/>
  <c r="AE23" i="10"/>
  <c r="AE24" i="10"/>
  <c r="AE25" i="10"/>
  <c r="AE26" i="10"/>
  <c r="AE27" i="10"/>
  <c r="AE28" i="10"/>
  <c r="AE29" i="10"/>
  <c r="AE30" i="10"/>
  <c r="AE31" i="10"/>
  <c r="AE32" i="10"/>
  <c r="AE33" i="10"/>
  <c r="AE34" i="10"/>
  <c r="AE35" i="10"/>
  <c r="AE36" i="10"/>
  <c r="AE37" i="10"/>
  <c r="AE38" i="10"/>
  <c r="AE39" i="10"/>
  <c r="AE40" i="10"/>
  <c r="AE41" i="10"/>
  <c r="AE42" i="10"/>
  <c r="AE43" i="10"/>
  <c r="AE44" i="10"/>
  <c r="AE45" i="10"/>
  <c r="AE46" i="10"/>
  <c r="AE47" i="10"/>
  <c r="AE48" i="10"/>
  <c r="AE49" i="10"/>
  <c r="AE50" i="10"/>
  <c r="AE51" i="10"/>
  <c r="AE52" i="10"/>
  <c r="AE53" i="10"/>
  <c r="AE54" i="10"/>
  <c r="AE55" i="10"/>
  <c r="AE56" i="10"/>
  <c r="AE57" i="10"/>
  <c r="AE7" i="10"/>
  <c r="Y57" i="10" l="1"/>
  <c r="Z57" i="10"/>
  <c r="AA57" i="10"/>
  <c r="AB57" i="10"/>
  <c r="AC57" i="10"/>
  <c r="AA9" i="10"/>
  <c r="AB9" i="10"/>
  <c r="AC9" i="10"/>
  <c r="AA10" i="10"/>
  <c r="AB10" i="10"/>
  <c r="AC10" i="10"/>
  <c r="AA11" i="10"/>
  <c r="AB11" i="10"/>
  <c r="AC11" i="10"/>
  <c r="AA12" i="10"/>
  <c r="AB12" i="10"/>
  <c r="AC12" i="10"/>
  <c r="AA13" i="10"/>
  <c r="AB13" i="10"/>
  <c r="AC13" i="10"/>
  <c r="AA14" i="10"/>
  <c r="AB14" i="10"/>
  <c r="AC14" i="10"/>
  <c r="AA15" i="10"/>
  <c r="AB15" i="10"/>
  <c r="AC15" i="10"/>
  <c r="AA16" i="10"/>
  <c r="AB16" i="10"/>
  <c r="AC16" i="10"/>
  <c r="AA17" i="10"/>
  <c r="AB17" i="10"/>
  <c r="AC17" i="10"/>
  <c r="AA18" i="10"/>
  <c r="AB18" i="10"/>
  <c r="AC18" i="10"/>
  <c r="AA19" i="10"/>
  <c r="AB19" i="10"/>
  <c r="AC19" i="10"/>
  <c r="AA20" i="10"/>
  <c r="AB20" i="10"/>
  <c r="AC20" i="10"/>
  <c r="AA21" i="10"/>
  <c r="AB21" i="10"/>
  <c r="AC21" i="10"/>
  <c r="AA22" i="10"/>
  <c r="AB22" i="10"/>
  <c r="AC22" i="10"/>
  <c r="AA23" i="10"/>
  <c r="AB23" i="10"/>
  <c r="AC23" i="10"/>
  <c r="AA24" i="10"/>
  <c r="AB24" i="10"/>
  <c r="AC24" i="10"/>
  <c r="AA25" i="10"/>
  <c r="AB25" i="10"/>
  <c r="AC25" i="10"/>
  <c r="AA26" i="10"/>
  <c r="AB26" i="10"/>
  <c r="AC26" i="10"/>
  <c r="AA27" i="10"/>
  <c r="AB27" i="10"/>
  <c r="AC27" i="10"/>
  <c r="AA28" i="10"/>
  <c r="AB28" i="10"/>
  <c r="AC28" i="10"/>
  <c r="AA29" i="10"/>
  <c r="AB29" i="10"/>
  <c r="AC29" i="10"/>
  <c r="AA30" i="10"/>
  <c r="AB30" i="10"/>
  <c r="AC30" i="10"/>
  <c r="AA31" i="10"/>
  <c r="AB31" i="10"/>
  <c r="AC31" i="10"/>
  <c r="AA32" i="10"/>
  <c r="AB32" i="10"/>
  <c r="AC32" i="10"/>
  <c r="AA33" i="10"/>
  <c r="AB33" i="10"/>
  <c r="AC33" i="10"/>
  <c r="AA34" i="10"/>
  <c r="AB34" i="10"/>
  <c r="AC34" i="10"/>
  <c r="AA35" i="10"/>
  <c r="AB35" i="10"/>
  <c r="AC35" i="10"/>
  <c r="AA36" i="10"/>
  <c r="AB36" i="10"/>
  <c r="AC36" i="10"/>
  <c r="AA37" i="10"/>
  <c r="AB37" i="10"/>
  <c r="AC37" i="10"/>
  <c r="AA38" i="10"/>
  <c r="AB38" i="10"/>
  <c r="AC38" i="10"/>
  <c r="AA39" i="10"/>
  <c r="AB39" i="10"/>
  <c r="AC39" i="10"/>
  <c r="AA40" i="10"/>
  <c r="AB40" i="10"/>
  <c r="AC40" i="10"/>
  <c r="AA41" i="10"/>
  <c r="AB41" i="10"/>
  <c r="AC41" i="10"/>
  <c r="AA42" i="10"/>
  <c r="AB42" i="10"/>
  <c r="AC42" i="10"/>
  <c r="AA43" i="10"/>
  <c r="AB43" i="10"/>
  <c r="AC43" i="10"/>
  <c r="AA44" i="10"/>
  <c r="AB44" i="10"/>
  <c r="AC44" i="10"/>
  <c r="AA45" i="10"/>
  <c r="AB45" i="10"/>
  <c r="AC45" i="10"/>
  <c r="AA46" i="10"/>
  <c r="AB46" i="10"/>
  <c r="AC46" i="10"/>
  <c r="AA47" i="10"/>
  <c r="AB47" i="10"/>
  <c r="AC47" i="10"/>
  <c r="Y48" i="10"/>
  <c r="Z48" i="10"/>
  <c r="AA48" i="10"/>
  <c r="AB48" i="10"/>
  <c r="AC48" i="10"/>
  <c r="Y49" i="10"/>
  <c r="Z49" i="10"/>
  <c r="AA49" i="10"/>
  <c r="AB49" i="10"/>
  <c r="AC49" i="10"/>
  <c r="Y50" i="10"/>
  <c r="Z50" i="10"/>
  <c r="AA50" i="10"/>
  <c r="AB50" i="10"/>
  <c r="AC50" i="10"/>
  <c r="Y51" i="10"/>
  <c r="Z51" i="10"/>
  <c r="AA51" i="10"/>
  <c r="AB51" i="10"/>
  <c r="AC51" i="10"/>
  <c r="Y52" i="10"/>
  <c r="Z52" i="10"/>
  <c r="AA52" i="10"/>
  <c r="AB52" i="10"/>
  <c r="AC52" i="10"/>
  <c r="Y53" i="10"/>
  <c r="Z53" i="10"/>
  <c r="AA53" i="10"/>
  <c r="AB53" i="10"/>
  <c r="AC53" i="10"/>
  <c r="Y54" i="10"/>
  <c r="Z54" i="10"/>
  <c r="AA54" i="10"/>
  <c r="AB54" i="10"/>
  <c r="AC54" i="10"/>
  <c r="Y55" i="10"/>
  <c r="Z55" i="10"/>
  <c r="AA55" i="10"/>
  <c r="AB55" i="10"/>
  <c r="AC55" i="10"/>
  <c r="Y56" i="10"/>
  <c r="Z56" i="10"/>
  <c r="AA56" i="10"/>
  <c r="AB56" i="10"/>
  <c r="AC56" i="10"/>
  <c r="B7" i="10" l="1"/>
  <c r="C7" i="10"/>
  <c r="B8" i="10"/>
  <c r="C8" i="10"/>
  <c r="T63" i="1"/>
  <c r="U63" i="1"/>
  <c r="T64" i="1"/>
  <c r="U64" i="1"/>
  <c r="T65" i="1"/>
  <c r="U65" i="1"/>
  <c r="T66" i="1"/>
  <c r="U66" i="1"/>
  <c r="T67" i="1"/>
  <c r="U67" i="1"/>
  <c r="T68" i="1"/>
  <c r="U68" i="1"/>
  <c r="T69" i="1"/>
  <c r="U69" i="1"/>
  <c r="T70" i="1"/>
  <c r="U70" i="1"/>
  <c r="T71" i="1"/>
  <c r="U71" i="1"/>
  <c r="T72" i="1"/>
  <c r="U72" i="1"/>
  <c r="T73" i="1"/>
  <c r="U73" i="1"/>
  <c r="T74" i="1"/>
  <c r="U74" i="1"/>
  <c r="T75" i="1"/>
  <c r="U75" i="1"/>
  <c r="T76" i="1"/>
  <c r="U76" i="1"/>
  <c r="T77" i="1"/>
  <c r="U77" i="1"/>
  <c r="T78" i="1"/>
  <c r="U78" i="1"/>
  <c r="T79" i="1"/>
  <c r="U79" i="1"/>
  <c r="T80" i="1"/>
  <c r="U80" i="1"/>
  <c r="T81" i="1"/>
  <c r="U81" i="1"/>
  <c r="T82" i="1"/>
  <c r="U82" i="1"/>
  <c r="T83" i="1"/>
  <c r="U83" i="1"/>
  <c r="T84" i="1"/>
  <c r="U84" i="1"/>
  <c r="T85" i="1"/>
  <c r="U85" i="1"/>
  <c r="T86" i="1"/>
  <c r="U86" i="1"/>
  <c r="T87" i="1"/>
  <c r="U87" i="1"/>
  <c r="T88" i="1"/>
  <c r="U88" i="1"/>
  <c r="T89" i="1"/>
  <c r="U89" i="1"/>
  <c r="T90" i="1"/>
  <c r="U90" i="1"/>
  <c r="T91" i="1"/>
  <c r="U91" i="1"/>
  <c r="T92" i="1"/>
  <c r="U92" i="1"/>
  <c r="U62" i="1"/>
  <c r="T62" i="1"/>
  <c r="U63" i="8"/>
  <c r="U64" i="8"/>
  <c r="U65" i="8"/>
  <c r="U66" i="8"/>
  <c r="U67" i="8"/>
  <c r="U68" i="8"/>
  <c r="U69" i="8"/>
  <c r="U70" i="8"/>
  <c r="U71" i="8"/>
  <c r="U72" i="8"/>
  <c r="U73" i="8"/>
  <c r="U74" i="8"/>
  <c r="U75" i="8"/>
  <c r="U76" i="8"/>
  <c r="U77" i="8"/>
  <c r="U78" i="8"/>
  <c r="U79" i="8"/>
  <c r="U80" i="8"/>
  <c r="U81" i="8"/>
  <c r="U82" i="8"/>
  <c r="U83" i="8"/>
  <c r="U84" i="8"/>
  <c r="U85" i="8"/>
  <c r="U86" i="8"/>
  <c r="U87" i="8"/>
  <c r="U88" i="8"/>
  <c r="U89" i="8"/>
  <c r="U90" i="8"/>
  <c r="U91" i="8"/>
  <c r="U92" i="8"/>
  <c r="U62" i="8"/>
  <c r="T63" i="8"/>
  <c r="T64" i="8"/>
  <c r="T65" i="8"/>
  <c r="T66" i="8"/>
  <c r="T67" i="8"/>
  <c r="T68" i="8"/>
  <c r="T69" i="8"/>
  <c r="T70" i="8"/>
  <c r="T71" i="8"/>
  <c r="T72" i="8"/>
  <c r="T73" i="8"/>
  <c r="T74" i="8"/>
  <c r="T75" i="8"/>
  <c r="T76" i="8"/>
  <c r="T77" i="8"/>
  <c r="T78" i="8"/>
  <c r="T79" i="8"/>
  <c r="T80" i="8"/>
  <c r="T81" i="8"/>
  <c r="T82" i="8"/>
  <c r="T83" i="8"/>
  <c r="T84" i="8"/>
  <c r="T85" i="8"/>
  <c r="T86" i="8"/>
  <c r="T87" i="8"/>
  <c r="T88" i="8"/>
  <c r="T89" i="8"/>
  <c r="T90" i="8"/>
  <c r="T91" i="8"/>
  <c r="T92" i="8"/>
  <c r="T62" i="8"/>
  <c r="Y64" i="9"/>
  <c r="Z64" i="9"/>
  <c r="AA64" i="9"/>
  <c r="AB64" i="9"/>
  <c r="Y65" i="9"/>
  <c r="Z65" i="9"/>
  <c r="AA65" i="9"/>
  <c r="AB65" i="9"/>
  <c r="Y66" i="9"/>
  <c r="Z66" i="9"/>
  <c r="AA66" i="9"/>
  <c r="AB66" i="9"/>
  <c r="Y67" i="9"/>
  <c r="Z67" i="9"/>
  <c r="AA67" i="9"/>
  <c r="AB67" i="9"/>
  <c r="Y68" i="9"/>
  <c r="Z68" i="9"/>
  <c r="AA68" i="9"/>
  <c r="AB68" i="9"/>
  <c r="Y69" i="9"/>
  <c r="Z69" i="9"/>
  <c r="AA69" i="9"/>
  <c r="AB69" i="9"/>
  <c r="Y70" i="9"/>
  <c r="Z70" i="9"/>
  <c r="AA70" i="9"/>
  <c r="AB70" i="9"/>
  <c r="Y71" i="9"/>
  <c r="Z71" i="9"/>
  <c r="AA71" i="9"/>
  <c r="AB71" i="9"/>
  <c r="Y72" i="9"/>
  <c r="Z72" i="9"/>
  <c r="AA72" i="9"/>
  <c r="AB72" i="9"/>
  <c r="Y73" i="9"/>
  <c r="Z73" i="9"/>
  <c r="AA73" i="9"/>
  <c r="AB73" i="9"/>
  <c r="Y74" i="9"/>
  <c r="Z74" i="9"/>
  <c r="AA74" i="9"/>
  <c r="AB74" i="9"/>
  <c r="Y75" i="9"/>
  <c r="Z75" i="9"/>
  <c r="AA75" i="9"/>
  <c r="AB75" i="9"/>
  <c r="Y76" i="9"/>
  <c r="Z76" i="9"/>
  <c r="AA76" i="9"/>
  <c r="AB76" i="9"/>
  <c r="Y77" i="9"/>
  <c r="Z77" i="9"/>
  <c r="AA77" i="9"/>
  <c r="AB77" i="9"/>
  <c r="Y78" i="9"/>
  <c r="Z78" i="9"/>
  <c r="AA78" i="9"/>
  <c r="AB78" i="9"/>
  <c r="Y79" i="9"/>
  <c r="Z79" i="9"/>
  <c r="AA79" i="9"/>
  <c r="AB79" i="9"/>
  <c r="Y80" i="9"/>
  <c r="Z80" i="9"/>
  <c r="AA80" i="9"/>
  <c r="AB80" i="9"/>
  <c r="Y81" i="9"/>
  <c r="Z81" i="9"/>
  <c r="AA81" i="9"/>
  <c r="AB81" i="9"/>
  <c r="Y82" i="9"/>
  <c r="Z82" i="9"/>
  <c r="AA82" i="9"/>
  <c r="AB82" i="9"/>
  <c r="Y83" i="9"/>
  <c r="Z83" i="9"/>
  <c r="AA83" i="9"/>
  <c r="AB83" i="9"/>
  <c r="Y84" i="9"/>
  <c r="Z84" i="9"/>
  <c r="AA84" i="9"/>
  <c r="AB84" i="9"/>
  <c r="Y85" i="9"/>
  <c r="Z85" i="9"/>
  <c r="AA85" i="9"/>
  <c r="AB85" i="9"/>
  <c r="Y86" i="9"/>
  <c r="Z86" i="9"/>
  <c r="AA86" i="9"/>
  <c r="AB86" i="9"/>
  <c r="Y87" i="9"/>
  <c r="Z87" i="9"/>
  <c r="AA87" i="9"/>
  <c r="AB87" i="9"/>
  <c r="Y88" i="9"/>
  <c r="Z88" i="9"/>
  <c r="AA88" i="9"/>
  <c r="AB88" i="9"/>
  <c r="Y89" i="9"/>
  <c r="Z89" i="9"/>
  <c r="AA89" i="9"/>
  <c r="AB89" i="9"/>
  <c r="Y90" i="9"/>
  <c r="Z90" i="9"/>
  <c r="AA90" i="9"/>
  <c r="AB90" i="9"/>
  <c r="Y91" i="9"/>
  <c r="Z91" i="9"/>
  <c r="AA91" i="9"/>
  <c r="AB91" i="9"/>
  <c r="Y92" i="9"/>
  <c r="Z92" i="9"/>
  <c r="AA92" i="9"/>
  <c r="AB92" i="9"/>
  <c r="Y93" i="9"/>
  <c r="Z93" i="9"/>
  <c r="AA93" i="9"/>
  <c r="AB93" i="9"/>
  <c r="Z63" i="9"/>
  <c r="AA63" i="9"/>
  <c r="Y63" i="9"/>
  <c r="AB61" i="9"/>
  <c r="AG63" i="10"/>
  <c r="AG64" i="10"/>
  <c r="AG65" i="10"/>
  <c r="AG66" i="10"/>
  <c r="AG67" i="10"/>
  <c r="AG68" i="10"/>
  <c r="AG69" i="10"/>
  <c r="AG70" i="10"/>
  <c r="AG71" i="10"/>
  <c r="AG72" i="10"/>
  <c r="AG73" i="10"/>
  <c r="AG74" i="10"/>
  <c r="AG75" i="10"/>
  <c r="AG76" i="10"/>
  <c r="AG77" i="10"/>
  <c r="AG78" i="10"/>
  <c r="AG79" i="10"/>
  <c r="AG80" i="10"/>
  <c r="AG81" i="10"/>
  <c r="AG82" i="10"/>
  <c r="AG83" i="10"/>
  <c r="AG84" i="10"/>
  <c r="AG85" i="10"/>
  <c r="AG86" i="10"/>
  <c r="AG87" i="10"/>
  <c r="AG88" i="10"/>
  <c r="AG89" i="10"/>
  <c r="AG90" i="10"/>
  <c r="AG91" i="10"/>
  <c r="AG92" i="10"/>
  <c r="AG93" i="10"/>
  <c r="AE64" i="10"/>
  <c r="AF64" i="10"/>
  <c r="AH64" i="10"/>
  <c r="AI64" i="10"/>
  <c r="AJ64" i="10"/>
  <c r="AK64" i="10"/>
  <c r="AL64" i="10"/>
  <c r="AE65" i="10"/>
  <c r="AF65" i="10"/>
  <c r="AH65" i="10"/>
  <c r="AI65" i="10"/>
  <c r="AJ65" i="10"/>
  <c r="AK65" i="10"/>
  <c r="AL65" i="10"/>
  <c r="AE66" i="10"/>
  <c r="AF66" i="10"/>
  <c r="AH66" i="10"/>
  <c r="AI66" i="10"/>
  <c r="AJ66" i="10"/>
  <c r="AK66" i="10"/>
  <c r="AL66" i="10"/>
  <c r="AE67" i="10"/>
  <c r="AF67" i="10"/>
  <c r="AH67" i="10"/>
  <c r="AI67" i="10"/>
  <c r="AJ67" i="10"/>
  <c r="AK67" i="10"/>
  <c r="AL67" i="10"/>
  <c r="AE68" i="10"/>
  <c r="AF68" i="10"/>
  <c r="AH68" i="10"/>
  <c r="AI68" i="10"/>
  <c r="AJ68" i="10"/>
  <c r="AK68" i="10"/>
  <c r="AL68" i="10"/>
  <c r="AE69" i="10"/>
  <c r="AF69" i="10"/>
  <c r="AH69" i="10"/>
  <c r="AI69" i="10"/>
  <c r="AJ69" i="10"/>
  <c r="AK69" i="10"/>
  <c r="AL69" i="10"/>
  <c r="AE70" i="10"/>
  <c r="AF70" i="10"/>
  <c r="AH70" i="10"/>
  <c r="AI70" i="10"/>
  <c r="AJ70" i="10"/>
  <c r="AK70" i="10"/>
  <c r="AL70" i="10"/>
  <c r="AE71" i="10"/>
  <c r="AF71" i="10"/>
  <c r="AH71" i="10"/>
  <c r="AI71" i="10"/>
  <c r="AJ71" i="10"/>
  <c r="AK71" i="10"/>
  <c r="AL71" i="10"/>
  <c r="AE72" i="10"/>
  <c r="AF72" i="10"/>
  <c r="AH72" i="10"/>
  <c r="AI72" i="10"/>
  <c r="AJ72" i="10"/>
  <c r="AK72" i="10"/>
  <c r="AL72" i="10"/>
  <c r="AE73" i="10"/>
  <c r="AF73" i="10"/>
  <c r="AH73" i="10"/>
  <c r="AI73" i="10"/>
  <c r="AJ73" i="10"/>
  <c r="AK73" i="10"/>
  <c r="AL73" i="10"/>
  <c r="AE74" i="10"/>
  <c r="AF74" i="10"/>
  <c r="AH74" i="10"/>
  <c r="AI74" i="10"/>
  <c r="AJ74" i="10"/>
  <c r="AK74" i="10"/>
  <c r="AL74" i="10"/>
  <c r="AE75" i="10"/>
  <c r="AF75" i="10"/>
  <c r="AH75" i="10"/>
  <c r="AI75" i="10"/>
  <c r="AJ75" i="10"/>
  <c r="AK75" i="10"/>
  <c r="AL75" i="10"/>
  <c r="AE76" i="10"/>
  <c r="AF76" i="10"/>
  <c r="AH76" i="10"/>
  <c r="AI76" i="10"/>
  <c r="AJ76" i="10"/>
  <c r="AK76" i="10"/>
  <c r="AL76" i="10"/>
  <c r="AE77" i="10"/>
  <c r="AF77" i="10"/>
  <c r="AH77" i="10"/>
  <c r="AI77" i="10"/>
  <c r="AJ77" i="10"/>
  <c r="AK77" i="10"/>
  <c r="AL77" i="10"/>
  <c r="AE78" i="10"/>
  <c r="AF78" i="10"/>
  <c r="AH78" i="10"/>
  <c r="AI78" i="10"/>
  <c r="AJ78" i="10"/>
  <c r="AK78" i="10"/>
  <c r="AL78" i="10"/>
  <c r="AE79" i="10"/>
  <c r="AF79" i="10"/>
  <c r="AH79" i="10"/>
  <c r="AI79" i="10"/>
  <c r="AJ79" i="10"/>
  <c r="AK79" i="10"/>
  <c r="AL79" i="10"/>
  <c r="AE80" i="10"/>
  <c r="AF80" i="10"/>
  <c r="AH80" i="10"/>
  <c r="AI80" i="10"/>
  <c r="AJ80" i="10"/>
  <c r="AK80" i="10"/>
  <c r="AL80" i="10"/>
  <c r="AE81" i="10"/>
  <c r="AF81" i="10"/>
  <c r="AH81" i="10"/>
  <c r="AI81" i="10"/>
  <c r="AJ81" i="10"/>
  <c r="AK81" i="10"/>
  <c r="AL81" i="10"/>
  <c r="AE82" i="10"/>
  <c r="AF82" i="10"/>
  <c r="AH82" i="10"/>
  <c r="AI82" i="10"/>
  <c r="AJ82" i="10"/>
  <c r="AK82" i="10"/>
  <c r="AL82" i="10"/>
  <c r="AE83" i="10"/>
  <c r="AF83" i="10"/>
  <c r="AH83" i="10"/>
  <c r="AI83" i="10"/>
  <c r="AJ83" i="10"/>
  <c r="AK83" i="10"/>
  <c r="AL83" i="10"/>
  <c r="AE84" i="10"/>
  <c r="AF84" i="10"/>
  <c r="AH84" i="10"/>
  <c r="AI84" i="10"/>
  <c r="AJ84" i="10"/>
  <c r="AK84" i="10"/>
  <c r="AL84" i="10"/>
  <c r="AE85" i="10"/>
  <c r="AF85" i="10"/>
  <c r="AH85" i="10"/>
  <c r="AI85" i="10"/>
  <c r="AJ85" i="10"/>
  <c r="AK85" i="10"/>
  <c r="AL85" i="10"/>
  <c r="AE86" i="10"/>
  <c r="AF86" i="10"/>
  <c r="AH86" i="10"/>
  <c r="AI86" i="10"/>
  <c r="AJ86" i="10"/>
  <c r="AK86" i="10"/>
  <c r="AL86" i="10"/>
  <c r="AE87" i="10"/>
  <c r="AF87" i="10"/>
  <c r="AH87" i="10"/>
  <c r="AI87" i="10"/>
  <c r="AJ87" i="10"/>
  <c r="AK87" i="10"/>
  <c r="AL87" i="10"/>
  <c r="AE88" i="10"/>
  <c r="AF88" i="10"/>
  <c r="AH88" i="10"/>
  <c r="AI88" i="10"/>
  <c r="AJ88" i="10"/>
  <c r="AK88" i="10"/>
  <c r="AL88" i="10"/>
  <c r="AE89" i="10"/>
  <c r="AF89" i="10"/>
  <c r="AH89" i="10"/>
  <c r="AI89" i="10"/>
  <c r="AJ89" i="10"/>
  <c r="AK89" i="10"/>
  <c r="AL89" i="10"/>
  <c r="AE90" i="10"/>
  <c r="AF90" i="10"/>
  <c r="AH90" i="10"/>
  <c r="AI90" i="10"/>
  <c r="AJ90" i="10"/>
  <c r="AK90" i="10"/>
  <c r="AL90" i="10"/>
  <c r="AE91" i="10"/>
  <c r="AF91" i="10"/>
  <c r="AH91" i="10"/>
  <c r="AI91" i="10"/>
  <c r="AJ91" i="10"/>
  <c r="AK91" i="10"/>
  <c r="AL91" i="10"/>
  <c r="AE92" i="10"/>
  <c r="AF92" i="10"/>
  <c r="AH92" i="10"/>
  <c r="AI92" i="10"/>
  <c r="AJ92" i="10"/>
  <c r="AK92" i="10"/>
  <c r="AL92" i="10"/>
  <c r="AE93" i="10"/>
  <c r="AF93" i="10"/>
  <c r="AH93" i="10"/>
  <c r="AI93" i="10"/>
  <c r="AJ93" i="10"/>
  <c r="AK93" i="10"/>
  <c r="AL93" i="10"/>
  <c r="AF63" i="10"/>
  <c r="AH63" i="10"/>
  <c r="AI63" i="10"/>
  <c r="AJ63" i="10"/>
  <c r="AK63" i="10"/>
  <c r="AL63" i="10"/>
  <c r="AE63" i="10"/>
  <c r="AH61" i="10"/>
  <c r="AI61" i="10"/>
  <c r="AC61" i="10"/>
  <c r="AC62" i="10" s="1"/>
  <c r="AB61" i="10"/>
  <c r="AB62" i="10" s="1"/>
  <c r="AA61" i="10"/>
  <c r="AA62" i="10" s="1"/>
  <c r="S61" i="9"/>
  <c r="S62" i="9" s="1"/>
  <c r="X61" i="10"/>
  <c r="X62" i="10" s="1"/>
  <c r="AB7" i="9"/>
  <c r="W61" i="10"/>
  <c r="W62" i="10" s="1"/>
  <c r="V61" i="10"/>
  <c r="V62" i="10" s="1"/>
  <c r="R61" i="9"/>
  <c r="R62" i="9" s="1"/>
  <c r="Q61" i="9"/>
  <c r="Y61" i="9" s="1"/>
  <c r="Y62" i="9" s="1"/>
  <c r="N60" i="8"/>
  <c r="N61" i="8" s="1"/>
  <c r="O60" i="8"/>
  <c r="O61" i="8" s="1"/>
  <c r="O61" i="1"/>
  <c r="N60" i="1"/>
  <c r="N61" i="1" s="1"/>
  <c r="Z61" i="9" l="1"/>
  <c r="Q62" i="9"/>
  <c r="AA61" i="9"/>
  <c r="AA62" i="9" s="1"/>
  <c r="U60" i="8"/>
  <c r="U61" i="8" s="1"/>
  <c r="T60" i="8"/>
  <c r="T61" i="8" s="1"/>
  <c r="Y62" i="1"/>
  <c r="T60" i="1"/>
  <c r="T61" i="1" s="1"/>
  <c r="Y90" i="1"/>
  <c r="Y88" i="1"/>
  <c r="Y86" i="1"/>
  <c r="Y84" i="1"/>
  <c r="Y82" i="1"/>
  <c r="Y78" i="1"/>
  <c r="Y76" i="1"/>
  <c r="Y74" i="1"/>
  <c r="Y72" i="1"/>
  <c r="Y70" i="1"/>
  <c r="Y68" i="1"/>
  <c r="Y66" i="1"/>
  <c r="Y64" i="1"/>
  <c r="Y92" i="1"/>
  <c r="Y80" i="1"/>
  <c r="Y89" i="1"/>
  <c r="Y85" i="1"/>
  <c r="Y81" i="1"/>
  <c r="Y77" i="1"/>
  <c r="Y73" i="1"/>
  <c r="Y69" i="1"/>
  <c r="Y67" i="1"/>
  <c r="Y63" i="1"/>
  <c r="U60" i="1"/>
  <c r="U61" i="1" s="1"/>
  <c r="Y91" i="1"/>
  <c r="Y87" i="1"/>
  <c r="Y83" i="1"/>
  <c r="Y79" i="1"/>
  <c r="Y75" i="1"/>
  <c r="Y71" i="1"/>
  <c r="Y65" i="1"/>
  <c r="AL61" i="10"/>
  <c r="AL62" i="10" s="1"/>
  <c r="AK61" i="10"/>
  <c r="AK62" i="10" s="1"/>
  <c r="AG61" i="10"/>
  <c r="AG62" i="10" s="1"/>
  <c r="AJ61" i="10"/>
  <c r="AJ62" i="10" s="1"/>
  <c r="AF61" i="10"/>
  <c r="AE61" i="10"/>
  <c r="AE62" i="10" s="1"/>
  <c r="Y62" i="10"/>
  <c r="Z62" i="10"/>
  <c r="T62" i="9"/>
  <c r="N93" i="1"/>
  <c r="Z62" i="9" l="1"/>
  <c r="AB62" i="9"/>
  <c r="AI62" i="10"/>
  <c r="AH62" i="10"/>
  <c r="AF62" i="10"/>
  <c r="I93" i="1"/>
  <c r="J93" i="1"/>
  <c r="K93" i="1"/>
  <c r="L93" i="1"/>
  <c r="M93" i="1"/>
  <c r="H93" i="1" l="1"/>
  <c r="O6" i="8" l="1"/>
  <c r="W8" i="10" l="1"/>
  <c r="W9" i="10"/>
  <c r="W10" i="10"/>
  <c r="W11" i="10"/>
  <c r="W12" i="10"/>
  <c r="W13" i="10"/>
  <c r="W14" i="10"/>
  <c r="W15" i="10"/>
  <c r="W16" i="10"/>
  <c r="W17" i="10"/>
  <c r="W18" i="10"/>
  <c r="W19" i="10"/>
  <c r="W20" i="10"/>
  <c r="W21" i="10"/>
  <c r="W22" i="10"/>
  <c r="W23" i="10"/>
  <c r="W24" i="10"/>
  <c r="W25" i="10"/>
  <c r="W26" i="10"/>
  <c r="W27" i="10"/>
  <c r="W28" i="10"/>
  <c r="W29" i="10"/>
  <c r="W30" i="10"/>
  <c r="W31" i="10"/>
  <c r="W32" i="10"/>
  <c r="W33" i="10"/>
  <c r="W34" i="10"/>
  <c r="W35" i="10"/>
  <c r="W36" i="10"/>
  <c r="W37" i="10"/>
  <c r="W38" i="10"/>
  <c r="W39" i="10"/>
  <c r="W40" i="10"/>
  <c r="W41" i="10"/>
  <c r="W42" i="10"/>
  <c r="W43" i="10"/>
  <c r="W44" i="10"/>
  <c r="W45" i="10"/>
  <c r="W46" i="10"/>
  <c r="W47" i="10"/>
  <c r="W48" i="10"/>
  <c r="W49" i="10"/>
  <c r="W50" i="10"/>
  <c r="W51" i="10"/>
  <c r="W52" i="10"/>
  <c r="W53" i="10"/>
  <c r="W54" i="10"/>
  <c r="W55" i="10"/>
  <c r="W56" i="10"/>
  <c r="W57" i="10"/>
  <c r="W7" i="10"/>
  <c r="V8" i="10"/>
  <c r="V9" i="10"/>
  <c r="V10" i="10"/>
  <c r="V11" i="10"/>
  <c r="V12" i="10"/>
  <c r="V13" i="10"/>
  <c r="V14" i="10"/>
  <c r="V15" i="10"/>
  <c r="V16" i="10"/>
  <c r="V17" i="10"/>
  <c r="V18" i="10"/>
  <c r="V19" i="10"/>
  <c r="V20" i="10"/>
  <c r="V21" i="10"/>
  <c r="V22" i="10"/>
  <c r="V23" i="10"/>
  <c r="V24" i="10"/>
  <c r="V25" i="10"/>
  <c r="V26" i="10"/>
  <c r="V27" i="10"/>
  <c r="V28" i="10"/>
  <c r="V29" i="10"/>
  <c r="V30" i="10"/>
  <c r="V31" i="10"/>
  <c r="V32" i="10"/>
  <c r="V33" i="10"/>
  <c r="V34" i="10"/>
  <c r="V35" i="10"/>
  <c r="V36" i="10"/>
  <c r="V37" i="10"/>
  <c r="V38" i="10"/>
  <c r="V39" i="10"/>
  <c r="V40" i="10"/>
  <c r="V41" i="10"/>
  <c r="V42" i="10"/>
  <c r="V43" i="10"/>
  <c r="V44" i="10"/>
  <c r="V45" i="10"/>
  <c r="V46" i="10"/>
  <c r="V47" i="10"/>
  <c r="V48" i="10"/>
  <c r="V49" i="10"/>
  <c r="V50" i="10"/>
  <c r="V51" i="10"/>
  <c r="V52" i="10"/>
  <c r="V53" i="10"/>
  <c r="V54" i="10"/>
  <c r="V55" i="10"/>
  <c r="V56" i="10"/>
  <c r="V57" i="10"/>
  <c r="V7" i="10"/>
  <c r="K58" i="10"/>
  <c r="K98" i="10" s="1"/>
  <c r="AD44" i="10" l="1"/>
  <c r="AD40" i="10"/>
  <c r="AD36" i="10"/>
  <c r="AD32" i="10"/>
  <c r="AD28" i="10"/>
  <c r="AD24" i="10"/>
  <c r="AD20" i="10"/>
  <c r="AD16" i="10"/>
  <c r="AD12" i="10"/>
  <c r="AD43" i="10"/>
  <c r="AD35" i="10"/>
  <c r="AD27" i="10"/>
  <c r="AD19" i="10"/>
  <c r="AD11" i="10"/>
  <c r="AD46" i="10"/>
  <c r="AD42" i="10"/>
  <c r="AD38" i="10"/>
  <c r="AD34" i="10"/>
  <c r="AD30" i="10"/>
  <c r="AD26" i="10"/>
  <c r="AD22" i="10"/>
  <c r="AD18" i="10"/>
  <c r="AD14" i="10"/>
  <c r="AD10" i="10"/>
  <c r="AD47" i="10"/>
  <c r="AD39" i="10"/>
  <c r="AD31" i="10"/>
  <c r="AD23" i="10"/>
  <c r="AD15" i="10"/>
  <c r="AD45" i="10"/>
  <c r="AD41" i="10"/>
  <c r="AD37" i="10"/>
  <c r="AD33" i="10"/>
  <c r="AD29" i="10"/>
  <c r="AD25" i="10"/>
  <c r="AD21" i="10"/>
  <c r="AD17" i="10"/>
  <c r="AD13" i="10"/>
  <c r="AD9" i="10"/>
  <c r="Q8" i="9"/>
  <c r="T7" i="9"/>
  <c r="Q7" i="9"/>
  <c r="Y7" i="10"/>
  <c r="S7" i="9"/>
  <c r="R7" i="9"/>
  <c r="J6" i="1" l="1"/>
  <c r="H6" i="1"/>
  <c r="A64" i="10" l="1"/>
  <c r="B64" i="10"/>
  <c r="C64" i="10"/>
  <c r="A65" i="10"/>
  <c r="B65" i="10"/>
  <c r="C65" i="10"/>
  <c r="A66" i="10"/>
  <c r="B66" i="10"/>
  <c r="C66" i="10"/>
  <c r="A67" i="10"/>
  <c r="B67" i="10"/>
  <c r="C67" i="10"/>
  <c r="A68" i="10"/>
  <c r="B68" i="10"/>
  <c r="C68" i="10"/>
  <c r="A69" i="10"/>
  <c r="B69" i="10"/>
  <c r="C69" i="10"/>
  <c r="A70" i="10"/>
  <c r="B70" i="10"/>
  <c r="C70" i="10"/>
  <c r="A71" i="10"/>
  <c r="B71" i="10"/>
  <c r="C71" i="10"/>
  <c r="A72" i="10"/>
  <c r="B72" i="10"/>
  <c r="C72" i="10"/>
  <c r="A73" i="10"/>
  <c r="B73" i="10"/>
  <c r="C73" i="10"/>
  <c r="A74" i="10"/>
  <c r="B74" i="10"/>
  <c r="C74" i="10"/>
  <c r="A75" i="10"/>
  <c r="B75" i="10"/>
  <c r="C75" i="10"/>
  <c r="A76" i="10"/>
  <c r="B76" i="10"/>
  <c r="C76" i="10"/>
  <c r="A77" i="10"/>
  <c r="B77" i="10"/>
  <c r="C77" i="10"/>
  <c r="A78" i="10"/>
  <c r="B78" i="10"/>
  <c r="C78" i="10"/>
  <c r="A79" i="10"/>
  <c r="B79" i="10"/>
  <c r="C79" i="10"/>
  <c r="A80" i="10"/>
  <c r="B80" i="10"/>
  <c r="C80" i="10"/>
  <c r="A81" i="10"/>
  <c r="B81" i="10"/>
  <c r="C81" i="10"/>
  <c r="A82" i="10"/>
  <c r="B82" i="10"/>
  <c r="C82" i="10"/>
  <c r="A83" i="10"/>
  <c r="B83" i="10"/>
  <c r="C83" i="10"/>
  <c r="A84" i="10"/>
  <c r="B84" i="10"/>
  <c r="C84" i="10"/>
  <c r="A85" i="10"/>
  <c r="B85" i="10"/>
  <c r="C85" i="10"/>
  <c r="A86" i="10"/>
  <c r="B86" i="10"/>
  <c r="C86" i="10"/>
  <c r="A87" i="10"/>
  <c r="B87" i="10"/>
  <c r="C87" i="10"/>
  <c r="A88" i="10"/>
  <c r="B88" i="10"/>
  <c r="C88" i="10"/>
  <c r="A89" i="10"/>
  <c r="B89" i="10"/>
  <c r="C89" i="10"/>
  <c r="A90" i="10"/>
  <c r="B90" i="10"/>
  <c r="C90" i="10"/>
  <c r="A91" i="10"/>
  <c r="B91" i="10"/>
  <c r="C91" i="10"/>
  <c r="A92" i="10"/>
  <c r="B92" i="10"/>
  <c r="C92" i="10"/>
  <c r="A93" i="10"/>
  <c r="B93" i="10"/>
  <c r="C93" i="10"/>
  <c r="V65" i="9"/>
  <c r="W66" i="9"/>
  <c r="V69" i="9"/>
  <c r="W70" i="9"/>
  <c r="V73" i="9"/>
  <c r="W74" i="9"/>
  <c r="V77" i="9"/>
  <c r="W78" i="9"/>
  <c r="V81" i="9"/>
  <c r="W82" i="9"/>
  <c r="V85" i="9"/>
  <c r="W86" i="9"/>
  <c r="V89" i="9"/>
  <c r="W90" i="9"/>
  <c r="V93" i="9"/>
  <c r="A64" i="9"/>
  <c r="B64" i="9"/>
  <c r="V64" i="9" s="1"/>
  <c r="C64" i="9"/>
  <c r="A65" i="9"/>
  <c r="B65" i="9"/>
  <c r="C65" i="9"/>
  <c r="A66" i="9"/>
  <c r="B66" i="9"/>
  <c r="V66" i="9" s="1"/>
  <c r="C66" i="9"/>
  <c r="A67" i="9"/>
  <c r="B67" i="9"/>
  <c r="W67" i="9" s="1"/>
  <c r="C67" i="9"/>
  <c r="A68" i="9"/>
  <c r="B68" i="9"/>
  <c r="C68" i="9"/>
  <c r="A69" i="9"/>
  <c r="B69" i="9"/>
  <c r="C69" i="9"/>
  <c r="A70" i="9"/>
  <c r="B70" i="9"/>
  <c r="V70" i="9" s="1"/>
  <c r="C70" i="9"/>
  <c r="A71" i="9"/>
  <c r="B71" i="9"/>
  <c r="W71" i="9" s="1"/>
  <c r="C71" i="9"/>
  <c r="A72" i="9"/>
  <c r="B72" i="9"/>
  <c r="V72" i="9" s="1"/>
  <c r="C72" i="9"/>
  <c r="A73" i="9"/>
  <c r="B73" i="9"/>
  <c r="C73" i="9"/>
  <c r="A74" i="9"/>
  <c r="B74" i="9"/>
  <c r="V74" i="9" s="1"/>
  <c r="C74" i="9"/>
  <c r="A75" i="9"/>
  <c r="B75" i="9"/>
  <c r="W75" i="9" s="1"/>
  <c r="C75" i="9"/>
  <c r="A76" i="9"/>
  <c r="B76" i="9"/>
  <c r="W76" i="9" s="1"/>
  <c r="C76" i="9"/>
  <c r="A77" i="9"/>
  <c r="B77" i="9"/>
  <c r="C77" i="9"/>
  <c r="A78" i="9"/>
  <c r="B78" i="9"/>
  <c r="V78" i="9" s="1"/>
  <c r="C78" i="9"/>
  <c r="A79" i="9"/>
  <c r="B79" i="9"/>
  <c r="W79" i="9" s="1"/>
  <c r="C79" i="9"/>
  <c r="A80" i="9"/>
  <c r="B80" i="9"/>
  <c r="V80" i="9" s="1"/>
  <c r="C80" i="9"/>
  <c r="A81" i="9"/>
  <c r="B81" i="9"/>
  <c r="C81" i="9"/>
  <c r="A82" i="9"/>
  <c r="B82" i="9"/>
  <c r="V82" i="9" s="1"/>
  <c r="C82" i="9"/>
  <c r="A83" i="9"/>
  <c r="B83" i="9"/>
  <c r="W83" i="9" s="1"/>
  <c r="C83" i="9"/>
  <c r="A84" i="9"/>
  <c r="B84" i="9"/>
  <c r="V84" i="9" s="1"/>
  <c r="C84" i="9"/>
  <c r="A85" i="9"/>
  <c r="B85" i="9"/>
  <c r="C85" i="9"/>
  <c r="A86" i="9"/>
  <c r="B86" i="9"/>
  <c r="V86" i="9" s="1"/>
  <c r="C86" i="9"/>
  <c r="A87" i="9"/>
  <c r="B87" i="9"/>
  <c r="W87" i="9" s="1"/>
  <c r="C87" i="9"/>
  <c r="A88" i="9"/>
  <c r="B88" i="9"/>
  <c r="V88" i="9" s="1"/>
  <c r="C88" i="9"/>
  <c r="A89" i="9"/>
  <c r="B89" i="9"/>
  <c r="C89" i="9"/>
  <c r="A90" i="9"/>
  <c r="B90" i="9"/>
  <c r="V90" i="9" s="1"/>
  <c r="C90" i="9"/>
  <c r="A91" i="9"/>
  <c r="B91" i="9"/>
  <c r="W91" i="9" s="1"/>
  <c r="C91" i="9"/>
  <c r="A92" i="9"/>
  <c r="B92" i="9"/>
  <c r="V92" i="9" s="1"/>
  <c r="C92" i="9"/>
  <c r="A93" i="9"/>
  <c r="B93" i="9"/>
  <c r="C93" i="9"/>
  <c r="A63" i="8"/>
  <c r="B63" i="8"/>
  <c r="C63" i="8"/>
  <c r="A64" i="8"/>
  <c r="B64" i="8"/>
  <c r="C64" i="8"/>
  <c r="A65" i="8"/>
  <c r="B65" i="8"/>
  <c r="C65" i="8"/>
  <c r="A66" i="8"/>
  <c r="B66" i="8"/>
  <c r="C66" i="8"/>
  <c r="A67" i="8"/>
  <c r="B67" i="8"/>
  <c r="C67" i="8"/>
  <c r="A68" i="8"/>
  <c r="B68" i="8"/>
  <c r="C68" i="8"/>
  <c r="A69" i="8"/>
  <c r="B69" i="8"/>
  <c r="C69" i="8"/>
  <c r="A70" i="8"/>
  <c r="B70" i="8"/>
  <c r="C70" i="8"/>
  <c r="A71" i="8"/>
  <c r="B71" i="8"/>
  <c r="C71" i="8"/>
  <c r="A72" i="8"/>
  <c r="B72" i="8"/>
  <c r="C72" i="8"/>
  <c r="A73" i="8"/>
  <c r="B73" i="8"/>
  <c r="C73" i="8"/>
  <c r="A74" i="8"/>
  <c r="B74" i="8"/>
  <c r="C74" i="8"/>
  <c r="A75" i="8"/>
  <c r="B75" i="8"/>
  <c r="C75" i="8"/>
  <c r="A76" i="8"/>
  <c r="B76" i="8"/>
  <c r="C76" i="8"/>
  <c r="A77" i="8"/>
  <c r="B77" i="8"/>
  <c r="C77" i="8"/>
  <c r="A78" i="8"/>
  <c r="B78" i="8"/>
  <c r="C78" i="8"/>
  <c r="A79" i="8"/>
  <c r="B79" i="8"/>
  <c r="C79" i="8"/>
  <c r="A80" i="8"/>
  <c r="B80" i="8"/>
  <c r="C80" i="8"/>
  <c r="A81" i="8"/>
  <c r="B81" i="8"/>
  <c r="C81" i="8"/>
  <c r="A82" i="8"/>
  <c r="B82" i="8"/>
  <c r="C82" i="8"/>
  <c r="A83" i="8"/>
  <c r="B83" i="8"/>
  <c r="C83" i="8"/>
  <c r="A84" i="8"/>
  <c r="B84" i="8"/>
  <c r="C84" i="8"/>
  <c r="A85" i="8"/>
  <c r="B85" i="8"/>
  <c r="C85" i="8"/>
  <c r="A86" i="8"/>
  <c r="B86" i="8"/>
  <c r="C86" i="8"/>
  <c r="A87" i="8"/>
  <c r="B87" i="8"/>
  <c r="C87" i="8"/>
  <c r="A88" i="8"/>
  <c r="B88" i="8"/>
  <c r="C88" i="8"/>
  <c r="A89" i="8"/>
  <c r="B89" i="8"/>
  <c r="C89" i="8"/>
  <c r="A90" i="8"/>
  <c r="B90" i="8"/>
  <c r="C90" i="8"/>
  <c r="A91" i="8"/>
  <c r="B91" i="8"/>
  <c r="C91" i="8"/>
  <c r="A92" i="8"/>
  <c r="B92" i="8"/>
  <c r="C92" i="8"/>
  <c r="AG8" i="10"/>
  <c r="AH8" i="10"/>
  <c r="AI8" i="10"/>
  <c r="AJ8" i="10"/>
  <c r="AK8" i="10"/>
  <c r="AL8" i="10"/>
  <c r="AG9" i="10"/>
  <c r="AH9" i="10"/>
  <c r="AI9" i="10"/>
  <c r="AJ9" i="10"/>
  <c r="AK9" i="10"/>
  <c r="AL9" i="10"/>
  <c r="AG10" i="10"/>
  <c r="AH10" i="10"/>
  <c r="AI10" i="10"/>
  <c r="AJ10" i="10"/>
  <c r="AK10" i="10"/>
  <c r="AL10" i="10"/>
  <c r="AG11" i="10"/>
  <c r="AH11" i="10"/>
  <c r="AI11" i="10"/>
  <c r="AJ11" i="10"/>
  <c r="AK11" i="10"/>
  <c r="AL11" i="10"/>
  <c r="AG12" i="10"/>
  <c r="AH12" i="10"/>
  <c r="AI12" i="10"/>
  <c r="AJ12" i="10"/>
  <c r="AK12" i="10"/>
  <c r="AL12" i="10"/>
  <c r="AG13" i="10"/>
  <c r="AH13" i="10"/>
  <c r="AI13" i="10"/>
  <c r="AJ13" i="10"/>
  <c r="AK13" i="10"/>
  <c r="AL13" i="10"/>
  <c r="AG14" i="10"/>
  <c r="AH14" i="10"/>
  <c r="AI14" i="10"/>
  <c r="AJ14" i="10"/>
  <c r="AK14" i="10"/>
  <c r="AL14" i="10"/>
  <c r="AG15" i="10"/>
  <c r="AH15" i="10"/>
  <c r="AI15" i="10"/>
  <c r="AJ15" i="10"/>
  <c r="AK15" i="10"/>
  <c r="AL15" i="10"/>
  <c r="AG16" i="10"/>
  <c r="AH16" i="10"/>
  <c r="AI16" i="10"/>
  <c r="AJ16" i="10"/>
  <c r="AK16" i="10"/>
  <c r="AL16" i="10"/>
  <c r="AG17" i="10"/>
  <c r="AH17" i="10"/>
  <c r="AI17" i="10"/>
  <c r="AJ17" i="10"/>
  <c r="AK17" i="10"/>
  <c r="AL17" i="10"/>
  <c r="AG18" i="10"/>
  <c r="AH18" i="10"/>
  <c r="AI18" i="10"/>
  <c r="AJ18" i="10"/>
  <c r="AK18" i="10"/>
  <c r="AL18" i="10"/>
  <c r="AG19" i="10"/>
  <c r="AH19" i="10"/>
  <c r="AI19" i="10"/>
  <c r="AJ19" i="10"/>
  <c r="AK19" i="10"/>
  <c r="AL19" i="10"/>
  <c r="AG20" i="10"/>
  <c r="AH20" i="10"/>
  <c r="AI20" i="10"/>
  <c r="AJ20" i="10"/>
  <c r="AK20" i="10"/>
  <c r="AL20" i="10"/>
  <c r="AG21" i="10"/>
  <c r="AH21" i="10"/>
  <c r="AI21" i="10"/>
  <c r="AJ21" i="10"/>
  <c r="AK21" i="10"/>
  <c r="AL21" i="10"/>
  <c r="AG22" i="10"/>
  <c r="AH22" i="10"/>
  <c r="AI22" i="10"/>
  <c r="AJ22" i="10"/>
  <c r="AK22" i="10"/>
  <c r="AL22" i="10"/>
  <c r="AG23" i="10"/>
  <c r="AH23" i="10"/>
  <c r="AI23" i="10"/>
  <c r="AJ23" i="10"/>
  <c r="AK23" i="10"/>
  <c r="AL23" i="10"/>
  <c r="AG24" i="10"/>
  <c r="AH24" i="10"/>
  <c r="AI24" i="10"/>
  <c r="AJ24" i="10"/>
  <c r="AK24" i="10"/>
  <c r="AL24" i="10"/>
  <c r="AG25" i="10"/>
  <c r="AH25" i="10"/>
  <c r="AI25" i="10"/>
  <c r="AJ25" i="10"/>
  <c r="AK25" i="10"/>
  <c r="AL25" i="10"/>
  <c r="AG26" i="10"/>
  <c r="AH26" i="10"/>
  <c r="AI26" i="10"/>
  <c r="AJ26" i="10"/>
  <c r="AK26" i="10"/>
  <c r="AL26" i="10"/>
  <c r="AG27" i="10"/>
  <c r="AH27" i="10"/>
  <c r="AI27" i="10"/>
  <c r="AJ27" i="10"/>
  <c r="AK27" i="10"/>
  <c r="AL27" i="10"/>
  <c r="AG28" i="10"/>
  <c r="AH28" i="10"/>
  <c r="AI28" i="10"/>
  <c r="AJ28" i="10"/>
  <c r="AK28" i="10"/>
  <c r="AL28" i="10"/>
  <c r="AG29" i="10"/>
  <c r="AH29" i="10"/>
  <c r="AI29" i="10"/>
  <c r="AJ29" i="10"/>
  <c r="AK29" i="10"/>
  <c r="AL29" i="10"/>
  <c r="AG30" i="10"/>
  <c r="AH30" i="10"/>
  <c r="AI30" i="10"/>
  <c r="AJ30" i="10"/>
  <c r="AK30" i="10"/>
  <c r="AL30" i="10"/>
  <c r="AG31" i="10"/>
  <c r="AH31" i="10"/>
  <c r="AI31" i="10"/>
  <c r="AJ31" i="10"/>
  <c r="AK31" i="10"/>
  <c r="AL31" i="10"/>
  <c r="AG32" i="10"/>
  <c r="AH32" i="10"/>
  <c r="AI32" i="10"/>
  <c r="AJ32" i="10"/>
  <c r="AK32" i="10"/>
  <c r="AL32" i="10"/>
  <c r="AG33" i="10"/>
  <c r="AH33" i="10"/>
  <c r="AI33" i="10"/>
  <c r="AJ33" i="10"/>
  <c r="AK33" i="10"/>
  <c r="AL33" i="10"/>
  <c r="AG34" i="10"/>
  <c r="AH34" i="10"/>
  <c r="AI34" i="10"/>
  <c r="AJ34" i="10"/>
  <c r="AK34" i="10"/>
  <c r="AL34" i="10"/>
  <c r="AG35" i="10"/>
  <c r="AH35" i="10"/>
  <c r="AI35" i="10"/>
  <c r="AJ35" i="10"/>
  <c r="AK35" i="10"/>
  <c r="AL35" i="10"/>
  <c r="AG36" i="10"/>
  <c r="AH36" i="10"/>
  <c r="AI36" i="10"/>
  <c r="AJ36" i="10"/>
  <c r="AK36" i="10"/>
  <c r="AL36" i="10"/>
  <c r="AG37" i="10"/>
  <c r="AH37" i="10"/>
  <c r="AI37" i="10"/>
  <c r="AJ37" i="10"/>
  <c r="AK37" i="10"/>
  <c r="AL37" i="10"/>
  <c r="AG38" i="10"/>
  <c r="AH38" i="10"/>
  <c r="AI38" i="10"/>
  <c r="AJ38" i="10"/>
  <c r="AK38" i="10"/>
  <c r="AL38" i="10"/>
  <c r="AG39" i="10"/>
  <c r="AH39" i="10"/>
  <c r="AI39" i="10"/>
  <c r="AJ39" i="10"/>
  <c r="AK39" i="10"/>
  <c r="AL39" i="10"/>
  <c r="AG40" i="10"/>
  <c r="AH40" i="10"/>
  <c r="AI40" i="10"/>
  <c r="AJ40" i="10"/>
  <c r="AK40" i="10"/>
  <c r="AL40" i="10"/>
  <c r="AG41" i="10"/>
  <c r="AH41" i="10"/>
  <c r="AI41" i="10"/>
  <c r="AJ41" i="10"/>
  <c r="AK41" i="10"/>
  <c r="AL41" i="10"/>
  <c r="AG42" i="10"/>
  <c r="AH42" i="10"/>
  <c r="AI42" i="10"/>
  <c r="AJ42" i="10"/>
  <c r="AK42" i="10"/>
  <c r="AL42" i="10"/>
  <c r="AG43" i="10"/>
  <c r="AH43" i="10"/>
  <c r="AI43" i="10"/>
  <c r="AJ43" i="10"/>
  <c r="AK43" i="10"/>
  <c r="AL43" i="10"/>
  <c r="AG44" i="10"/>
  <c r="AH44" i="10"/>
  <c r="AI44" i="10"/>
  <c r="AJ44" i="10"/>
  <c r="AK44" i="10"/>
  <c r="AL44" i="10"/>
  <c r="AG45" i="10"/>
  <c r="AH45" i="10"/>
  <c r="AI45" i="10"/>
  <c r="AJ45" i="10"/>
  <c r="AK45" i="10"/>
  <c r="AL45" i="10"/>
  <c r="AG46" i="10"/>
  <c r="AH46" i="10"/>
  <c r="AI46" i="10"/>
  <c r="AJ46" i="10"/>
  <c r="AK46" i="10"/>
  <c r="AL46" i="10"/>
  <c r="AG47" i="10"/>
  <c r="AH47" i="10"/>
  <c r="AI47" i="10"/>
  <c r="AJ47" i="10"/>
  <c r="AK47" i="10"/>
  <c r="AL47" i="10"/>
  <c r="AG48" i="10"/>
  <c r="AH48" i="10"/>
  <c r="AI48" i="10"/>
  <c r="AJ48" i="10"/>
  <c r="AK48" i="10"/>
  <c r="AL48" i="10"/>
  <c r="AG49" i="10"/>
  <c r="AH49" i="10"/>
  <c r="AI49" i="10"/>
  <c r="AJ49" i="10"/>
  <c r="AK49" i="10"/>
  <c r="AL49" i="10"/>
  <c r="AG50" i="10"/>
  <c r="AH50" i="10"/>
  <c r="AI50" i="10"/>
  <c r="AJ50" i="10"/>
  <c r="AK50" i="10"/>
  <c r="AL50" i="10"/>
  <c r="AG51" i="10"/>
  <c r="AH51" i="10"/>
  <c r="AI51" i="10"/>
  <c r="AJ51" i="10"/>
  <c r="AK51" i="10"/>
  <c r="AL51" i="10"/>
  <c r="AG52" i="10"/>
  <c r="AH52" i="10"/>
  <c r="AI52" i="10"/>
  <c r="AJ52" i="10"/>
  <c r="AK52" i="10"/>
  <c r="AL52" i="10"/>
  <c r="AG53" i="10"/>
  <c r="AH53" i="10"/>
  <c r="AI53" i="10"/>
  <c r="AJ53" i="10"/>
  <c r="AK53" i="10"/>
  <c r="AL53" i="10"/>
  <c r="AG54" i="10"/>
  <c r="AH54" i="10"/>
  <c r="AI54" i="10"/>
  <c r="AJ54" i="10"/>
  <c r="AK54" i="10"/>
  <c r="AL54" i="10"/>
  <c r="AG55" i="10"/>
  <c r="AH55" i="10"/>
  <c r="AI55" i="10"/>
  <c r="AJ55" i="10"/>
  <c r="AK55" i="10"/>
  <c r="AL55" i="10"/>
  <c r="AG56" i="10"/>
  <c r="AH56" i="10"/>
  <c r="AI56" i="10"/>
  <c r="AJ56" i="10"/>
  <c r="AK56" i="10"/>
  <c r="AL56" i="10"/>
  <c r="AG57" i="10"/>
  <c r="AH57" i="10"/>
  <c r="AI57" i="10"/>
  <c r="AJ57" i="10"/>
  <c r="AK57" i="10"/>
  <c r="AL57" i="10"/>
  <c r="A8" i="10"/>
  <c r="A9" i="10"/>
  <c r="B9" i="10"/>
  <c r="E9" i="10" s="1"/>
  <c r="C9" i="10"/>
  <c r="A10" i="10"/>
  <c r="B10" i="10"/>
  <c r="E10" i="10" s="1"/>
  <c r="C10" i="10"/>
  <c r="A11" i="10"/>
  <c r="B11" i="10"/>
  <c r="E11" i="10" s="1"/>
  <c r="C11" i="10"/>
  <c r="A12" i="10"/>
  <c r="B12" i="10"/>
  <c r="E12" i="10" s="1"/>
  <c r="C12" i="10"/>
  <c r="A13" i="10"/>
  <c r="B13" i="10"/>
  <c r="E13" i="10" s="1"/>
  <c r="C13" i="10"/>
  <c r="A14" i="10"/>
  <c r="B14" i="10"/>
  <c r="E14" i="10" s="1"/>
  <c r="C14" i="10"/>
  <c r="A15" i="10"/>
  <c r="B15" i="10"/>
  <c r="E15" i="10" s="1"/>
  <c r="C15" i="10"/>
  <c r="A16" i="10"/>
  <c r="B16" i="10"/>
  <c r="E16" i="10" s="1"/>
  <c r="C16" i="10"/>
  <c r="A17" i="10"/>
  <c r="B17" i="10"/>
  <c r="E17" i="10" s="1"/>
  <c r="C17" i="10"/>
  <c r="A18" i="10"/>
  <c r="B18" i="10"/>
  <c r="E18" i="10" s="1"/>
  <c r="C18" i="10"/>
  <c r="A19" i="10"/>
  <c r="B19" i="10"/>
  <c r="E19" i="10" s="1"/>
  <c r="C19" i="10"/>
  <c r="A20" i="10"/>
  <c r="B20" i="10"/>
  <c r="E20" i="10" s="1"/>
  <c r="C20" i="10"/>
  <c r="A21" i="10"/>
  <c r="B21" i="10"/>
  <c r="E21" i="10" s="1"/>
  <c r="C21" i="10"/>
  <c r="A22" i="10"/>
  <c r="B22" i="10"/>
  <c r="E22" i="10" s="1"/>
  <c r="C22" i="10"/>
  <c r="A23" i="10"/>
  <c r="B23" i="10"/>
  <c r="E23" i="10" s="1"/>
  <c r="C23" i="10"/>
  <c r="A24" i="10"/>
  <c r="B24" i="10"/>
  <c r="E24" i="10" s="1"/>
  <c r="C24" i="10"/>
  <c r="A25" i="10"/>
  <c r="B25" i="10"/>
  <c r="E25" i="10" s="1"/>
  <c r="C25" i="10"/>
  <c r="A26" i="10"/>
  <c r="B26" i="10"/>
  <c r="E26" i="10" s="1"/>
  <c r="C26" i="10"/>
  <c r="A27" i="10"/>
  <c r="B27" i="10"/>
  <c r="E27" i="10" s="1"/>
  <c r="C27" i="10"/>
  <c r="A28" i="10"/>
  <c r="B28" i="10"/>
  <c r="E28" i="10" s="1"/>
  <c r="C28" i="10"/>
  <c r="A29" i="10"/>
  <c r="B29" i="10"/>
  <c r="E29" i="10" s="1"/>
  <c r="C29" i="10"/>
  <c r="A30" i="10"/>
  <c r="B30" i="10"/>
  <c r="E30" i="10" s="1"/>
  <c r="C30" i="10"/>
  <c r="A31" i="10"/>
  <c r="B31" i="10"/>
  <c r="E31" i="10" s="1"/>
  <c r="C31" i="10"/>
  <c r="A32" i="10"/>
  <c r="B32" i="10"/>
  <c r="E32" i="10" s="1"/>
  <c r="C32" i="10"/>
  <c r="A33" i="10"/>
  <c r="B33" i="10"/>
  <c r="E33" i="10" s="1"/>
  <c r="C33" i="10"/>
  <c r="A34" i="10"/>
  <c r="B34" i="10"/>
  <c r="E34" i="10" s="1"/>
  <c r="C34" i="10"/>
  <c r="A35" i="10"/>
  <c r="B35" i="10"/>
  <c r="E35" i="10" s="1"/>
  <c r="C35" i="10"/>
  <c r="A36" i="10"/>
  <c r="B36" i="10"/>
  <c r="E36" i="10" s="1"/>
  <c r="C36" i="10"/>
  <c r="A37" i="10"/>
  <c r="B37" i="10"/>
  <c r="E37" i="10" s="1"/>
  <c r="C37" i="10"/>
  <c r="A38" i="10"/>
  <c r="B38" i="10"/>
  <c r="E38" i="10" s="1"/>
  <c r="C38" i="10"/>
  <c r="A39" i="10"/>
  <c r="B39" i="10"/>
  <c r="E39" i="10" s="1"/>
  <c r="C39" i="10"/>
  <c r="A40" i="10"/>
  <c r="B40" i="10"/>
  <c r="E40" i="10" s="1"/>
  <c r="C40" i="10"/>
  <c r="A41" i="10"/>
  <c r="B41" i="10"/>
  <c r="E41" i="10" s="1"/>
  <c r="C41" i="10"/>
  <c r="A42" i="10"/>
  <c r="B42" i="10"/>
  <c r="E42" i="10" s="1"/>
  <c r="C42" i="10"/>
  <c r="A43" i="10"/>
  <c r="B43" i="10"/>
  <c r="E43" i="10" s="1"/>
  <c r="C43" i="10"/>
  <c r="A44" i="10"/>
  <c r="B44" i="10"/>
  <c r="E44" i="10" s="1"/>
  <c r="C44" i="10"/>
  <c r="A45" i="10"/>
  <c r="B45" i="10"/>
  <c r="E45" i="10" s="1"/>
  <c r="C45" i="10"/>
  <c r="A46" i="10"/>
  <c r="B46" i="10"/>
  <c r="E46" i="10" s="1"/>
  <c r="C46" i="10"/>
  <c r="A47" i="10"/>
  <c r="B47" i="10"/>
  <c r="E47" i="10" s="1"/>
  <c r="C47" i="10"/>
  <c r="A48" i="10"/>
  <c r="B48" i="10"/>
  <c r="C48" i="10"/>
  <c r="A49" i="10"/>
  <c r="B49" i="10"/>
  <c r="C49" i="10"/>
  <c r="A50" i="10"/>
  <c r="B50" i="10"/>
  <c r="C50" i="10"/>
  <c r="A51" i="10"/>
  <c r="B51" i="10"/>
  <c r="C51" i="10"/>
  <c r="A52" i="10"/>
  <c r="B52" i="10"/>
  <c r="C52" i="10"/>
  <c r="A53" i="10"/>
  <c r="B53" i="10"/>
  <c r="C53" i="10"/>
  <c r="A54" i="10"/>
  <c r="B54" i="10"/>
  <c r="C54" i="10"/>
  <c r="A55" i="10"/>
  <c r="B55" i="10"/>
  <c r="C55" i="10"/>
  <c r="A56" i="10"/>
  <c r="B56" i="10"/>
  <c r="C56" i="10"/>
  <c r="A57" i="10"/>
  <c r="B57" i="10"/>
  <c r="C57" i="10"/>
  <c r="Y8" i="9"/>
  <c r="Z8" i="9"/>
  <c r="AA8" i="9"/>
  <c r="AB8" i="9"/>
  <c r="AC8" i="9"/>
  <c r="AD8" i="9"/>
  <c r="AE8" i="9"/>
  <c r="Y9" i="9"/>
  <c r="Z9" i="9"/>
  <c r="AA9" i="9"/>
  <c r="AB9" i="9"/>
  <c r="AC9" i="9"/>
  <c r="AD9" i="9"/>
  <c r="AE9" i="9"/>
  <c r="Y10" i="9"/>
  <c r="Z10" i="9"/>
  <c r="AA10" i="9"/>
  <c r="AB10" i="9"/>
  <c r="AC10" i="9"/>
  <c r="AD10" i="9"/>
  <c r="AE10" i="9"/>
  <c r="Y11" i="9"/>
  <c r="Z11" i="9"/>
  <c r="AA11" i="9"/>
  <c r="AB11" i="9"/>
  <c r="AC11" i="9"/>
  <c r="AD11" i="9"/>
  <c r="AE11" i="9"/>
  <c r="Y12" i="9"/>
  <c r="Z12" i="9"/>
  <c r="AA12" i="9"/>
  <c r="AB12" i="9"/>
  <c r="AC12" i="9"/>
  <c r="AD12" i="9"/>
  <c r="AE12" i="9"/>
  <c r="Y13" i="9"/>
  <c r="Z13" i="9"/>
  <c r="AA13" i="9"/>
  <c r="AB13" i="9"/>
  <c r="AC13" i="9"/>
  <c r="AD13" i="9"/>
  <c r="AE13" i="9"/>
  <c r="Y14" i="9"/>
  <c r="Z14" i="9"/>
  <c r="AA14" i="9"/>
  <c r="AB14" i="9"/>
  <c r="AC14" i="9"/>
  <c r="AD14" i="9"/>
  <c r="AE14" i="9"/>
  <c r="Y15" i="9"/>
  <c r="Z15" i="9"/>
  <c r="AA15" i="9"/>
  <c r="AB15" i="9"/>
  <c r="AC15" i="9"/>
  <c r="AD15" i="9"/>
  <c r="AE15" i="9"/>
  <c r="Y16" i="9"/>
  <c r="Z16" i="9"/>
  <c r="AA16" i="9"/>
  <c r="AB16" i="9"/>
  <c r="AC16" i="9"/>
  <c r="AD16" i="9"/>
  <c r="AE16" i="9"/>
  <c r="Y17" i="9"/>
  <c r="Z17" i="9"/>
  <c r="AA17" i="9"/>
  <c r="AB17" i="9"/>
  <c r="AC17" i="9"/>
  <c r="AD17" i="9"/>
  <c r="AE17" i="9"/>
  <c r="Y18" i="9"/>
  <c r="Z18" i="9"/>
  <c r="AA18" i="9"/>
  <c r="AB18" i="9"/>
  <c r="AC18" i="9"/>
  <c r="AD18" i="9"/>
  <c r="AE18" i="9"/>
  <c r="Y19" i="9"/>
  <c r="Z19" i="9"/>
  <c r="AA19" i="9"/>
  <c r="AB19" i="9"/>
  <c r="AC19" i="9"/>
  <c r="AD19" i="9"/>
  <c r="AE19" i="9"/>
  <c r="Y20" i="9"/>
  <c r="Z20" i="9"/>
  <c r="AA20" i="9"/>
  <c r="AB20" i="9"/>
  <c r="AC20" i="9"/>
  <c r="AD20" i="9"/>
  <c r="AE20" i="9"/>
  <c r="Y21" i="9"/>
  <c r="Z21" i="9"/>
  <c r="AA21" i="9"/>
  <c r="AB21" i="9"/>
  <c r="AC21" i="9"/>
  <c r="AD21" i="9"/>
  <c r="AE21" i="9"/>
  <c r="Y22" i="9"/>
  <c r="Z22" i="9"/>
  <c r="AA22" i="9"/>
  <c r="AB22" i="9"/>
  <c r="AC22" i="9"/>
  <c r="AD22" i="9"/>
  <c r="AE22" i="9"/>
  <c r="Y23" i="9"/>
  <c r="Z23" i="9"/>
  <c r="AA23" i="9"/>
  <c r="AB23" i="9"/>
  <c r="AC23" i="9"/>
  <c r="AD23" i="9"/>
  <c r="AE23" i="9"/>
  <c r="Y24" i="9"/>
  <c r="Z24" i="9"/>
  <c r="AA24" i="9"/>
  <c r="AB24" i="9"/>
  <c r="AC24" i="9"/>
  <c r="AD24" i="9"/>
  <c r="AE24" i="9"/>
  <c r="Y25" i="9"/>
  <c r="Z25" i="9"/>
  <c r="AA25" i="9"/>
  <c r="AB25" i="9"/>
  <c r="AC25" i="9"/>
  <c r="AD25" i="9"/>
  <c r="AE25" i="9"/>
  <c r="Y26" i="9"/>
  <c r="Z26" i="9"/>
  <c r="AA26" i="9"/>
  <c r="AB26" i="9"/>
  <c r="AC26" i="9"/>
  <c r="AD26" i="9"/>
  <c r="AE26" i="9"/>
  <c r="Y27" i="9"/>
  <c r="Z27" i="9"/>
  <c r="AA27" i="9"/>
  <c r="AB27" i="9"/>
  <c r="AC27" i="9"/>
  <c r="AD27" i="9"/>
  <c r="AE27" i="9"/>
  <c r="Y28" i="9"/>
  <c r="Z28" i="9"/>
  <c r="AA28" i="9"/>
  <c r="AB28" i="9"/>
  <c r="AC28" i="9"/>
  <c r="AD28" i="9"/>
  <c r="AE28" i="9"/>
  <c r="Y29" i="9"/>
  <c r="Z29" i="9"/>
  <c r="AA29" i="9"/>
  <c r="AB29" i="9"/>
  <c r="AC29" i="9"/>
  <c r="AD29" i="9"/>
  <c r="AE29" i="9"/>
  <c r="Y30" i="9"/>
  <c r="Z30" i="9"/>
  <c r="AA30" i="9"/>
  <c r="AB30" i="9"/>
  <c r="AC30" i="9"/>
  <c r="AD30" i="9"/>
  <c r="AE30" i="9"/>
  <c r="Y31" i="9"/>
  <c r="Z31" i="9"/>
  <c r="AA31" i="9"/>
  <c r="AB31" i="9"/>
  <c r="AC31" i="9"/>
  <c r="AD31" i="9"/>
  <c r="AE31" i="9"/>
  <c r="Y32" i="9"/>
  <c r="Z32" i="9"/>
  <c r="AA32" i="9"/>
  <c r="AB32" i="9"/>
  <c r="AC32" i="9"/>
  <c r="AD32" i="9"/>
  <c r="AE32" i="9"/>
  <c r="Y33" i="9"/>
  <c r="Z33" i="9"/>
  <c r="AA33" i="9"/>
  <c r="AB33" i="9"/>
  <c r="AC33" i="9"/>
  <c r="AD33" i="9"/>
  <c r="AE33" i="9"/>
  <c r="Y34" i="9"/>
  <c r="Z34" i="9"/>
  <c r="AA34" i="9"/>
  <c r="AB34" i="9"/>
  <c r="AC34" i="9"/>
  <c r="AD34" i="9"/>
  <c r="AE34" i="9"/>
  <c r="Y35" i="9"/>
  <c r="Z35" i="9"/>
  <c r="AA35" i="9"/>
  <c r="AB35" i="9"/>
  <c r="AC35" i="9"/>
  <c r="AD35" i="9"/>
  <c r="AE35" i="9"/>
  <c r="Y36" i="9"/>
  <c r="Z36" i="9"/>
  <c r="AA36" i="9"/>
  <c r="AB36" i="9"/>
  <c r="AC36" i="9"/>
  <c r="AD36" i="9"/>
  <c r="AE36" i="9"/>
  <c r="Y37" i="9"/>
  <c r="Z37" i="9"/>
  <c r="AA37" i="9"/>
  <c r="AB37" i="9"/>
  <c r="AC37" i="9"/>
  <c r="AD37" i="9"/>
  <c r="AE37" i="9"/>
  <c r="Y38" i="9"/>
  <c r="Z38" i="9"/>
  <c r="AA38" i="9"/>
  <c r="AB38" i="9"/>
  <c r="AC38" i="9"/>
  <c r="AD38" i="9"/>
  <c r="AE38" i="9"/>
  <c r="Y39" i="9"/>
  <c r="Z39" i="9"/>
  <c r="AA39" i="9"/>
  <c r="AB39" i="9"/>
  <c r="AC39" i="9"/>
  <c r="AD39" i="9"/>
  <c r="AE39" i="9"/>
  <c r="Y40" i="9"/>
  <c r="Z40" i="9"/>
  <c r="AA40" i="9"/>
  <c r="AB40" i="9"/>
  <c r="AC40" i="9"/>
  <c r="AD40" i="9"/>
  <c r="AE40" i="9"/>
  <c r="Y41" i="9"/>
  <c r="Z41" i="9"/>
  <c r="AA41" i="9"/>
  <c r="AB41" i="9"/>
  <c r="AC41" i="9"/>
  <c r="AD41" i="9"/>
  <c r="AE41" i="9"/>
  <c r="Y42" i="9"/>
  <c r="Z42" i="9"/>
  <c r="AA42" i="9"/>
  <c r="AB42" i="9"/>
  <c r="AC42" i="9"/>
  <c r="AD42" i="9"/>
  <c r="AE42" i="9"/>
  <c r="Y43" i="9"/>
  <c r="Z43" i="9"/>
  <c r="AA43" i="9"/>
  <c r="AB43" i="9"/>
  <c r="AC43" i="9"/>
  <c r="AD43" i="9"/>
  <c r="AE43" i="9"/>
  <c r="Y44" i="9"/>
  <c r="Z44" i="9"/>
  <c r="AA44" i="9"/>
  <c r="AB44" i="9"/>
  <c r="AC44" i="9"/>
  <c r="AD44" i="9"/>
  <c r="AE44" i="9"/>
  <c r="Y45" i="9"/>
  <c r="Z45" i="9"/>
  <c r="AA45" i="9"/>
  <c r="AB45" i="9"/>
  <c r="AC45" i="9"/>
  <c r="AD45" i="9"/>
  <c r="AE45" i="9"/>
  <c r="Y46" i="9"/>
  <c r="Z46" i="9"/>
  <c r="AA46" i="9"/>
  <c r="AB46" i="9"/>
  <c r="AC46" i="9"/>
  <c r="AD46" i="9"/>
  <c r="AE46" i="9"/>
  <c r="Y47" i="9"/>
  <c r="Z47" i="9"/>
  <c r="AA47" i="9"/>
  <c r="AB47" i="9"/>
  <c r="AC47" i="9"/>
  <c r="AD47" i="9"/>
  <c r="AE47" i="9"/>
  <c r="Y48" i="9"/>
  <c r="Z48" i="9"/>
  <c r="AA48" i="9"/>
  <c r="AB48" i="9"/>
  <c r="AC48" i="9"/>
  <c r="AD48" i="9"/>
  <c r="AE48" i="9"/>
  <c r="Y49" i="9"/>
  <c r="Z49" i="9"/>
  <c r="AA49" i="9"/>
  <c r="AB49" i="9"/>
  <c r="AC49" i="9"/>
  <c r="AD49" i="9"/>
  <c r="AE49" i="9"/>
  <c r="Y50" i="9"/>
  <c r="Z50" i="9"/>
  <c r="AA50" i="9"/>
  <c r="AB50" i="9"/>
  <c r="AC50" i="9"/>
  <c r="AD50" i="9"/>
  <c r="AE50" i="9"/>
  <c r="Y51" i="9"/>
  <c r="Z51" i="9"/>
  <c r="AA51" i="9"/>
  <c r="AB51" i="9"/>
  <c r="AC51" i="9"/>
  <c r="AD51" i="9"/>
  <c r="AE51" i="9"/>
  <c r="Y52" i="9"/>
  <c r="Z52" i="9"/>
  <c r="AA52" i="9"/>
  <c r="AB52" i="9"/>
  <c r="AC52" i="9"/>
  <c r="AD52" i="9"/>
  <c r="AE52" i="9"/>
  <c r="Y53" i="9"/>
  <c r="Z53" i="9"/>
  <c r="AA53" i="9"/>
  <c r="AB53" i="9"/>
  <c r="AC53" i="9"/>
  <c r="AD53" i="9"/>
  <c r="AE53" i="9"/>
  <c r="Y54" i="9"/>
  <c r="Z54" i="9"/>
  <c r="AA54" i="9"/>
  <c r="AB54" i="9"/>
  <c r="AC54" i="9"/>
  <c r="AD54" i="9"/>
  <c r="AE54" i="9"/>
  <c r="Y55" i="9"/>
  <c r="Z55" i="9"/>
  <c r="AA55" i="9"/>
  <c r="AB55" i="9"/>
  <c r="AC55" i="9"/>
  <c r="AD55" i="9"/>
  <c r="AE55" i="9"/>
  <c r="Y56" i="9"/>
  <c r="Z56" i="9"/>
  <c r="AA56" i="9"/>
  <c r="AB56" i="9"/>
  <c r="AC56" i="9"/>
  <c r="AD56" i="9"/>
  <c r="AE56" i="9"/>
  <c r="Y57" i="9"/>
  <c r="Z57" i="9"/>
  <c r="AA57" i="9"/>
  <c r="AB57" i="9"/>
  <c r="AC57" i="9"/>
  <c r="AD57" i="9"/>
  <c r="AE57" i="9"/>
  <c r="R8" i="9"/>
  <c r="S8" i="9"/>
  <c r="T8" i="9"/>
  <c r="U8" i="9"/>
  <c r="V8" i="9"/>
  <c r="W8" i="9"/>
  <c r="Q9" i="9"/>
  <c r="R9" i="9"/>
  <c r="S9" i="9"/>
  <c r="T9" i="9"/>
  <c r="U9" i="9"/>
  <c r="V9" i="9"/>
  <c r="W9" i="9"/>
  <c r="Q10" i="9"/>
  <c r="R10" i="9"/>
  <c r="S10" i="9"/>
  <c r="T10" i="9"/>
  <c r="U10" i="9"/>
  <c r="V10" i="9"/>
  <c r="W10" i="9"/>
  <c r="Q11" i="9"/>
  <c r="R11" i="9"/>
  <c r="S11" i="9"/>
  <c r="T11" i="9"/>
  <c r="U11" i="9"/>
  <c r="V11" i="9"/>
  <c r="W11" i="9"/>
  <c r="Q12" i="9"/>
  <c r="R12" i="9"/>
  <c r="S12" i="9"/>
  <c r="T12" i="9"/>
  <c r="U12" i="9"/>
  <c r="V12" i="9"/>
  <c r="W12" i="9"/>
  <c r="Q13" i="9"/>
  <c r="R13" i="9"/>
  <c r="S13" i="9"/>
  <c r="T13" i="9"/>
  <c r="U13" i="9"/>
  <c r="V13" i="9"/>
  <c r="W13" i="9"/>
  <c r="Q14" i="9"/>
  <c r="R14" i="9"/>
  <c r="S14" i="9"/>
  <c r="T14" i="9"/>
  <c r="U14" i="9"/>
  <c r="V14" i="9"/>
  <c r="W14" i="9"/>
  <c r="Q15" i="9"/>
  <c r="R15" i="9"/>
  <c r="S15" i="9"/>
  <c r="T15" i="9"/>
  <c r="U15" i="9"/>
  <c r="V15" i="9"/>
  <c r="W15" i="9"/>
  <c r="Q16" i="9"/>
  <c r="R16" i="9"/>
  <c r="S16" i="9"/>
  <c r="T16" i="9"/>
  <c r="U16" i="9"/>
  <c r="V16" i="9"/>
  <c r="W16" i="9"/>
  <c r="Q17" i="9"/>
  <c r="R17" i="9"/>
  <c r="S17" i="9"/>
  <c r="T17" i="9"/>
  <c r="U17" i="9"/>
  <c r="V17" i="9"/>
  <c r="W17" i="9"/>
  <c r="Q18" i="9"/>
  <c r="R18" i="9"/>
  <c r="S18" i="9"/>
  <c r="T18" i="9"/>
  <c r="U18" i="9"/>
  <c r="V18" i="9"/>
  <c r="W18" i="9"/>
  <c r="Q19" i="9"/>
  <c r="R19" i="9"/>
  <c r="S19" i="9"/>
  <c r="T19" i="9"/>
  <c r="U19" i="9"/>
  <c r="V19" i="9"/>
  <c r="W19" i="9"/>
  <c r="Q20" i="9"/>
  <c r="R20" i="9"/>
  <c r="S20" i="9"/>
  <c r="T20" i="9"/>
  <c r="U20" i="9"/>
  <c r="V20" i="9"/>
  <c r="W20" i="9"/>
  <c r="Q21" i="9"/>
  <c r="R21" i="9"/>
  <c r="S21" i="9"/>
  <c r="T21" i="9"/>
  <c r="U21" i="9"/>
  <c r="V21" i="9"/>
  <c r="W21" i="9"/>
  <c r="Q22" i="9"/>
  <c r="R22" i="9"/>
  <c r="S22" i="9"/>
  <c r="T22" i="9"/>
  <c r="U22" i="9"/>
  <c r="V22" i="9"/>
  <c r="W22" i="9"/>
  <c r="Q23" i="9"/>
  <c r="R23" i="9"/>
  <c r="S23" i="9"/>
  <c r="T23" i="9"/>
  <c r="U23" i="9"/>
  <c r="V23" i="9"/>
  <c r="W23" i="9"/>
  <c r="Q24" i="9"/>
  <c r="R24" i="9"/>
  <c r="S24" i="9"/>
  <c r="T24" i="9"/>
  <c r="U24" i="9"/>
  <c r="V24" i="9"/>
  <c r="W24" i="9"/>
  <c r="Q25" i="9"/>
  <c r="R25" i="9"/>
  <c r="S25" i="9"/>
  <c r="T25" i="9"/>
  <c r="U25" i="9"/>
  <c r="V25" i="9"/>
  <c r="W25" i="9"/>
  <c r="Q26" i="9"/>
  <c r="R26" i="9"/>
  <c r="S26" i="9"/>
  <c r="T26" i="9"/>
  <c r="U26" i="9"/>
  <c r="V26" i="9"/>
  <c r="W26" i="9"/>
  <c r="Q27" i="9"/>
  <c r="R27" i="9"/>
  <c r="S27" i="9"/>
  <c r="T27" i="9"/>
  <c r="U27" i="9"/>
  <c r="V27" i="9"/>
  <c r="W27" i="9"/>
  <c r="Q28" i="9"/>
  <c r="R28" i="9"/>
  <c r="S28" i="9"/>
  <c r="T28" i="9"/>
  <c r="U28" i="9"/>
  <c r="V28" i="9"/>
  <c r="W28" i="9"/>
  <c r="Q29" i="9"/>
  <c r="R29" i="9"/>
  <c r="S29" i="9"/>
  <c r="T29" i="9"/>
  <c r="U29" i="9"/>
  <c r="V29" i="9"/>
  <c r="W29" i="9"/>
  <c r="Q30" i="9"/>
  <c r="R30" i="9"/>
  <c r="S30" i="9"/>
  <c r="T30" i="9"/>
  <c r="U30" i="9"/>
  <c r="V30" i="9"/>
  <c r="W30" i="9"/>
  <c r="Q31" i="9"/>
  <c r="R31" i="9"/>
  <c r="S31" i="9"/>
  <c r="T31" i="9"/>
  <c r="U31" i="9"/>
  <c r="V31" i="9"/>
  <c r="W31" i="9"/>
  <c r="Q32" i="9"/>
  <c r="R32" i="9"/>
  <c r="S32" i="9"/>
  <c r="T32" i="9"/>
  <c r="U32" i="9"/>
  <c r="V32" i="9"/>
  <c r="W32" i="9"/>
  <c r="Q33" i="9"/>
  <c r="R33" i="9"/>
  <c r="S33" i="9"/>
  <c r="T33" i="9"/>
  <c r="U33" i="9"/>
  <c r="V33" i="9"/>
  <c r="W33" i="9"/>
  <c r="Q34" i="9"/>
  <c r="R34" i="9"/>
  <c r="S34" i="9"/>
  <c r="T34" i="9"/>
  <c r="U34" i="9"/>
  <c r="V34" i="9"/>
  <c r="W34" i="9"/>
  <c r="Q35" i="9"/>
  <c r="R35" i="9"/>
  <c r="S35" i="9"/>
  <c r="T35" i="9"/>
  <c r="U35" i="9"/>
  <c r="V35" i="9"/>
  <c r="W35" i="9"/>
  <c r="Q36" i="9"/>
  <c r="R36" i="9"/>
  <c r="S36" i="9"/>
  <c r="T36" i="9"/>
  <c r="U36" i="9"/>
  <c r="V36" i="9"/>
  <c r="W36" i="9"/>
  <c r="Q37" i="9"/>
  <c r="R37" i="9"/>
  <c r="S37" i="9"/>
  <c r="T37" i="9"/>
  <c r="U37" i="9"/>
  <c r="V37" i="9"/>
  <c r="W37" i="9"/>
  <c r="Q38" i="9"/>
  <c r="R38" i="9"/>
  <c r="S38" i="9"/>
  <c r="T38" i="9"/>
  <c r="U38" i="9"/>
  <c r="V38" i="9"/>
  <c r="W38" i="9"/>
  <c r="Q39" i="9"/>
  <c r="R39" i="9"/>
  <c r="S39" i="9"/>
  <c r="T39" i="9"/>
  <c r="U39" i="9"/>
  <c r="V39" i="9"/>
  <c r="W39" i="9"/>
  <c r="Q40" i="9"/>
  <c r="R40" i="9"/>
  <c r="S40" i="9"/>
  <c r="T40" i="9"/>
  <c r="U40" i="9"/>
  <c r="V40" i="9"/>
  <c r="W40" i="9"/>
  <c r="Q41" i="9"/>
  <c r="R41" i="9"/>
  <c r="S41" i="9"/>
  <c r="T41" i="9"/>
  <c r="U41" i="9"/>
  <c r="V41" i="9"/>
  <c r="W41" i="9"/>
  <c r="Q42" i="9"/>
  <c r="R42" i="9"/>
  <c r="S42" i="9"/>
  <c r="T42" i="9"/>
  <c r="U42" i="9"/>
  <c r="V42" i="9"/>
  <c r="W42" i="9"/>
  <c r="Q43" i="9"/>
  <c r="R43" i="9"/>
  <c r="S43" i="9"/>
  <c r="T43" i="9"/>
  <c r="U43" i="9"/>
  <c r="V43" i="9"/>
  <c r="W43" i="9"/>
  <c r="Q44" i="9"/>
  <c r="R44" i="9"/>
  <c r="S44" i="9"/>
  <c r="T44" i="9"/>
  <c r="U44" i="9"/>
  <c r="V44" i="9"/>
  <c r="W44" i="9"/>
  <c r="Q45" i="9"/>
  <c r="R45" i="9"/>
  <c r="S45" i="9"/>
  <c r="T45" i="9"/>
  <c r="U45" i="9"/>
  <c r="V45" i="9"/>
  <c r="W45" i="9"/>
  <c r="Q46" i="9"/>
  <c r="R46" i="9"/>
  <c r="S46" i="9"/>
  <c r="T46" i="9"/>
  <c r="U46" i="9"/>
  <c r="V46" i="9"/>
  <c r="W46" i="9"/>
  <c r="Q47" i="9"/>
  <c r="R47" i="9"/>
  <c r="S47" i="9"/>
  <c r="T47" i="9"/>
  <c r="U47" i="9"/>
  <c r="V47" i="9"/>
  <c r="W47" i="9"/>
  <c r="Q48" i="9"/>
  <c r="R48" i="9"/>
  <c r="S48" i="9"/>
  <c r="T48" i="9"/>
  <c r="U48" i="9"/>
  <c r="V48" i="9"/>
  <c r="W48" i="9"/>
  <c r="Q49" i="9"/>
  <c r="R49" i="9"/>
  <c r="S49" i="9"/>
  <c r="T49" i="9"/>
  <c r="U49" i="9"/>
  <c r="V49" i="9"/>
  <c r="W49" i="9"/>
  <c r="Q50" i="9"/>
  <c r="R50" i="9"/>
  <c r="S50" i="9"/>
  <c r="T50" i="9"/>
  <c r="U50" i="9"/>
  <c r="V50" i="9"/>
  <c r="W50" i="9"/>
  <c r="Q51" i="9"/>
  <c r="R51" i="9"/>
  <c r="S51" i="9"/>
  <c r="T51" i="9"/>
  <c r="U51" i="9"/>
  <c r="V51" i="9"/>
  <c r="W51" i="9"/>
  <c r="Q52" i="9"/>
  <c r="R52" i="9"/>
  <c r="S52" i="9"/>
  <c r="T52" i="9"/>
  <c r="U52" i="9"/>
  <c r="V52" i="9"/>
  <c r="W52" i="9"/>
  <c r="Q53" i="9"/>
  <c r="R53" i="9"/>
  <c r="S53" i="9"/>
  <c r="T53" i="9"/>
  <c r="U53" i="9"/>
  <c r="V53" i="9"/>
  <c r="W53" i="9"/>
  <c r="Q54" i="9"/>
  <c r="R54" i="9"/>
  <c r="S54" i="9"/>
  <c r="T54" i="9"/>
  <c r="U54" i="9"/>
  <c r="V54" i="9"/>
  <c r="W54" i="9"/>
  <c r="Q55" i="9"/>
  <c r="R55" i="9"/>
  <c r="S55" i="9"/>
  <c r="T55" i="9"/>
  <c r="U55" i="9"/>
  <c r="V55" i="9"/>
  <c r="W55" i="9"/>
  <c r="Q56" i="9"/>
  <c r="R56" i="9"/>
  <c r="S56" i="9"/>
  <c r="T56" i="9"/>
  <c r="U56" i="9"/>
  <c r="V56" i="9"/>
  <c r="W56" i="9"/>
  <c r="Q57" i="9"/>
  <c r="R57" i="9"/>
  <c r="S57" i="9"/>
  <c r="T57" i="9"/>
  <c r="U57" i="9"/>
  <c r="V57" i="9"/>
  <c r="W57" i="9"/>
  <c r="A8" i="9"/>
  <c r="B8" i="9"/>
  <c r="C8" i="9"/>
  <c r="A9" i="9"/>
  <c r="B9" i="9"/>
  <c r="C9" i="9"/>
  <c r="A10" i="9"/>
  <c r="B10" i="9"/>
  <c r="C10" i="9"/>
  <c r="A11" i="9"/>
  <c r="B11" i="9"/>
  <c r="C11" i="9"/>
  <c r="A12" i="9"/>
  <c r="B12" i="9"/>
  <c r="C12" i="9"/>
  <c r="A13" i="9"/>
  <c r="B13" i="9"/>
  <c r="C13" i="9"/>
  <c r="A14" i="9"/>
  <c r="B14" i="9"/>
  <c r="C14" i="9"/>
  <c r="A15" i="9"/>
  <c r="B15" i="9"/>
  <c r="C15" i="9"/>
  <c r="A16" i="9"/>
  <c r="B16" i="9"/>
  <c r="C16" i="9"/>
  <c r="A17" i="9"/>
  <c r="B17" i="9"/>
  <c r="C17" i="9"/>
  <c r="A18" i="9"/>
  <c r="B18" i="9"/>
  <c r="C18" i="9"/>
  <c r="A19" i="9"/>
  <c r="B19" i="9"/>
  <c r="C19" i="9"/>
  <c r="A20" i="9"/>
  <c r="B20" i="9"/>
  <c r="C20" i="9"/>
  <c r="A21" i="9"/>
  <c r="B21" i="9"/>
  <c r="C21" i="9"/>
  <c r="A22" i="9"/>
  <c r="B22" i="9"/>
  <c r="C22" i="9"/>
  <c r="A23" i="9"/>
  <c r="B23" i="9"/>
  <c r="C23" i="9"/>
  <c r="A24" i="9"/>
  <c r="B24" i="9"/>
  <c r="C24" i="9"/>
  <c r="A25" i="9"/>
  <c r="B25" i="9"/>
  <c r="C25" i="9"/>
  <c r="A26" i="9"/>
  <c r="B26" i="9"/>
  <c r="C26" i="9"/>
  <c r="A27" i="9"/>
  <c r="B27" i="9"/>
  <c r="C27" i="9"/>
  <c r="A28" i="9"/>
  <c r="B28" i="9"/>
  <c r="C28" i="9"/>
  <c r="A29" i="9"/>
  <c r="B29" i="9"/>
  <c r="C29" i="9"/>
  <c r="A30" i="9"/>
  <c r="B30" i="9"/>
  <c r="C30" i="9"/>
  <c r="A31" i="9"/>
  <c r="B31" i="9"/>
  <c r="C31" i="9"/>
  <c r="A32" i="9"/>
  <c r="B32" i="9"/>
  <c r="C32" i="9"/>
  <c r="A33" i="9"/>
  <c r="B33" i="9"/>
  <c r="C33" i="9"/>
  <c r="A34" i="9"/>
  <c r="B34" i="9"/>
  <c r="C34" i="9"/>
  <c r="A35" i="9"/>
  <c r="B35" i="9"/>
  <c r="C35" i="9"/>
  <c r="A36" i="9"/>
  <c r="B36" i="9"/>
  <c r="C36" i="9"/>
  <c r="A37" i="9"/>
  <c r="B37" i="9"/>
  <c r="C37" i="9"/>
  <c r="A38" i="9"/>
  <c r="B38" i="9"/>
  <c r="C38" i="9"/>
  <c r="A39" i="9"/>
  <c r="B39" i="9"/>
  <c r="C39" i="9"/>
  <c r="A40" i="9"/>
  <c r="B40" i="9"/>
  <c r="C40" i="9"/>
  <c r="A41" i="9"/>
  <c r="B41" i="9"/>
  <c r="C41" i="9"/>
  <c r="A42" i="9"/>
  <c r="B42" i="9"/>
  <c r="C42" i="9"/>
  <c r="A43" i="9"/>
  <c r="B43" i="9"/>
  <c r="C43" i="9"/>
  <c r="A44" i="9"/>
  <c r="B44" i="9"/>
  <c r="C44" i="9"/>
  <c r="A45" i="9"/>
  <c r="B45" i="9"/>
  <c r="C45" i="9"/>
  <c r="A46" i="9"/>
  <c r="B46" i="9"/>
  <c r="C46" i="9"/>
  <c r="A47" i="9"/>
  <c r="B47" i="9"/>
  <c r="C47" i="9"/>
  <c r="A48" i="9"/>
  <c r="B48" i="9"/>
  <c r="C48" i="9"/>
  <c r="A49" i="9"/>
  <c r="B49" i="9"/>
  <c r="C49" i="9"/>
  <c r="A50" i="9"/>
  <c r="B50" i="9"/>
  <c r="C50" i="9"/>
  <c r="A51" i="9"/>
  <c r="B51" i="9"/>
  <c r="C51" i="9"/>
  <c r="A52" i="9"/>
  <c r="B52" i="9"/>
  <c r="C52" i="9"/>
  <c r="A53" i="9"/>
  <c r="B53" i="9"/>
  <c r="C53" i="9"/>
  <c r="A54" i="9"/>
  <c r="B54" i="9"/>
  <c r="C54" i="9"/>
  <c r="A55" i="9"/>
  <c r="B55" i="9"/>
  <c r="C55" i="9"/>
  <c r="A56" i="9"/>
  <c r="B56" i="9"/>
  <c r="C56" i="9"/>
  <c r="A57" i="9"/>
  <c r="B57" i="9"/>
  <c r="C57" i="9"/>
  <c r="A7" i="8"/>
  <c r="B7" i="8"/>
  <c r="C7" i="8"/>
  <c r="A8" i="8"/>
  <c r="B8" i="8"/>
  <c r="C8" i="8"/>
  <c r="A9" i="8"/>
  <c r="B9" i="8"/>
  <c r="C9" i="8"/>
  <c r="A10" i="8"/>
  <c r="B10" i="8"/>
  <c r="C10" i="8"/>
  <c r="A11" i="8"/>
  <c r="B11" i="8"/>
  <c r="C11" i="8"/>
  <c r="A12" i="8"/>
  <c r="B12" i="8"/>
  <c r="C12" i="8"/>
  <c r="A13" i="8"/>
  <c r="B13" i="8"/>
  <c r="C13" i="8"/>
  <c r="A14" i="8"/>
  <c r="B14" i="8"/>
  <c r="C14" i="8"/>
  <c r="A15" i="8"/>
  <c r="B15" i="8"/>
  <c r="C15" i="8"/>
  <c r="A16" i="8"/>
  <c r="B16" i="8"/>
  <c r="C16" i="8"/>
  <c r="A17" i="8"/>
  <c r="B17" i="8"/>
  <c r="C17" i="8"/>
  <c r="A18" i="8"/>
  <c r="B18" i="8"/>
  <c r="C18" i="8"/>
  <c r="A19" i="8"/>
  <c r="B19" i="8"/>
  <c r="C19" i="8"/>
  <c r="A20" i="8"/>
  <c r="B20" i="8"/>
  <c r="C20" i="8"/>
  <c r="A21" i="8"/>
  <c r="B21" i="8"/>
  <c r="C21" i="8"/>
  <c r="A22" i="8"/>
  <c r="B22" i="8"/>
  <c r="C22" i="8"/>
  <c r="A23" i="8"/>
  <c r="B23" i="8"/>
  <c r="C23" i="8"/>
  <c r="A24" i="8"/>
  <c r="B24" i="8"/>
  <c r="C24" i="8"/>
  <c r="A25" i="8"/>
  <c r="B25" i="8"/>
  <c r="C25" i="8"/>
  <c r="A26" i="8"/>
  <c r="B26" i="8"/>
  <c r="C26" i="8"/>
  <c r="A27" i="8"/>
  <c r="B27" i="8"/>
  <c r="C27" i="8"/>
  <c r="A28" i="8"/>
  <c r="B28" i="8"/>
  <c r="C28" i="8"/>
  <c r="A29" i="8"/>
  <c r="B29" i="8"/>
  <c r="C29" i="8"/>
  <c r="A30" i="8"/>
  <c r="B30" i="8"/>
  <c r="C30" i="8"/>
  <c r="A31" i="8"/>
  <c r="B31" i="8"/>
  <c r="C31" i="8"/>
  <c r="A32" i="8"/>
  <c r="B32" i="8"/>
  <c r="C32" i="8"/>
  <c r="A33" i="8"/>
  <c r="B33" i="8"/>
  <c r="C33" i="8"/>
  <c r="A34" i="8"/>
  <c r="B34" i="8"/>
  <c r="C34" i="8"/>
  <c r="A35" i="8"/>
  <c r="B35" i="8"/>
  <c r="C35" i="8"/>
  <c r="A36" i="8"/>
  <c r="B36" i="8"/>
  <c r="C36" i="8"/>
  <c r="A37" i="8"/>
  <c r="B37" i="8"/>
  <c r="C37" i="8"/>
  <c r="A38" i="8"/>
  <c r="B38" i="8"/>
  <c r="C38" i="8"/>
  <c r="A39" i="8"/>
  <c r="B39" i="8"/>
  <c r="C39" i="8"/>
  <c r="A40" i="8"/>
  <c r="B40" i="8"/>
  <c r="C40" i="8"/>
  <c r="A41" i="8"/>
  <c r="B41" i="8"/>
  <c r="C41" i="8"/>
  <c r="A42" i="8"/>
  <c r="B42" i="8"/>
  <c r="C42" i="8"/>
  <c r="A43" i="8"/>
  <c r="B43" i="8"/>
  <c r="C43" i="8"/>
  <c r="A44" i="8"/>
  <c r="B44" i="8"/>
  <c r="C44" i="8"/>
  <c r="A45" i="8"/>
  <c r="B45" i="8"/>
  <c r="C45" i="8"/>
  <c r="A46" i="8"/>
  <c r="B46" i="8"/>
  <c r="C46" i="8"/>
  <c r="A47" i="8"/>
  <c r="B47" i="8"/>
  <c r="C47" i="8"/>
  <c r="A48" i="8"/>
  <c r="B48" i="8"/>
  <c r="C48" i="8"/>
  <c r="A49" i="8"/>
  <c r="B49" i="8"/>
  <c r="C49" i="8"/>
  <c r="A50" i="8"/>
  <c r="B50" i="8"/>
  <c r="C50" i="8"/>
  <c r="A51" i="8"/>
  <c r="B51" i="8"/>
  <c r="C51" i="8"/>
  <c r="A52" i="8"/>
  <c r="B52" i="8"/>
  <c r="C52" i="8"/>
  <c r="A53" i="8"/>
  <c r="B53" i="8"/>
  <c r="C53" i="8"/>
  <c r="A54" i="8"/>
  <c r="B54" i="8"/>
  <c r="C54" i="8"/>
  <c r="A55" i="8"/>
  <c r="B55" i="8"/>
  <c r="C55" i="8"/>
  <c r="A56" i="8"/>
  <c r="B56" i="8"/>
  <c r="C56" i="8"/>
  <c r="T7" i="8"/>
  <c r="U7" i="8"/>
  <c r="V7" i="8"/>
  <c r="W7" i="8"/>
  <c r="X7" i="8"/>
  <c r="T8" i="8"/>
  <c r="U8" i="8"/>
  <c r="V8" i="8"/>
  <c r="W8" i="8"/>
  <c r="X8" i="8"/>
  <c r="T9" i="8"/>
  <c r="U9" i="8"/>
  <c r="V9" i="8"/>
  <c r="W9" i="8"/>
  <c r="X9" i="8"/>
  <c r="T10" i="8"/>
  <c r="U10" i="8"/>
  <c r="V10" i="8"/>
  <c r="W10" i="8"/>
  <c r="X10" i="8"/>
  <c r="T11" i="8"/>
  <c r="U11" i="8"/>
  <c r="V11" i="8"/>
  <c r="W11" i="8"/>
  <c r="X11" i="8"/>
  <c r="T12" i="8"/>
  <c r="U12" i="8"/>
  <c r="V12" i="8"/>
  <c r="W12" i="8"/>
  <c r="X12" i="8"/>
  <c r="T13" i="8"/>
  <c r="U13" i="8"/>
  <c r="V13" i="8"/>
  <c r="W13" i="8"/>
  <c r="X13" i="8"/>
  <c r="T14" i="8"/>
  <c r="U14" i="8"/>
  <c r="V14" i="8"/>
  <c r="W14" i="8"/>
  <c r="X14" i="8"/>
  <c r="T15" i="8"/>
  <c r="U15" i="8"/>
  <c r="V15" i="8"/>
  <c r="W15" i="8"/>
  <c r="X15" i="8"/>
  <c r="T16" i="8"/>
  <c r="U16" i="8"/>
  <c r="V16" i="8"/>
  <c r="W16" i="8"/>
  <c r="X16" i="8"/>
  <c r="T17" i="8"/>
  <c r="U17" i="8"/>
  <c r="V17" i="8"/>
  <c r="W17" i="8"/>
  <c r="X17" i="8"/>
  <c r="T18" i="8"/>
  <c r="U18" i="8"/>
  <c r="V18" i="8"/>
  <c r="W18" i="8"/>
  <c r="X18" i="8"/>
  <c r="T19" i="8"/>
  <c r="U19" i="8"/>
  <c r="V19" i="8"/>
  <c r="W19" i="8"/>
  <c r="X19" i="8"/>
  <c r="T20" i="8"/>
  <c r="U20" i="8"/>
  <c r="V20" i="8"/>
  <c r="W20" i="8"/>
  <c r="X20" i="8"/>
  <c r="T21" i="8"/>
  <c r="U21" i="8"/>
  <c r="V21" i="8"/>
  <c r="W21" i="8"/>
  <c r="X21" i="8"/>
  <c r="T22" i="8"/>
  <c r="U22" i="8"/>
  <c r="V22" i="8"/>
  <c r="W22" i="8"/>
  <c r="X22" i="8"/>
  <c r="T23" i="8"/>
  <c r="U23" i="8"/>
  <c r="V23" i="8"/>
  <c r="W23" i="8"/>
  <c r="X23" i="8"/>
  <c r="T24" i="8"/>
  <c r="U24" i="8"/>
  <c r="V24" i="8"/>
  <c r="W24" i="8"/>
  <c r="X24" i="8"/>
  <c r="T25" i="8"/>
  <c r="U25" i="8"/>
  <c r="V25" i="8"/>
  <c r="W25" i="8"/>
  <c r="X25" i="8"/>
  <c r="T26" i="8"/>
  <c r="U26" i="8"/>
  <c r="V26" i="8"/>
  <c r="W26" i="8"/>
  <c r="X26" i="8"/>
  <c r="T27" i="8"/>
  <c r="U27" i="8"/>
  <c r="V27" i="8"/>
  <c r="W27" i="8"/>
  <c r="X27" i="8"/>
  <c r="T28" i="8"/>
  <c r="U28" i="8"/>
  <c r="V28" i="8"/>
  <c r="W28" i="8"/>
  <c r="X28" i="8"/>
  <c r="T29" i="8"/>
  <c r="U29" i="8"/>
  <c r="V29" i="8"/>
  <c r="W29" i="8"/>
  <c r="X29" i="8"/>
  <c r="T30" i="8"/>
  <c r="U30" i="8"/>
  <c r="V30" i="8"/>
  <c r="W30" i="8"/>
  <c r="X30" i="8"/>
  <c r="T31" i="8"/>
  <c r="U31" i="8"/>
  <c r="V31" i="8"/>
  <c r="W31" i="8"/>
  <c r="X31" i="8"/>
  <c r="T32" i="8"/>
  <c r="U32" i="8"/>
  <c r="V32" i="8"/>
  <c r="W32" i="8"/>
  <c r="X32" i="8"/>
  <c r="T33" i="8"/>
  <c r="U33" i="8"/>
  <c r="V33" i="8"/>
  <c r="W33" i="8"/>
  <c r="X33" i="8"/>
  <c r="T34" i="8"/>
  <c r="U34" i="8"/>
  <c r="V34" i="8"/>
  <c r="W34" i="8"/>
  <c r="X34" i="8"/>
  <c r="T35" i="8"/>
  <c r="U35" i="8"/>
  <c r="V35" i="8"/>
  <c r="W35" i="8"/>
  <c r="X35" i="8"/>
  <c r="T36" i="8"/>
  <c r="U36" i="8"/>
  <c r="V36" i="8"/>
  <c r="W36" i="8"/>
  <c r="X36" i="8"/>
  <c r="T37" i="8"/>
  <c r="U37" i="8"/>
  <c r="V37" i="8"/>
  <c r="W37" i="8"/>
  <c r="X37" i="8"/>
  <c r="T38" i="8"/>
  <c r="U38" i="8"/>
  <c r="V38" i="8"/>
  <c r="W38" i="8"/>
  <c r="X38" i="8"/>
  <c r="T39" i="8"/>
  <c r="U39" i="8"/>
  <c r="V39" i="8"/>
  <c r="W39" i="8"/>
  <c r="X39" i="8"/>
  <c r="T40" i="8"/>
  <c r="U40" i="8"/>
  <c r="V40" i="8"/>
  <c r="W40" i="8"/>
  <c r="X40" i="8"/>
  <c r="T41" i="8"/>
  <c r="U41" i="8"/>
  <c r="V41" i="8"/>
  <c r="W41" i="8"/>
  <c r="X41" i="8"/>
  <c r="T42" i="8"/>
  <c r="U42" i="8"/>
  <c r="V42" i="8"/>
  <c r="W42" i="8"/>
  <c r="X42" i="8"/>
  <c r="T43" i="8"/>
  <c r="U43" i="8"/>
  <c r="V43" i="8"/>
  <c r="W43" i="8"/>
  <c r="X43" i="8"/>
  <c r="T44" i="8"/>
  <c r="U44" i="8"/>
  <c r="V44" i="8"/>
  <c r="W44" i="8"/>
  <c r="X44" i="8"/>
  <c r="T45" i="8"/>
  <c r="U45" i="8"/>
  <c r="V45" i="8"/>
  <c r="W45" i="8"/>
  <c r="X45" i="8"/>
  <c r="T46" i="8"/>
  <c r="U46" i="8"/>
  <c r="V46" i="8"/>
  <c r="W46" i="8"/>
  <c r="X46" i="8"/>
  <c r="T47" i="8"/>
  <c r="U47" i="8"/>
  <c r="V47" i="8"/>
  <c r="W47" i="8"/>
  <c r="X47" i="8"/>
  <c r="T48" i="8"/>
  <c r="U48" i="8"/>
  <c r="V48" i="8"/>
  <c r="W48" i="8"/>
  <c r="X48" i="8"/>
  <c r="T49" i="8"/>
  <c r="U49" i="8"/>
  <c r="V49" i="8"/>
  <c r="W49" i="8"/>
  <c r="X49" i="8"/>
  <c r="T50" i="8"/>
  <c r="U50" i="8"/>
  <c r="V50" i="8"/>
  <c r="W50" i="8"/>
  <c r="X50" i="8"/>
  <c r="T51" i="8"/>
  <c r="U51" i="8"/>
  <c r="V51" i="8"/>
  <c r="W51" i="8"/>
  <c r="X51" i="8"/>
  <c r="T52" i="8"/>
  <c r="U52" i="8"/>
  <c r="V52" i="8"/>
  <c r="W52" i="8"/>
  <c r="X52" i="8"/>
  <c r="T53" i="8"/>
  <c r="U53" i="8"/>
  <c r="V53" i="8"/>
  <c r="W53" i="8"/>
  <c r="X53" i="8"/>
  <c r="T54" i="8"/>
  <c r="U54" i="8"/>
  <c r="V54" i="8"/>
  <c r="W54" i="8"/>
  <c r="X54" i="8"/>
  <c r="T55" i="8"/>
  <c r="U55" i="8"/>
  <c r="V55" i="8"/>
  <c r="W55" i="8"/>
  <c r="X55" i="8"/>
  <c r="T56" i="8"/>
  <c r="U56" i="8"/>
  <c r="V56" i="8"/>
  <c r="W56" i="8"/>
  <c r="X56" i="8"/>
  <c r="N7" i="8"/>
  <c r="O7" i="8"/>
  <c r="P7" i="8"/>
  <c r="Q7" i="8"/>
  <c r="R7" i="8"/>
  <c r="N8" i="8"/>
  <c r="O8" i="8"/>
  <c r="P8" i="8"/>
  <c r="Q8" i="8"/>
  <c r="R8" i="8"/>
  <c r="N9" i="8"/>
  <c r="O9" i="8"/>
  <c r="P9" i="8"/>
  <c r="Q9" i="8"/>
  <c r="R9" i="8"/>
  <c r="N10" i="8"/>
  <c r="O10" i="8"/>
  <c r="P10" i="8"/>
  <c r="Q10" i="8"/>
  <c r="R10" i="8"/>
  <c r="N11" i="8"/>
  <c r="O11" i="8"/>
  <c r="P11" i="8"/>
  <c r="Q11" i="8"/>
  <c r="R11" i="8"/>
  <c r="N12" i="8"/>
  <c r="O12" i="8"/>
  <c r="P12" i="8"/>
  <c r="Q12" i="8"/>
  <c r="R12" i="8"/>
  <c r="N13" i="8"/>
  <c r="O13" i="8"/>
  <c r="P13" i="8"/>
  <c r="Q13" i="8"/>
  <c r="R13" i="8"/>
  <c r="N14" i="8"/>
  <c r="O14" i="8"/>
  <c r="P14" i="8"/>
  <c r="Q14" i="8"/>
  <c r="R14" i="8"/>
  <c r="N15" i="8"/>
  <c r="O15" i="8"/>
  <c r="P15" i="8"/>
  <c r="Q15" i="8"/>
  <c r="R15" i="8"/>
  <c r="N16" i="8"/>
  <c r="O16" i="8"/>
  <c r="P16" i="8"/>
  <c r="Q16" i="8"/>
  <c r="R16" i="8"/>
  <c r="N17" i="8"/>
  <c r="O17" i="8"/>
  <c r="P17" i="8"/>
  <c r="Q17" i="8"/>
  <c r="R17" i="8"/>
  <c r="N18" i="8"/>
  <c r="O18" i="8"/>
  <c r="P18" i="8"/>
  <c r="Q18" i="8"/>
  <c r="R18" i="8"/>
  <c r="N19" i="8"/>
  <c r="O19" i="8"/>
  <c r="P19" i="8"/>
  <c r="Q19" i="8"/>
  <c r="R19" i="8"/>
  <c r="N20" i="8"/>
  <c r="O20" i="8"/>
  <c r="P20" i="8"/>
  <c r="Q20" i="8"/>
  <c r="R20" i="8"/>
  <c r="N21" i="8"/>
  <c r="O21" i="8"/>
  <c r="P21" i="8"/>
  <c r="Q21" i="8"/>
  <c r="R21" i="8"/>
  <c r="N22" i="8"/>
  <c r="O22" i="8"/>
  <c r="P22" i="8"/>
  <c r="Q22" i="8"/>
  <c r="R22" i="8"/>
  <c r="N23" i="8"/>
  <c r="O23" i="8"/>
  <c r="P23" i="8"/>
  <c r="Q23" i="8"/>
  <c r="R23" i="8"/>
  <c r="N24" i="8"/>
  <c r="O24" i="8"/>
  <c r="P24" i="8"/>
  <c r="Q24" i="8"/>
  <c r="R24" i="8"/>
  <c r="N25" i="8"/>
  <c r="O25" i="8"/>
  <c r="P25" i="8"/>
  <c r="Q25" i="8"/>
  <c r="R25" i="8"/>
  <c r="N26" i="8"/>
  <c r="O26" i="8"/>
  <c r="P26" i="8"/>
  <c r="Q26" i="8"/>
  <c r="R26" i="8"/>
  <c r="N27" i="8"/>
  <c r="O27" i="8"/>
  <c r="P27" i="8"/>
  <c r="Q27" i="8"/>
  <c r="R27" i="8"/>
  <c r="N28" i="8"/>
  <c r="O28" i="8"/>
  <c r="P28" i="8"/>
  <c r="Q28" i="8"/>
  <c r="R28" i="8"/>
  <c r="N29" i="8"/>
  <c r="O29" i="8"/>
  <c r="P29" i="8"/>
  <c r="Q29" i="8"/>
  <c r="R29" i="8"/>
  <c r="N30" i="8"/>
  <c r="O30" i="8"/>
  <c r="P30" i="8"/>
  <c r="Q30" i="8"/>
  <c r="R30" i="8"/>
  <c r="N31" i="8"/>
  <c r="O31" i="8"/>
  <c r="P31" i="8"/>
  <c r="Q31" i="8"/>
  <c r="R31" i="8"/>
  <c r="N32" i="8"/>
  <c r="O32" i="8"/>
  <c r="P32" i="8"/>
  <c r="Q32" i="8"/>
  <c r="R32" i="8"/>
  <c r="N33" i="8"/>
  <c r="O33" i="8"/>
  <c r="P33" i="8"/>
  <c r="Q33" i="8"/>
  <c r="R33" i="8"/>
  <c r="N34" i="8"/>
  <c r="O34" i="8"/>
  <c r="P34" i="8"/>
  <c r="Q34" i="8"/>
  <c r="R34" i="8"/>
  <c r="N35" i="8"/>
  <c r="O35" i="8"/>
  <c r="P35" i="8"/>
  <c r="Q35" i="8"/>
  <c r="R35" i="8"/>
  <c r="N36" i="8"/>
  <c r="O36" i="8"/>
  <c r="P36" i="8"/>
  <c r="Q36" i="8"/>
  <c r="R36" i="8"/>
  <c r="N37" i="8"/>
  <c r="O37" i="8"/>
  <c r="P37" i="8"/>
  <c r="Q37" i="8"/>
  <c r="R37" i="8"/>
  <c r="N38" i="8"/>
  <c r="O38" i="8"/>
  <c r="P38" i="8"/>
  <c r="Q38" i="8"/>
  <c r="R38" i="8"/>
  <c r="N39" i="8"/>
  <c r="O39" i="8"/>
  <c r="P39" i="8"/>
  <c r="Q39" i="8"/>
  <c r="R39" i="8"/>
  <c r="N40" i="8"/>
  <c r="O40" i="8"/>
  <c r="P40" i="8"/>
  <c r="Q40" i="8"/>
  <c r="R40" i="8"/>
  <c r="N41" i="8"/>
  <c r="O41" i="8"/>
  <c r="P41" i="8"/>
  <c r="Q41" i="8"/>
  <c r="R41" i="8"/>
  <c r="N42" i="8"/>
  <c r="O42" i="8"/>
  <c r="P42" i="8"/>
  <c r="Q42" i="8"/>
  <c r="R42" i="8"/>
  <c r="N43" i="8"/>
  <c r="O43" i="8"/>
  <c r="P43" i="8"/>
  <c r="Q43" i="8"/>
  <c r="R43" i="8"/>
  <c r="N44" i="8"/>
  <c r="O44" i="8"/>
  <c r="P44" i="8"/>
  <c r="Q44" i="8"/>
  <c r="R44" i="8"/>
  <c r="N45" i="8"/>
  <c r="O45" i="8"/>
  <c r="P45" i="8"/>
  <c r="Q45" i="8"/>
  <c r="R45" i="8"/>
  <c r="N46" i="8"/>
  <c r="O46" i="8"/>
  <c r="P46" i="8"/>
  <c r="Q46" i="8"/>
  <c r="R46" i="8"/>
  <c r="N47" i="8"/>
  <c r="O47" i="8"/>
  <c r="P47" i="8"/>
  <c r="Q47" i="8"/>
  <c r="R47" i="8"/>
  <c r="N48" i="8"/>
  <c r="O48" i="8"/>
  <c r="P48" i="8"/>
  <c r="Q48" i="8"/>
  <c r="R48" i="8"/>
  <c r="N49" i="8"/>
  <c r="O49" i="8"/>
  <c r="P49" i="8"/>
  <c r="Q49" i="8"/>
  <c r="R49" i="8"/>
  <c r="N50" i="8"/>
  <c r="O50" i="8"/>
  <c r="P50" i="8"/>
  <c r="Q50" i="8"/>
  <c r="R50" i="8"/>
  <c r="N51" i="8"/>
  <c r="O51" i="8"/>
  <c r="P51" i="8"/>
  <c r="Q51" i="8"/>
  <c r="R51" i="8"/>
  <c r="N52" i="8"/>
  <c r="O52" i="8"/>
  <c r="P52" i="8"/>
  <c r="Q52" i="8"/>
  <c r="R52" i="8"/>
  <c r="N53" i="8"/>
  <c r="O53" i="8"/>
  <c r="P53" i="8"/>
  <c r="Q53" i="8"/>
  <c r="R53" i="8"/>
  <c r="N54" i="8"/>
  <c r="O54" i="8"/>
  <c r="P54" i="8"/>
  <c r="Q54" i="8"/>
  <c r="R54" i="8"/>
  <c r="N55" i="8"/>
  <c r="O55" i="8"/>
  <c r="P55" i="8"/>
  <c r="Q55" i="8"/>
  <c r="R55" i="8"/>
  <c r="N56" i="8"/>
  <c r="O56" i="8"/>
  <c r="P56" i="8"/>
  <c r="Q56" i="8"/>
  <c r="R56" i="8"/>
  <c r="T7" i="1"/>
  <c r="U7" i="1"/>
  <c r="V7" i="1"/>
  <c r="W7" i="1"/>
  <c r="X7" i="1"/>
  <c r="T8" i="1"/>
  <c r="U8" i="1"/>
  <c r="V8" i="1"/>
  <c r="W8" i="1"/>
  <c r="X8" i="1"/>
  <c r="T9" i="1"/>
  <c r="U9" i="1"/>
  <c r="V9" i="1"/>
  <c r="W9" i="1"/>
  <c r="X9" i="1"/>
  <c r="T10" i="1"/>
  <c r="U10" i="1"/>
  <c r="V10" i="1"/>
  <c r="W10" i="1"/>
  <c r="X10" i="1"/>
  <c r="T11" i="1"/>
  <c r="U11" i="1"/>
  <c r="V11" i="1"/>
  <c r="W11" i="1"/>
  <c r="X11" i="1"/>
  <c r="T12" i="1"/>
  <c r="U12" i="1"/>
  <c r="V12" i="1"/>
  <c r="W12" i="1"/>
  <c r="X12" i="1"/>
  <c r="T13" i="1"/>
  <c r="U13" i="1"/>
  <c r="V13" i="1"/>
  <c r="W13" i="1"/>
  <c r="X13" i="1"/>
  <c r="T14" i="1"/>
  <c r="U14" i="1"/>
  <c r="V14" i="1"/>
  <c r="W14" i="1"/>
  <c r="X14" i="1"/>
  <c r="T15" i="1"/>
  <c r="U15" i="1"/>
  <c r="V15" i="1"/>
  <c r="W15" i="1"/>
  <c r="X15" i="1"/>
  <c r="T16" i="1"/>
  <c r="U16" i="1"/>
  <c r="V16" i="1"/>
  <c r="W16" i="1"/>
  <c r="X16" i="1"/>
  <c r="T17" i="1"/>
  <c r="U17" i="1"/>
  <c r="V17" i="1"/>
  <c r="W17" i="1"/>
  <c r="X17" i="1"/>
  <c r="T18" i="1"/>
  <c r="U18" i="1"/>
  <c r="V18" i="1"/>
  <c r="W18" i="1"/>
  <c r="X18" i="1"/>
  <c r="T19" i="1"/>
  <c r="U19" i="1"/>
  <c r="V19" i="1"/>
  <c r="W19" i="1"/>
  <c r="X19" i="1"/>
  <c r="T20" i="1"/>
  <c r="U20" i="1"/>
  <c r="V20" i="1"/>
  <c r="W20" i="1"/>
  <c r="X20" i="1"/>
  <c r="T21" i="1"/>
  <c r="U21" i="1"/>
  <c r="V21" i="1"/>
  <c r="W21" i="1"/>
  <c r="X21" i="1"/>
  <c r="T22" i="1"/>
  <c r="U22" i="1"/>
  <c r="V22" i="1"/>
  <c r="W22" i="1"/>
  <c r="X22" i="1"/>
  <c r="T23" i="1"/>
  <c r="U23" i="1"/>
  <c r="V23" i="1"/>
  <c r="W23" i="1"/>
  <c r="X23" i="1"/>
  <c r="T24" i="1"/>
  <c r="U24" i="1"/>
  <c r="V24" i="1"/>
  <c r="W24" i="1"/>
  <c r="X24" i="1"/>
  <c r="T25" i="1"/>
  <c r="U25" i="1"/>
  <c r="V25" i="1"/>
  <c r="W25" i="1"/>
  <c r="X25" i="1"/>
  <c r="T26" i="1"/>
  <c r="U26" i="1"/>
  <c r="V26" i="1"/>
  <c r="W26" i="1"/>
  <c r="X26" i="1"/>
  <c r="T27" i="1"/>
  <c r="U27" i="1"/>
  <c r="V27" i="1"/>
  <c r="W27" i="1"/>
  <c r="X27" i="1"/>
  <c r="T28" i="1"/>
  <c r="U28" i="1"/>
  <c r="V28" i="1"/>
  <c r="W28" i="1"/>
  <c r="X28" i="1"/>
  <c r="T29" i="1"/>
  <c r="U29" i="1"/>
  <c r="V29" i="1"/>
  <c r="W29" i="1"/>
  <c r="X29" i="1"/>
  <c r="T30" i="1"/>
  <c r="U30" i="1"/>
  <c r="V30" i="1"/>
  <c r="W30" i="1"/>
  <c r="X30" i="1"/>
  <c r="T31" i="1"/>
  <c r="U31" i="1"/>
  <c r="V31" i="1"/>
  <c r="W31" i="1"/>
  <c r="X31" i="1"/>
  <c r="T32" i="1"/>
  <c r="U32" i="1"/>
  <c r="V32" i="1"/>
  <c r="W32" i="1"/>
  <c r="X32" i="1"/>
  <c r="T33" i="1"/>
  <c r="U33" i="1"/>
  <c r="V33" i="1"/>
  <c r="W33" i="1"/>
  <c r="X33" i="1"/>
  <c r="T34" i="1"/>
  <c r="U34" i="1"/>
  <c r="V34" i="1"/>
  <c r="W34" i="1"/>
  <c r="X34" i="1"/>
  <c r="T35" i="1"/>
  <c r="U35" i="1"/>
  <c r="V35" i="1"/>
  <c r="W35" i="1"/>
  <c r="X35" i="1"/>
  <c r="T36" i="1"/>
  <c r="U36" i="1"/>
  <c r="V36" i="1"/>
  <c r="W36" i="1"/>
  <c r="X36" i="1"/>
  <c r="T37" i="1"/>
  <c r="U37" i="1"/>
  <c r="V37" i="1"/>
  <c r="W37" i="1"/>
  <c r="X37" i="1"/>
  <c r="T38" i="1"/>
  <c r="U38" i="1"/>
  <c r="V38" i="1"/>
  <c r="W38" i="1"/>
  <c r="X38" i="1"/>
  <c r="T39" i="1"/>
  <c r="U39" i="1"/>
  <c r="V39" i="1"/>
  <c r="W39" i="1"/>
  <c r="X39" i="1"/>
  <c r="T40" i="1"/>
  <c r="U40" i="1"/>
  <c r="V40" i="1"/>
  <c r="W40" i="1"/>
  <c r="X40" i="1"/>
  <c r="T41" i="1"/>
  <c r="U41" i="1"/>
  <c r="V41" i="1"/>
  <c r="W41" i="1"/>
  <c r="X41" i="1"/>
  <c r="T42" i="1"/>
  <c r="U42" i="1"/>
  <c r="V42" i="1"/>
  <c r="W42" i="1"/>
  <c r="X42" i="1"/>
  <c r="T43" i="1"/>
  <c r="U43" i="1"/>
  <c r="V43" i="1"/>
  <c r="W43" i="1"/>
  <c r="X43" i="1"/>
  <c r="T44" i="1"/>
  <c r="U44" i="1"/>
  <c r="V44" i="1"/>
  <c r="W44" i="1"/>
  <c r="X44" i="1"/>
  <c r="T45" i="1"/>
  <c r="U45" i="1"/>
  <c r="V45" i="1"/>
  <c r="W45" i="1"/>
  <c r="X45" i="1"/>
  <c r="T46" i="1"/>
  <c r="U46" i="1"/>
  <c r="V46" i="1"/>
  <c r="W46" i="1"/>
  <c r="X46" i="1"/>
  <c r="T47" i="1"/>
  <c r="U47" i="1"/>
  <c r="V47" i="1"/>
  <c r="W47" i="1"/>
  <c r="X47" i="1"/>
  <c r="T48" i="1"/>
  <c r="U48" i="1"/>
  <c r="V48" i="1"/>
  <c r="W48" i="1"/>
  <c r="X48" i="1"/>
  <c r="T49" i="1"/>
  <c r="U49" i="1"/>
  <c r="V49" i="1"/>
  <c r="W49" i="1"/>
  <c r="X49" i="1"/>
  <c r="T50" i="1"/>
  <c r="U50" i="1"/>
  <c r="V50" i="1"/>
  <c r="W50" i="1"/>
  <c r="X50" i="1"/>
  <c r="T51" i="1"/>
  <c r="U51" i="1"/>
  <c r="V51" i="1"/>
  <c r="W51" i="1"/>
  <c r="X51" i="1"/>
  <c r="T52" i="1"/>
  <c r="U52" i="1"/>
  <c r="V52" i="1"/>
  <c r="W52" i="1"/>
  <c r="X52" i="1"/>
  <c r="T53" i="1"/>
  <c r="U53" i="1"/>
  <c r="V53" i="1"/>
  <c r="W53" i="1"/>
  <c r="X53" i="1"/>
  <c r="T54" i="1"/>
  <c r="U54" i="1"/>
  <c r="V54" i="1"/>
  <c r="W54" i="1"/>
  <c r="X54" i="1"/>
  <c r="T55" i="1"/>
  <c r="U55" i="1"/>
  <c r="V55" i="1"/>
  <c r="W55" i="1"/>
  <c r="X55" i="1"/>
  <c r="T56" i="1"/>
  <c r="U56" i="1"/>
  <c r="V56" i="1"/>
  <c r="W56" i="1"/>
  <c r="X56" i="1"/>
  <c r="N7" i="1"/>
  <c r="O7" i="1"/>
  <c r="P7" i="1"/>
  <c r="Q7" i="1"/>
  <c r="R7" i="1"/>
  <c r="N8" i="1"/>
  <c r="O8" i="1"/>
  <c r="P8" i="1"/>
  <c r="Q8" i="1"/>
  <c r="R8" i="1"/>
  <c r="N9" i="1"/>
  <c r="O9" i="1"/>
  <c r="P9" i="1"/>
  <c r="Q9" i="1"/>
  <c r="R9" i="1"/>
  <c r="N10" i="1"/>
  <c r="O10" i="1"/>
  <c r="P10" i="1"/>
  <c r="Q10" i="1"/>
  <c r="R10" i="1"/>
  <c r="N11" i="1"/>
  <c r="O11" i="1"/>
  <c r="P11" i="1"/>
  <c r="Q11" i="1"/>
  <c r="R11" i="1"/>
  <c r="N12" i="1"/>
  <c r="O12" i="1"/>
  <c r="P12" i="1"/>
  <c r="Q12" i="1"/>
  <c r="R12" i="1"/>
  <c r="N13" i="1"/>
  <c r="O13" i="1"/>
  <c r="P13" i="1"/>
  <c r="Q13" i="1"/>
  <c r="R13" i="1"/>
  <c r="N14" i="1"/>
  <c r="O14" i="1"/>
  <c r="P14" i="1"/>
  <c r="Q14" i="1"/>
  <c r="R14" i="1"/>
  <c r="N15" i="1"/>
  <c r="O15" i="1"/>
  <c r="P15" i="1"/>
  <c r="Q15" i="1"/>
  <c r="R15" i="1"/>
  <c r="N16" i="1"/>
  <c r="O16" i="1"/>
  <c r="P16" i="1"/>
  <c r="Q16" i="1"/>
  <c r="R16" i="1"/>
  <c r="N17" i="1"/>
  <c r="O17" i="1"/>
  <c r="P17" i="1"/>
  <c r="Q17" i="1"/>
  <c r="R17" i="1"/>
  <c r="N18" i="1"/>
  <c r="O18" i="1"/>
  <c r="P18" i="1"/>
  <c r="Q18" i="1"/>
  <c r="R18" i="1"/>
  <c r="N19" i="1"/>
  <c r="O19" i="1"/>
  <c r="P19" i="1"/>
  <c r="Q19" i="1"/>
  <c r="R19" i="1"/>
  <c r="N20" i="1"/>
  <c r="O20" i="1"/>
  <c r="P20" i="1"/>
  <c r="Q20" i="1"/>
  <c r="R20" i="1"/>
  <c r="N21" i="1"/>
  <c r="O21" i="1"/>
  <c r="P21" i="1"/>
  <c r="Q21" i="1"/>
  <c r="R21" i="1"/>
  <c r="N22" i="1"/>
  <c r="O22" i="1"/>
  <c r="P22" i="1"/>
  <c r="Q22" i="1"/>
  <c r="R22" i="1"/>
  <c r="N23" i="1"/>
  <c r="O23" i="1"/>
  <c r="P23" i="1"/>
  <c r="Q23" i="1"/>
  <c r="R23" i="1"/>
  <c r="N24" i="1"/>
  <c r="O24" i="1"/>
  <c r="P24" i="1"/>
  <c r="Q24" i="1"/>
  <c r="R24" i="1"/>
  <c r="N25" i="1"/>
  <c r="O25" i="1"/>
  <c r="P25" i="1"/>
  <c r="Q25" i="1"/>
  <c r="R25" i="1"/>
  <c r="N26" i="1"/>
  <c r="O26" i="1"/>
  <c r="P26" i="1"/>
  <c r="Q26" i="1"/>
  <c r="R26" i="1"/>
  <c r="N27" i="1"/>
  <c r="O27" i="1"/>
  <c r="P27" i="1"/>
  <c r="Q27" i="1"/>
  <c r="R27" i="1"/>
  <c r="N28" i="1"/>
  <c r="O28" i="1"/>
  <c r="P28" i="1"/>
  <c r="Q28" i="1"/>
  <c r="R28" i="1"/>
  <c r="N29" i="1"/>
  <c r="O29" i="1"/>
  <c r="P29" i="1"/>
  <c r="Q29" i="1"/>
  <c r="R29" i="1"/>
  <c r="N30" i="1"/>
  <c r="O30" i="1"/>
  <c r="P30" i="1"/>
  <c r="Q30" i="1"/>
  <c r="R30" i="1"/>
  <c r="N31" i="1"/>
  <c r="O31" i="1"/>
  <c r="P31" i="1"/>
  <c r="Q31" i="1"/>
  <c r="R31" i="1"/>
  <c r="N32" i="1"/>
  <c r="O32" i="1"/>
  <c r="P32" i="1"/>
  <c r="Q32" i="1"/>
  <c r="R32" i="1"/>
  <c r="N33" i="1"/>
  <c r="O33" i="1"/>
  <c r="P33" i="1"/>
  <c r="Q33" i="1"/>
  <c r="R33" i="1"/>
  <c r="N34" i="1"/>
  <c r="O34" i="1"/>
  <c r="P34" i="1"/>
  <c r="Q34" i="1"/>
  <c r="R34" i="1"/>
  <c r="N35" i="1"/>
  <c r="O35" i="1"/>
  <c r="P35" i="1"/>
  <c r="Q35" i="1"/>
  <c r="R35" i="1"/>
  <c r="N36" i="1"/>
  <c r="O36" i="1"/>
  <c r="P36" i="1"/>
  <c r="Q36" i="1"/>
  <c r="R36" i="1"/>
  <c r="N37" i="1"/>
  <c r="O37" i="1"/>
  <c r="P37" i="1"/>
  <c r="Q37" i="1"/>
  <c r="R37" i="1"/>
  <c r="N38" i="1"/>
  <c r="O38" i="1"/>
  <c r="P38" i="1"/>
  <c r="Q38" i="1"/>
  <c r="R38" i="1"/>
  <c r="N39" i="1"/>
  <c r="O39" i="1"/>
  <c r="P39" i="1"/>
  <c r="Q39" i="1"/>
  <c r="R39" i="1"/>
  <c r="N40" i="1"/>
  <c r="O40" i="1"/>
  <c r="P40" i="1"/>
  <c r="Q40" i="1"/>
  <c r="R40" i="1"/>
  <c r="N41" i="1"/>
  <c r="O41" i="1"/>
  <c r="P41" i="1"/>
  <c r="Q41" i="1"/>
  <c r="R41" i="1"/>
  <c r="N42" i="1"/>
  <c r="O42" i="1"/>
  <c r="P42" i="1"/>
  <c r="Q42" i="1"/>
  <c r="R42" i="1"/>
  <c r="N43" i="1"/>
  <c r="O43" i="1"/>
  <c r="P43" i="1"/>
  <c r="Q43" i="1"/>
  <c r="R43" i="1"/>
  <c r="N44" i="1"/>
  <c r="O44" i="1"/>
  <c r="P44" i="1"/>
  <c r="Q44" i="1"/>
  <c r="R44" i="1"/>
  <c r="N45" i="1"/>
  <c r="O45" i="1"/>
  <c r="P45" i="1"/>
  <c r="Q45" i="1"/>
  <c r="R45" i="1"/>
  <c r="N46" i="1"/>
  <c r="O46" i="1"/>
  <c r="P46" i="1"/>
  <c r="Q46" i="1"/>
  <c r="R46" i="1"/>
  <c r="N47" i="1"/>
  <c r="O47" i="1"/>
  <c r="P47" i="1"/>
  <c r="Q47" i="1"/>
  <c r="R47" i="1"/>
  <c r="N48" i="1"/>
  <c r="O48" i="1"/>
  <c r="P48" i="1"/>
  <c r="Q48" i="1"/>
  <c r="R48" i="1"/>
  <c r="N49" i="1"/>
  <c r="O49" i="1"/>
  <c r="P49" i="1"/>
  <c r="Q49" i="1"/>
  <c r="R49" i="1"/>
  <c r="N50" i="1"/>
  <c r="O50" i="1"/>
  <c r="P50" i="1"/>
  <c r="Q50" i="1"/>
  <c r="R50" i="1"/>
  <c r="N51" i="1"/>
  <c r="O51" i="1"/>
  <c r="P51" i="1"/>
  <c r="Q51" i="1"/>
  <c r="R51" i="1"/>
  <c r="N52" i="1"/>
  <c r="O52" i="1"/>
  <c r="P52" i="1"/>
  <c r="Q52" i="1"/>
  <c r="R52" i="1"/>
  <c r="N53" i="1"/>
  <c r="O53" i="1"/>
  <c r="P53" i="1"/>
  <c r="Q53" i="1"/>
  <c r="R53" i="1"/>
  <c r="N54" i="1"/>
  <c r="O54" i="1"/>
  <c r="P54" i="1"/>
  <c r="Q54" i="1"/>
  <c r="R54" i="1"/>
  <c r="N55" i="1"/>
  <c r="O55" i="1"/>
  <c r="P55" i="1"/>
  <c r="Q55" i="1"/>
  <c r="R55" i="1"/>
  <c r="N56" i="1"/>
  <c r="O56" i="1"/>
  <c r="P56" i="1"/>
  <c r="Q56" i="1"/>
  <c r="R56" i="1"/>
  <c r="S89" i="8" l="1"/>
  <c r="Y89" i="8"/>
  <c r="Z89" i="8" s="1"/>
  <c r="S85" i="8"/>
  <c r="E85" i="8" s="1"/>
  <c r="Y85" i="8"/>
  <c r="Z85" i="8" s="1"/>
  <c r="S81" i="8"/>
  <c r="E81" i="8" s="1"/>
  <c r="Y81" i="8"/>
  <c r="X68" i="9"/>
  <c r="E68" i="9" s="1"/>
  <c r="U68" i="9"/>
  <c r="AF68" i="9"/>
  <c r="W92" i="9"/>
  <c r="AD90" i="10"/>
  <c r="AM90" i="10"/>
  <c r="AN90" i="10" s="1"/>
  <c r="AD82" i="10"/>
  <c r="AM82" i="10"/>
  <c r="AD78" i="10"/>
  <c r="AM78" i="10"/>
  <c r="AD74" i="10"/>
  <c r="AM74" i="10"/>
  <c r="AN74" i="10" s="1"/>
  <c r="AD66" i="10"/>
  <c r="AM66" i="10"/>
  <c r="AN66" i="10" s="1"/>
  <c r="S90" i="8"/>
  <c r="E90" i="8" s="1"/>
  <c r="Y90" i="8"/>
  <c r="S86" i="8"/>
  <c r="E86" i="8" s="1"/>
  <c r="Y86" i="8"/>
  <c r="S82" i="8"/>
  <c r="Y82" i="8"/>
  <c r="S78" i="8"/>
  <c r="E78" i="8" s="1"/>
  <c r="Y78" i="8"/>
  <c r="S74" i="8"/>
  <c r="E74" i="8" s="1"/>
  <c r="Y74" i="8"/>
  <c r="Z74" i="8" s="1"/>
  <c r="S70" i="8"/>
  <c r="E70" i="8" s="1"/>
  <c r="Y70" i="8"/>
  <c r="S66" i="8"/>
  <c r="E66" i="8" s="1"/>
  <c r="Y66" i="8"/>
  <c r="Z66" i="8" s="1"/>
  <c r="X93" i="9"/>
  <c r="U93" i="9"/>
  <c r="AF93" i="9"/>
  <c r="X89" i="9"/>
  <c r="U89" i="9"/>
  <c r="AF89" i="9"/>
  <c r="AG89" i="9" s="1"/>
  <c r="X85" i="9"/>
  <c r="U85" i="9"/>
  <c r="AF85" i="9"/>
  <c r="AG85" i="9" s="1"/>
  <c r="X81" i="9"/>
  <c r="E81" i="9" s="1"/>
  <c r="U81" i="9"/>
  <c r="AF81" i="9"/>
  <c r="X77" i="9"/>
  <c r="U77" i="9"/>
  <c r="AF77" i="9"/>
  <c r="X73" i="9"/>
  <c r="E73" i="9" s="1"/>
  <c r="U73" i="9"/>
  <c r="AF73" i="9"/>
  <c r="X69" i="9"/>
  <c r="U69" i="9"/>
  <c r="AF69" i="9"/>
  <c r="AG69" i="9" s="1"/>
  <c r="X65" i="9"/>
  <c r="E65" i="9" s="1"/>
  <c r="U65" i="9"/>
  <c r="AF65" i="9"/>
  <c r="V76" i="9"/>
  <c r="V68" i="9"/>
  <c r="AD91" i="10"/>
  <c r="AM91" i="10"/>
  <c r="AD87" i="10"/>
  <c r="AM87" i="10"/>
  <c r="AD83" i="10"/>
  <c r="E83" i="10" s="1"/>
  <c r="AM83" i="10"/>
  <c r="AD79" i="10"/>
  <c r="E79" i="10" s="1"/>
  <c r="AM79" i="10"/>
  <c r="AD75" i="10"/>
  <c r="AM75" i="10"/>
  <c r="AD71" i="10"/>
  <c r="AM71" i="10"/>
  <c r="AD67" i="10"/>
  <c r="E67" i="10" s="1"/>
  <c r="AM67" i="10"/>
  <c r="S77" i="8"/>
  <c r="E77" i="8" s="1"/>
  <c r="Y77" i="8"/>
  <c r="S73" i="8"/>
  <c r="E73" i="8" s="1"/>
  <c r="Y73" i="8"/>
  <c r="S69" i="8"/>
  <c r="E69" i="8" s="1"/>
  <c r="Y69" i="8"/>
  <c r="X88" i="9"/>
  <c r="U88" i="9"/>
  <c r="AF88" i="9"/>
  <c r="X84" i="9"/>
  <c r="U84" i="9"/>
  <c r="AF84" i="9"/>
  <c r="X80" i="9"/>
  <c r="U80" i="9"/>
  <c r="AF80" i="9"/>
  <c r="X72" i="9"/>
  <c r="U72" i="9"/>
  <c r="AF72" i="9"/>
  <c r="X64" i="9"/>
  <c r="U64" i="9"/>
  <c r="AF64" i="9"/>
  <c r="W72" i="9"/>
  <c r="W68" i="9"/>
  <c r="S91" i="8"/>
  <c r="E91" i="8" s="1"/>
  <c r="Y91" i="8"/>
  <c r="S87" i="8"/>
  <c r="E87" i="8" s="1"/>
  <c r="Y87" i="8"/>
  <c r="S83" i="8"/>
  <c r="E83" i="8" s="1"/>
  <c r="Y83" i="8"/>
  <c r="Z83" i="8" s="1"/>
  <c r="S79" i="8"/>
  <c r="E79" i="8" s="1"/>
  <c r="Y79" i="8"/>
  <c r="Z79" i="8" s="1"/>
  <c r="S75" i="8"/>
  <c r="E75" i="8" s="1"/>
  <c r="Y75" i="8"/>
  <c r="S71" i="8"/>
  <c r="E71" i="8" s="1"/>
  <c r="Y71" i="8"/>
  <c r="S67" i="8"/>
  <c r="E67" i="8" s="1"/>
  <c r="Y67" i="8"/>
  <c r="Z67" i="8" s="1"/>
  <c r="S63" i="8"/>
  <c r="E63" i="8" s="1"/>
  <c r="Y63" i="8"/>
  <c r="X90" i="9"/>
  <c r="E90" i="9" s="1"/>
  <c r="U90" i="9"/>
  <c r="AF90" i="9"/>
  <c r="AG90" i="9" s="1"/>
  <c r="X86" i="9"/>
  <c r="U86" i="9"/>
  <c r="AF86" i="9"/>
  <c r="AG86" i="9" s="1"/>
  <c r="X82" i="9"/>
  <c r="E82" i="9" s="1"/>
  <c r="U82" i="9"/>
  <c r="AF82" i="9"/>
  <c r="AG82" i="9" s="1"/>
  <c r="X78" i="9"/>
  <c r="U78" i="9"/>
  <c r="AF78" i="9"/>
  <c r="X74" i="9"/>
  <c r="U74" i="9"/>
  <c r="AF74" i="9"/>
  <c r="AG74" i="9" s="1"/>
  <c r="X70" i="9"/>
  <c r="U70" i="9"/>
  <c r="AF70" i="9"/>
  <c r="AG70" i="9" s="1"/>
  <c r="X66" i="9"/>
  <c r="U66" i="9"/>
  <c r="AF66" i="9"/>
  <c r="AG66" i="9" s="1"/>
  <c r="W93" i="9"/>
  <c r="W89" i="9"/>
  <c r="W85" i="9"/>
  <c r="W81" i="9"/>
  <c r="W77" i="9"/>
  <c r="W73" i="9"/>
  <c r="W69" i="9"/>
  <c r="W65" i="9"/>
  <c r="AD92" i="10"/>
  <c r="AM92" i="10"/>
  <c r="AD88" i="10"/>
  <c r="AM88" i="10"/>
  <c r="AD84" i="10"/>
  <c r="AM84" i="10"/>
  <c r="AD80" i="10"/>
  <c r="AM80" i="10"/>
  <c r="AD76" i="10"/>
  <c r="AM76" i="10"/>
  <c r="AD72" i="10"/>
  <c r="AM72" i="10"/>
  <c r="AD68" i="10"/>
  <c r="AM68" i="10"/>
  <c r="AD64" i="10"/>
  <c r="AM64" i="10"/>
  <c r="S65" i="8"/>
  <c r="E65" i="8" s="1"/>
  <c r="Y65" i="8"/>
  <c r="Z65" i="8" s="1"/>
  <c r="X92" i="9"/>
  <c r="U92" i="9"/>
  <c r="AF92" i="9"/>
  <c r="X76" i="9"/>
  <c r="U76" i="9"/>
  <c r="AF76" i="9"/>
  <c r="W88" i="9"/>
  <c r="W84" i="9"/>
  <c r="W80" i="9"/>
  <c r="W64" i="9"/>
  <c r="AD86" i="10"/>
  <c r="AM86" i="10"/>
  <c r="AD70" i="10"/>
  <c r="AM70" i="10"/>
  <c r="S92" i="8"/>
  <c r="E92" i="8" s="1"/>
  <c r="Y92" i="8"/>
  <c r="S88" i="8"/>
  <c r="Y88" i="8"/>
  <c r="Z88" i="8" s="1"/>
  <c r="S84" i="8"/>
  <c r="E84" i="8" s="1"/>
  <c r="Y84" i="8"/>
  <c r="S80" i="8"/>
  <c r="E80" i="8" s="1"/>
  <c r="Y80" i="8"/>
  <c r="S76" i="8"/>
  <c r="E76" i="8" s="1"/>
  <c r="Y76" i="8"/>
  <c r="Z76" i="8" s="1"/>
  <c r="S72" i="8"/>
  <c r="Y72" i="8"/>
  <c r="S68" i="8"/>
  <c r="E68" i="8" s="1"/>
  <c r="Y68" i="8"/>
  <c r="S64" i="8"/>
  <c r="E64" i="8" s="1"/>
  <c r="Y64" i="8"/>
  <c r="X91" i="9"/>
  <c r="E91" i="9" s="1"/>
  <c r="U91" i="9"/>
  <c r="AF91" i="9"/>
  <c r="AG91" i="9" s="1"/>
  <c r="X87" i="9"/>
  <c r="U87" i="9"/>
  <c r="AF87" i="9"/>
  <c r="AG87" i="9" s="1"/>
  <c r="X83" i="9"/>
  <c r="U83" i="9"/>
  <c r="AF83" i="9"/>
  <c r="AG83" i="9" s="1"/>
  <c r="X79" i="9"/>
  <c r="E79" i="9" s="1"/>
  <c r="U79" i="9"/>
  <c r="AF79" i="9"/>
  <c r="X75" i="9"/>
  <c r="U75" i="9"/>
  <c r="AF75" i="9"/>
  <c r="AG75" i="9" s="1"/>
  <c r="X71" i="9"/>
  <c r="E71" i="9" s="1"/>
  <c r="U71" i="9"/>
  <c r="AF71" i="9"/>
  <c r="X67" i="9"/>
  <c r="E67" i="9" s="1"/>
  <c r="U67" i="9"/>
  <c r="AF67" i="9"/>
  <c r="AG67" i="9" s="1"/>
  <c r="V91" i="9"/>
  <c r="V87" i="9"/>
  <c r="V83" i="9"/>
  <c r="V79" i="9"/>
  <c r="V75" i="9"/>
  <c r="V71" i="9"/>
  <c r="V67" i="9"/>
  <c r="AD93" i="10"/>
  <c r="AM93" i="10"/>
  <c r="AD89" i="10"/>
  <c r="E89" i="10" s="1"/>
  <c r="AM89" i="10"/>
  <c r="AD85" i="10"/>
  <c r="AM85" i="10"/>
  <c r="AD81" i="10"/>
  <c r="AM81" i="10"/>
  <c r="AD77" i="10"/>
  <c r="E77" i="10" s="1"/>
  <c r="AM77" i="10"/>
  <c r="AD73" i="10"/>
  <c r="AM73" i="10"/>
  <c r="AD69" i="10"/>
  <c r="AM69" i="10"/>
  <c r="AD65" i="10"/>
  <c r="AM65" i="10"/>
  <c r="Y28" i="1"/>
  <c r="Z28" i="1" s="1"/>
  <c r="Z92" i="8"/>
  <c r="E88" i="8"/>
  <c r="Z72" i="8"/>
  <c r="E72" i="8"/>
  <c r="E89" i="8"/>
  <c r="E82" i="8"/>
  <c r="Z71" i="8"/>
  <c r="Z91" i="1"/>
  <c r="Z75" i="1"/>
  <c r="Z77" i="1"/>
  <c r="X56" i="9"/>
  <c r="E56" i="9" s="1"/>
  <c r="X52" i="9"/>
  <c r="E52" i="9" s="1"/>
  <c r="X48" i="9"/>
  <c r="E48" i="9" s="1"/>
  <c r="X44" i="9"/>
  <c r="E44" i="9" s="1"/>
  <c r="X40" i="9"/>
  <c r="E40" i="9" s="1"/>
  <c r="X36" i="9"/>
  <c r="E36" i="9" s="1"/>
  <c r="X32" i="9"/>
  <c r="E32" i="9" s="1"/>
  <c r="X28" i="9"/>
  <c r="E28" i="9" s="1"/>
  <c r="X24" i="9"/>
  <c r="E24" i="9" s="1"/>
  <c r="X20" i="9"/>
  <c r="E20" i="9" s="1"/>
  <c r="X16" i="9"/>
  <c r="E16" i="9" s="1"/>
  <c r="X12" i="9"/>
  <c r="E12" i="9" s="1"/>
  <c r="AF55" i="9"/>
  <c r="AG55" i="9" s="1"/>
  <c r="AF51" i="9"/>
  <c r="AG51" i="9" s="1"/>
  <c r="AF47" i="9"/>
  <c r="AG47" i="9" s="1"/>
  <c r="AF43" i="9"/>
  <c r="AG43" i="9" s="1"/>
  <c r="AF39" i="9"/>
  <c r="AG39" i="9" s="1"/>
  <c r="AF35" i="9"/>
  <c r="AG35" i="9" s="1"/>
  <c r="AF31" i="9"/>
  <c r="AG31" i="9" s="1"/>
  <c r="AF27" i="9"/>
  <c r="AG27" i="9" s="1"/>
  <c r="AF23" i="9"/>
  <c r="AG23" i="9" s="1"/>
  <c r="AF19" i="9"/>
  <c r="AG19" i="9" s="1"/>
  <c r="AF15" i="9"/>
  <c r="AG15" i="9" s="1"/>
  <c r="AF11" i="9"/>
  <c r="AG11" i="9" s="1"/>
  <c r="X57" i="9"/>
  <c r="E57" i="9" s="1"/>
  <c r="X49" i="9"/>
  <c r="E49" i="9" s="1"/>
  <c r="X41" i="9"/>
  <c r="E41" i="9" s="1"/>
  <c r="X33" i="9"/>
  <c r="E33" i="9" s="1"/>
  <c r="X25" i="9"/>
  <c r="E25" i="9" s="1"/>
  <c r="X17" i="9"/>
  <c r="E17" i="9" s="1"/>
  <c r="X9" i="9"/>
  <c r="E9" i="9" s="1"/>
  <c r="AF56" i="9"/>
  <c r="AG56" i="9" s="1"/>
  <c r="AF48" i="9"/>
  <c r="AG48" i="9" s="1"/>
  <c r="AF36" i="9"/>
  <c r="AG36" i="9" s="1"/>
  <c r="AF32" i="9"/>
  <c r="AG32" i="9" s="1"/>
  <c r="AF28" i="9"/>
  <c r="AG28" i="9" s="1"/>
  <c r="AF24" i="9"/>
  <c r="AG24" i="9" s="1"/>
  <c r="AF20" i="9"/>
  <c r="AG20" i="9" s="1"/>
  <c r="AF16" i="9"/>
  <c r="AG16" i="9" s="1"/>
  <c r="X53" i="9"/>
  <c r="E53" i="9" s="1"/>
  <c r="X45" i="9"/>
  <c r="E45" i="9" s="1"/>
  <c r="X37" i="9"/>
  <c r="E37" i="9" s="1"/>
  <c r="X29" i="9"/>
  <c r="E29" i="9" s="1"/>
  <c r="X21" i="9"/>
  <c r="E21" i="9" s="1"/>
  <c r="X13" i="9"/>
  <c r="E13" i="9" s="1"/>
  <c r="AF52" i="9"/>
  <c r="AG52" i="9" s="1"/>
  <c r="AF44" i="9"/>
  <c r="AG44" i="9" s="1"/>
  <c r="AF40" i="9"/>
  <c r="AG40" i="9" s="1"/>
  <c r="X54" i="9"/>
  <c r="E54" i="9" s="1"/>
  <c r="X50" i="9"/>
  <c r="E50" i="9" s="1"/>
  <c r="X46" i="9"/>
  <c r="E46" i="9" s="1"/>
  <c r="X42" i="9"/>
  <c r="E42" i="9" s="1"/>
  <c r="X38" i="9"/>
  <c r="E38" i="9" s="1"/>
  <c r="X34" i="9"/>
  <c r="E34" i="9" s="1"/>
  <c r="X30" i="9"/>
  <c r="E30" i="9" s="1"/>
  <c r="X26" i="9"/>
  <c r="E26" i="9" s="1"/>
  <c r="X22" i="9"/>
  <c r="E22" i="9" s="1"/>
  <c r="X18" i="9"/>
  <c r="E18" i="9" s="1"/>
  <c r="X14" i="9"/>
  <c r="E14" i="9" s="1"/>
  <c r="X10" i="9"/>
  <c r="E10" i="9" s="1"/>
  <c r="AF57" i="9"/>
  <c r="AG57" i="9" s="1"/>
  <c r="AF53" i="9"/>
  <c r="AG53" i="9" s="1"/>
  <c r="AF49" i="9"/>
  <c r="AG49" i="9" s="1"/>
  <c r="AF45" i="9"/>
  <c r="AG45" i="9" s="1"/>
  <c r="AF41" i="9"/>
  <c r="AG41" i="9" s="1"/>
  <c r="AF37" i="9"/>
  <c r="AG37" i="9" s="1"/>
  <c r="AF33" i="9"/>
  <c r="AG33" i="9" s="1"/>
  <c r="AF29" i="9"/>
  <c r="AG29" i="9" s="1"/>
  <c r="AF25" i="9"/>
  <c r="AG25" i="9" s="1"/>
  <c r="AF21" i="9"/>
  <c r="AG21" i="9" s="1"/>
  <c r="AF17" i="9"/>
  <c r="AG17" i="9" s="1"/>
  <c r="AF13" i="9"/>
  <c r="AG13" i="9" s="1"/>
  <c r="AF9" i="9"/>
  <c r="AG9" i="9" s="1"/>
  <c r="Z80" i="1"/>
  <c r="Z64" i="1"/>
  <c r="AF12" i="9"/>
  <c r="AG12" i="9" s="1"/>
  <c r="AF8" i="9"/>
  <c r="AG8" i="9" s="1"/>
  <c r="Z79" i="1"/>
  <c r="X55" i="9"/>
  <c r="E55" i="9" s="1"/>
  <c r="X51" i="9"/>
  <c r="E51" i="9" s="1"/>
  <c r="X47" i="9"/>
  <c r="E47" i="9" s="1"/>
  <c r="X43" i="9"/>
  <c r="E43" i="9" s="1"/>
  <c r="X39" i="9"/>
  <c r="E39" i="9" s="1"/>
  <c r="X35" i="9"/>
  <c r="E35" i="9" s="1"/>
  <c r="X31" i="9"/>
  <c r="E31" i="9" s="1"/>
  <c r="X27" i="9"/>
  <c r="E27" i="9" s="1"/>
  <c r="X23" i="9"/>
  <c r="E23" i="9" s="1"/>
  <c r="X19" i="9"/>
  <c r="E19" i="9" s="1"/>
  <c r="X15" i="9"/>
  <c r="E15" i="9" s="1"/>
  <c r="X11" i="9"/>
  <c r="E11" i="9" s="1"/>
  <c r="X8" i="9"/>
  <c r="E8" i="9" s="1"/>
  <c r="AF54" i="9"/>
  <c r="AG54" i="9" s="1"/>
  <c r="AF50" i="9"/>
  <c r="AG50" i="9" s="1"/>
  <c r="AF46" i="9"/>
  <c r="AG46" i="9" s="1"/>
  <c r="AF42" i="9"/>
  <c r="AG42" i="9" s="1"/>
  <c r="AF38" i="9"/>
  <c r="AG38" i="9" s="1"/>
  <c r="AF34" i="9"/>
  <c r="AG34" i="9" s="1"/>
  <c r="AF30" i="9"/>
  <c r="AG30" i="9" s="1"/>
  <c r="AF26" i="9"/>
  <c r="AG26" i="9" s="1"/>
  <c r="AF22" i="9"/>
  <c r="AG22" i="9" s="1"/>
  <c r="AF18" i="9"/>
  <c r="AG18" i="9" s="1"/>
  <c r="AF14" i="9"/>
  <c r="AG14" i="9" s="1"/>
  <c r="AF10" i="9"/>
  <c r="AG10" i="9" s="1"/>
  <c r="AM57" i="10"/>
  <c r="AN57" i="10" s="1"/>
  <c r="AM56" i="10"/>
  <c r="AN56" i="10" s="1"/>
  <c r="AM55" i="10"/>
  <c r="AN55" i="10" s="1"/>
  <c r="AM54" i="10"/>
  <c r="AN54" i="10" s="1"/>
  <c r="AM53" i="10"/>
  <c r="AN53" i="10" s="1"/>
  <c r="AM52" i="10"/>
  <c r="AN52" i="10" s="1"/>
  <c r="AM51" i="10"/>
  <c r="AN51" i="10" s="1"/>
  <c r="AM50" i="10"/>
  <c r="AN50" i="10" s="1"/>
  <c r="AM49" i="10"/>
  <c r="AN49" i="10" s="1"/>
  <c r="AM48" i="10"/>
  <c r="AN48" i="10" s="1"/>
  <c r="AM47" i="10"/>
  <c r="AN47" i="10" s="1"/>
  <c r="AM46" i="10"/>
  <c r="AN46" i="10" s="1"/>
  <c r="AM45" i="10"/>
  <c r="AN45" i="10" s="1"/>
  <c r="AM44" i="10"/>
  <c r="AN44" i="10" s="1"/>
  <c r="AM43" i="10"/>
  <c r="AN43" i="10" s="1"/>
  <c r="AM42" i="10"/>
  <c r="AN42" i="10" s="1"/>
  <c r="AM41" i="10"/>
  <c r="AN41" i="10" s="1"/>
  <c r="AM40" i="10"/>
  <c r="AN40" i="10" s="1"/>
  <c r="AM39" i="10"/>
  <c r="AN39" i="10" s="1"/>
  <c r="AM38" i="10"/>
  <c r="AN38" i="10" s="1"/>
  <c r="AM37" i="10"/>
  <c r="AN37" i="10" s="1"/>
  <c r="AM36" i="10"/>
  <c r="AN36" i="10" s="1"/>
  <c r="AM35" i="10"/>
  <c r="AN35" i="10" s="1"/>
  <c r="AM34" i="10"/>
  <c r="AN34" i="10" s="1"/>
  <c r="AM33" i="10"/>
  <c r="AN33" i="10" s="1"/>
  <c r="AM32" i="10"/>
  <c r="AN32" i="10" s="1"/>
  <c r="AM31" i="10"/>
  <c r="AN31" i="10" s="1"/>
  <c r="AM30" i="10"/>
  <c r="AN30" i="10" s="1"/>
  <c r="AM29" i="10"/>
  <c r="AN29" i="10" s="1"/>
  <c r="AM28" i="10"/>
  <c r="AN28" i="10" s="1"/>
  <c r="AM27" i="10"/>
  <c r="AN27" i="10" s="1"/>
  <c r="AM26" i="10"/>
  <c r="AN26" i="10" s="1"/>
  <c r="AM25" i="10"/>
  <c r="AN25" i="10" s="1"/>
  <c r="AM24" i="10"/>
  <c r="AN24" i="10" s="1"/>
  <c r="AM23" i="10"/>
  <c r="AN23" i="10" s="1"/>
  <c r="AM22" i="10"/>
  <c r="AN22" i="10" s="1"/>
  <c r="AM21" i="10"/>
  <c r="AN21" i="10" s="1"/>
  <c r="AM20" i="10"/>
  <c r="AN20" i="10" s="1"/>
  <c r="AM19" i="10"/>
  <c r="AN19" i="10" s="1"/>
  <c r="AM18" i="10"/>
  <c r="AN18" i="10" s="1"/>
  <c r="AM17" i="10"/>
  <c r="AN17" i="10" s="1"/>
  <c r="AM16" i="10"/>
  <c r="AN16" i="10" s="1"/>
  <c r="AM15" i="10"/>
  <c r="AN15" i="10" s="1"/>
  <c r="AM14" i="10"/>
  <c r="AN14" i="10" s="1"/>
  <c r="AM13" i="10"/>
  <c r="AN13" i="10" s="1"/>
  <c r="AM12" i="10"/>
  <c r="AN12" i="10" s="1"/>
  <c r="AM11" i="10"/>
  <c r="AN11" i="10" s="1"/>
  <c r="AM10" i="10"/>
  <c r="AN10" i="10" s="1"/>
  <c r="AM9" i="10"/>
  <c r="AN9" i="10" s="1"/>
  <c r="AM8" i="10"/>
  <c r="AN8" i="10" s="1"/>
  <c r="Z87" i="1"/>
  <c r="Z71" i="1"/>
  <c r="Z67" i="1"/>
  <c r="Y51" i="8"/>
  <c r="Z51" i="8" s="1"/>
  <c r="S19" i="8"/>
  <c r="E19" i="8" s="1"/>
  <c r="Y27" i="8"/>
  <c r="Z27" i="8" s="1"/>
  <c r="AN82" i="10"/>
  <c r="Z82" i="1"/>
  <c r="Z63" i="1"/>
  <c r="Z83" i="1"/>
  <c r="Z66" i="1"/>
  <c r="Z92" i="1"/>
  <c r="Z89" i="1"/>
  <c r="Z78" i="1"/>
  <c r="Z76" i="1"/>
  <c r="Z73" i="1"/>
  <c r="Y56" i="1"/>
  <c r="Z56" i="1" s="1"/>
  <c r="Y55" i="1"/>
  <c r="Z55" i="1" s="1"/>
  <c r="Y42" i="1"/>
  <c r="Z42" i="1" s="1"/>
  <c r="Y26" i="1"/>
  <c r="Z26" i="1" s="1"/>
  <c r="Y10" i="1"/>
  <c r="Z10" i="1" s="1"/>
  <c r="Y7" i="1"/>
  <c r="Z7" i="1" s="1"/>
  <c r="Z90" i="1"/>
  <c r="Z88" i="1"/>
  <c r="Z85" i="1"/>
  <c r="Z74" i="1"/>
  <c r="Z72" i="1"/>
  <c r="Z69" i="1"/>
  <c r="Z86" i="1"/>
  <c r="Z84" i="1"/>
  <c r="Z81" i="1"/>
  <c r="Z70" i="1"/>
  <c r="Z68" i="1"/>
  <c r="Z65" i="1"/>
  <c r="AG93" i="9"/>
  <c r="AG78" i="9"/>
  <c r="E83" i="9"/>
  <c r="E91" i="10"/>
  <c r="E75" i="10"/>
  <c r="AG77" i="9"/>
  <c r="S56" i="8"/>
  <c r="E56" i="8" s="1"/>
  <c r="S43" i="8"/>
  <c r="E43" i="8" s="1"/>
  <c r="S40" i="8"/>
  <c r="E40" i="8" s="1"/>
  <c r="Y43" i="8"/>
  <c r="Z43" i="8" s="1"/>
  <c r="Y39" i="8"/>
  <c r="Z39" i="8" s="1"/>
  <c r="Y25" i="8"/>
  <c r="Z25" i="8" s="1"/>
  <c r="Y11" i="8"/>
  <c r="Z11" i="8" s="1"/>
  <c r="S35" i="8"/>
  <c r="E35" i="8" s="1"/>
  <c r="S23" i="8"/>
  <c r="E23" i="8" s="1"/>
  <c r="S21" i="8"/>
  <c r="E21" i="8" s="1"/>
  <c r="Y31" i="8"/>
  <c r="Z31" i="8" s="1"/>
  <c r="S27" i="8"/>
  <c r="E27" i="8" s="1"/>
  <c r="S15" i="8"/>
  <c r="E15" i="8" s="1"/>
  <c r="S7" i="8"/>
  <c r="E7" i="8" s="1"/>
  <c r="Y35" i="8"/>
  <c r="Z35" i="8" s="1"/>
  <c r="Y15" i="8"/>
  <c r="Z15" i="8" s="1"/>
  <c r="S51" i="8"/>
  <c r="E51" i="8" s="1"/>
  <c r="S11" i="8"/>
  <c r="E11" i="8" s="1"/>
  <c r="S8" i="8"/>
  <c r="E8" i="8" s="1"/>
  <c r="Y19" i="8"/>
  <c r="Z19" i="8" s="1"/>
  <c r="Y7" i="8"/>
  <c r="Z7" i="8" s="1"/>
  <c r="S31" i="8"/>
  <c r="E31" i="8" s="1"/>
  <c r="S24" i="8"/>
  <c r="E24" i="8" s="1"/>
  <c r="Y23" i="8"/>
  <c r="Z23" i="8" s="1"/>
  <c r="Y9" i="8"/>
  <c r="Z9" i="8" s="1"/>
  <c r="S55" i="8"/>
  <c r="E55" i="8" s="1"/>
  <c r="S53" i="8"/>
  <c r="E53" i="8" s="1"/>
  <c r="S47" i="8"/>
  <c r="E47" i="8" s="1"/>
  <c r="S39" i="8"/>
  <c r="E39" i="8" s="1"/>
  <c r="S37" i="8"/>
  <c r="E37" i="8" s="1"/>
  <c r="Y47" i="8"/>
  <c r="Z47" i="8" s="1"/>
  <c r="Y41" i="8"/>
  <c r="Z41" i="8" s="1"/>
  <c r="S42" i="8"/>
  <c r="E42" i="8" s="1"/>
  <c r="S26" i="8"/>
  <c r="E26" i="8" s="1"/>
  <c r="S10" i="8"/>
  <c r="E10" i="8" s="1"/>
  <c r="Y50" i="8"/>
  <c r="Z50" i="8" s="1"/>
  <c r="Y40" i="8"/>
  <c r="Z40" i="8" s="1"/>
  <c r="Y34" i="8"/>
  <c r="Z34" i="8" s="1"/>
  <c r="Y24" i="8"/>
  <c r="Z24" i="8" s="1"/>
  <c r="Y18" i="8"/>
  <c r="Z18" i="8" s="1"/>
  <c r="Y8" i="8"/>
  <c r="Z8" i="8" s="1"/>
  <c r="S52" i="8"/>
  <c r="E52" i="8" s="1"/>
  <c r="S49" i="8"/>
  <c r="E49" i="8" s="1"/>
  <c r="S38" i="8"/>
  <c r="E38" i="8" s="1"/>
  <c r="S36" i="8"/>
  <c r="E36" i="8" s="1"/>
  <c r="S33" i="8"/>
  <c r="E33" i="8" s="1"/>
  <c r="S22" i="8"/>
  <c r="E22" i="8" s="1"/>
  <c r="S20" i="8"/>
  <c r="E20" i="8" s="1"/>
  <c r="S17" i="8"/>
  <c r="E17" i="8" s="1"/>
  <c r="Y56" i="8"/>
  <c r="Z56" i="8" s="1"/>
  <c r="Y55" i="8"/>
  <c r="Z55" i="8" s="1"/>
  <c r="Y53" i="8"/>
  <c r="Z53" i="8" s="1"/>
  <c r="Y52" i="8"/>
  <c r="Z52" i="8" s="1"/>
  <c r="Y46" i="8"/>
  <c r="Z46" i="8" s="1"/>
  <c r="Y37" i="8"/>
  <c r="Z37" i="8" s="1"/>
  <c r="Y36" i="8"/>
  <c r="Z36" i="8" s="1"/>
  <c r="Y30" i="8"/>
  <c r="Z30" i="8" s="1"/>
  <c r="Y21" i="8"/>
  <c r="Z21" i="8" s="1"/>
  <c r="Y20" i="8"/>
  <c r="Z20" i="8" s="1"/>
  <c r="Y14" i="8"/>
  <c r="Z14" i="8" s="1"/>
  <c r="S48" i="8"/>
  <c r="E48" i="8" s="1"/>
  <c r="S45" i="8"/>
  <c r="E45" i="8" s="1"/>
  <c r="S34" i="8"/>
  <c r="E34" i="8" s="1"/>
  <c r="S32" i="8"/>
  <c r="E32" i="8" s="1"/>
  <c r="S29" i="8"/>
  <c r="E29" i="8" s="1"/>
  <c r="S18" i="8"/>
  <c r="E18" i="8" s="1"/>
  <c r="S16" i="8"/>
  <c r="E16" i="8" s="1"/>
  <c r="S13" i="8"/>
  <c r="E13" i="8" s="1"/>
  <c r="Y49" i="8"/>
  <c r="Z49" i="8" s="1"/>
  <c r="Y48" i="8"/>
  <c r="Z48" i="8" s="1"/>
  <c r="Y42" i="8"/>
  <c r="Z42" i="8" s="1"/>
  <c r="Y33" i="8"/>
  <c r="Z33" i="8" s="1"/>
  <c r="Y32" i="8"/>
  <c r="Z32" i="8" s="1"/>
  <c r="Y26" i="8"/>
  <c r="Z26" i="8" s="1"/>
  <c r="Y17" i="8"/>
  <c r="Z17" i="8" s="1"/>
  <c r="Y16" i="8"/>
  <c r="Z16" i="8" s="1"/>
  <c r="Y10" i="8"/>
  <c r="Z10" i="8" s="1"/>
  <c r="S46" i="8"/>
  <c r="E46" i="8" s="1"/>
  <c r="S44" i="8"/>
  <c r="E44" i="8" s="1"/>
  <c r="S41" i="8"/>
  <c r="E41" i="8" s="1"/>
  <c r="S30" i="8"/>
  <c r="E30" i="8" s="1"/>
  <c r="S28" i="8"/>
  <c r="E28" i="8" s="1"/>
  <c r="S25" i="8"/>
  <c r="E25" i="8" s="1"/>
  <c r="S14" i="8"/>
  <c r="E14" i="8" s="1"/>
  <c r="S12" i="8"/>
  <c r="E12" i="8" s="1"/>
  <c r="S9" i="8"/>
  <c r="E9" i="8" s="1"/>
  <c r="Y54" i="8"/>
  <c r="Z54" i="8" s="1"/>
  <c r="Y45" i="8"/>
  <c r="Z45" i="8" s="1"/>
  <c r="Y44" i="8"/>
  <c r="Z44" i="8" s="1"/>
  <c r="Y38" i="8"/>
  <c r="Z38" i="8" s="1"/>
  <c r="Y29" i="8"/>
  <c r="Z29" i="8" s="1"/>
  <c r="Y28" i="8"/>
  <c r="Z28" i="8" s="1"/>
  <c r="Y22" i="8"/>
  <c r="Z22" i="8" s="1"/>
  <c r="Y13" i="8"/>
  <c r="Z13" i="8" s="1"/>
  <c r="Y12" i="8"/>
  <c r="Z12" i="8" s="1"/>
  <c r="S7" i="1"/>
  <c r="E7" i="1" s="1"/>
  <c r="S13" i="1"/>
  <c r="E13" i="1" s="1"/>
  <c r="S21" i="1"/>
  <c r="E21" i="1" s="1"/>
  <c r="S9" i="1"/>
  <c r="E9" i="1" s="1"/>
  <c r="Y50" i="1"/>
  <c r="Z50" i="1" s="1"/>
  <c r="Y34" i="1"/>
  <c r="Z34" i="1" s="1"/>
  <c r="Y18" i="1"/>
  <c r="Z18" i="1" s="1"/>
  <c r="S11" i="1"/>
  <c r="E11" i="1" s="1"/>
  <c r="Y41" i="1"/>
  <c r="Z41" i="1" s="1"/>
  <c r="Y25" i="1"/>
  <c r="Z25" i="1" s="1"/>
  <c r="Y9" i="1"/>
  <c r="Z9" i="1" s="1"/>
  <c r="S17" i="1"/>
  <c r="E17" i="1" s="1"/>
  <c r="Y43" i="1"/>
  <c r="Z43" i="1" s="1"/>
  <c r="Y11" i="1"/>
  <c r="Z11" i="1" s="1"/>
  <c r="S56" i="1"/>
  <c r="E56" i="1" s="1"/>
  <c r="S54" i="1"/>
  <c r="E54" i="1" s="1"/>
  <c r="S52" i="1"/>
  <c r="E52" i="1" s="1"/>
  <c r="S50" i="1"/>
  <c r="E50" i="1" s="1"/>
  <c r="S48" i="1"/>
  <c r="E48" i="1" s="1"/>
  <c r="S46" i="1"/>
  <c r="E46" i="1" s="1"/>
  <c r="S44" i="1"/>
  <c r="E44" i="1" s="1"/>
  <c r="S42" i="1"/>
  <c r="E42" i="1" s="1"/>
  <c r="S38" i="1"/>
  <c r="E38" i="1" s="1"/>
  <c r="S34" i="1"/>
  <c r="E34" i="1" s="1"/>
  <c r="S32" i="1"/>
  <c r="E32" i="1" s="1"/>
  <c r="S30" i="1"/>
  <c r="E30" i="1" s="1"/>
  <c r="S28" i="1"/>
  <c r="E28" i="1" s="1"/>
  <c r="S26" i="1"/>
  <c r="E26" i="1" s="1"/>
  <c r="S24" i="1"/>
  <c r="E24" i="1" s="1"/>
  <c r="S22" i="1"/>
  <c r="E22" i="1" s="1"/>
  <c r="Y54" i="1"/>
  <c r="Z54" i="1" s="1"/>
  <c r="Y52" i="1"/>
  <c r="Z52" i="1" s="1"/>
  <c r="Y46" i="1"/>
  <c r="Z46" i="1" s="1"/>
  <c r="Y38" i="1"/>
  <c r="Z38" i="1" s="1"/>
  <c r="Y36" i="1"/>
  <c r="Z36" i="1" s="1"/>
  <c r="Y30" i="1"/>
  <c r="Z30" i="1" s="1"/>
  <c r="Y22" i="1"/>
  <c r="Z22" i="1" s="1"/>
  <c r="Y20" i="1"/>
  <c r="Z20" i="1" s="1"/>
  <c r="Y14" i="1"/>
  <c r="Z14" i="1" s="1"/>
  <c r="S40" i="1"/>
  <c r="E40" i="1" s="1"/>
  <c r="S36" i="1"/>
  <c r="E36" i="1" s="1"/>
  <c r="S55" i="1"/>
  <c r="E55" i="1" s="1"/>
  <c r="S47" i="1"/>
  <c r="E47" i="1" s="1"/>
  <c r="S39" i="1"/>
  <c r="E39" i="1" s="1"/>
  <c r="S35" i="1"/>
  <c r="E35" i="1" s="1"/>
  <c r="S23" i="1"/>
  <c r="E23" i="1" s="1"/>
  <c r="S18" i="1"/>
  <c r="E18" i="1" s="1"/>
  <c r="S51" i="1"/>
  <c r="E51" i="1" s="1"/>
  <c r="S27" i="1"/>
  <c r="E27" i="1" s="1"/>
  <c r="S20" i="1"/>
  <c r="E20" i="1" s="1"/>
  <c r="S53" i="1"/>
  <c r="E53" i="1" s="1"/>
  <c r="S49" i="1"/>
  <c r="E49" i="1" s="1"/>
  <c r="S45" i="1"/>
  <c r="E45" i="1" s="1"/>
  <c r="S41" i="1"/>
  <c r="E41" i="1" s="1"/>
  <c r="S37" i="1"/>
  <c r="E37" i="1" s="1"/>
  <c r="S33" i="1"/>
  <c r="E33" i="1" s="1"/>
  <c r="S29" i="1"/>
  <c r="E29" i="1" s="1"/>
  <c r="S25" i="1"/>
  <c r="E25" i="1" s="1"/>
  <c r="S19" i="1"/>
  <c r="E19" i="1" s="1"/>
  <c r="S16" i="1"/>
  <c r="E16" i="1" s="1"/>
  <c r="S14" i="1"/>
  <c r="E14" i="1" s="1"/>
  <c r="Y53" i="1"/>
  <c r="Z53" i="1" s="1"/>
  <c r="Y48" i="1"/>
  <c r="Z48" i="1" s="1"/>
  <c r="Y39" i="1"/>
  <c r="Z39" i="1" s="1"/>
  <c r="Y37" i="1"/>
  <c r="Z37" i="1" s="1"/>
  <c r="Y32" i="1"/>
  <c r="Z32" i="1" s="1"/>
  <c r="Y23" i="1"/>
  <c r="Z23" i="1" s="1"/>
  <c r="Y21" i="1"/>
  <c r="Z21" i="1" s="1"/>
  <c r="Y16" i="1"/>
  <c r="Z16" i="1" s="1"/>
  <c r="S43" i="1"/>
  <c r="E43" i="1" s="1"/>
  <c r="S31" i="1"/>
  <c r="E31" i="1" s="1"/>
  <c r="S15" i="1"/>
  <c r="E15" i="1" s="1"/>
  <c r="S12" i="1"/>
  <c r="E12" i="1" s="1"/>
  <c r="S10" i="1"/>
  <c r="E10" i="1" s="1"/>
  <c r="Y51" i="1"/>
  <c r="Z51" i="1" s="1"/>
  <c r="Y49" i="1"/>
  <c r="Z49" i="1" s="1"/>
  <c r="Y44" i="1"/>
  <c r="Z44" i="1" s="1"/>
  <c r="Y35" i="1"/>
  <c r="Z35" i="1" s="1"/>
  <c r="Y33" i="1"/>
  <c r="Z33" i="1" s="1"/>
  <c r="Y19" i="1"/>
  <c r="Z19" i="1" s="1"/>
  <c r="Y17" i="1"/>
  <c r="Z17" i="1" s="1"/>
  <c r="Y15" i="1"/>
  <c r="Z15" i="1" s="1"/>
  <c r="Y12" i="1"/>
  <c r="Z12" i="1" s="1"/>
  <c r="S8" i="1"/>
  <c r="E8" i="1" s="1"/>
  <c r="Y47" i="1"/>
  <c r="Z47" i="1" s="1"/>
  <c r="Y45" i="1"/>
  <c r="Z45" i="1" s="1"/>
  <c r="Y40" i="1"/>
  <c r="Z40" i="1" s="1"/>
  <c r="Y31" i="1"/>
  <c r="Z31" i="1" s="1"/>
  <c r="Y29" i="1"/>
  <c r="Z29" i="1" s="1"/>
  <c r="Y27" i="1"/>
  <c r="Z27" i="1" s="1"/>
  <c r="Y24" i="1"/>
  <c r="Z24" i="1" s="1"/>
  <c r="Y13" i="1"/>
  <c r="Z13" i="1" s="1"/>
  <c r="Y8" i="1"/>
  <c r="Z8" i="1" s="1"/>
  <c r="S50" i="8"/>
  <c r="E50" i="8" s="1"/>
  <c r="S54" i="8"/>
  <c r="E54" i="8" s="1"/>
  <c r="AA57" i="1"/>
  <c r="B78" i="5" s="1"/>
  <c r="B63" i="10"/>
  <c r="C63" i="10"/>
  <c r="C63" i="9"/>
  <c r="C94" i="9" s="1"/>
  <c r="B63" i="9"/>
  <c r="C62" i="8"/>
  <c r="C93" i="8" s="1"/>
  <c r="B62" i="8"/>
  <c r="C7" i="9"/>
  <c r="B7" i="9"/>
  <c r="B94" i="10" l="1"/>
  <c r="AD63" i="10"/>
  <c r="AM63" i="10"/>
  <c r="B94" i="9"/>
  <c r="X63" i="9"/>
  <c r="U63" i="9"/>
  <c r="U94" i="9" s="1"/>
  <c r="AF63" i="9"/>
  <c r="B93" i="8"/>
  <c r="S62" i="8"/>
  <c r="E62" i="8" s="1"/>
  <c r="S93" i="8" s="1"/>
  <c r="Y62" i="8"/>
  <c r="AG94" i="10"/>
  <c r="C94" i="10"/>
  <c r="AA94" i="9"/>
  <c r="S94" i="9"/>
  <c r="AA94" i="10"/>
  <c r="AC94" i="10"/>
  <c r="Y94" i="10"/>
  <c r="Z94" i="10"/>
  <c r="X94" i="10"/>
  <c r="AB94" i="10"/>
  <c r="Z75" i="8"/>
  <c r="U93" i="8"/>
  <c r="AB93" i="8"/>
  <c r="AF93" i="8"/>
  <c r="AC93" i="8"/>
  <c r="N93" i="8"/>
  <c r="AE93" i="8"/>
  <c r="AD93" i="8"/>
  <c r="O93" i="8"/>
  <c r="AN70" i="10"/>
  <c r="Z70" i="8"/>
  <c r="Z81" i="8"/>
  <c r="AN86" i="10"/>
  <c r="AN78" i="10"/>
  <c r="Z63" i="8"/>
  <c r="Z82" i="8"/>
  <c r="Z77" i="8"/>
  <c r="Z64" i="8"/>
  <c r="Z80" i="8"/>
  <c r="Z86" i="8"/>
  <c r="Z84" i="8"/>
  <c r="Z87" i="8"/>
  <c r="Z91" i="8"/>
  <c r="Z78" i="8"/>
  <c r="Z90" i="8"/>
  <c r="Z69" i="8"/>
  <c r="Z73" i="8"/>
  <c r="Z68" i="8"/>
  <c r="AN89" i="10"/>
  <c r="E70" i="10"/>
  <c r="E74" i="9"/>
  <c r="E70" i="9"/>
  <c r="E78" i="9"/>
  <c r="E66" i="9"/>
  <c r="E86" i="9"/>
  <c r="E76" i="9"/>
  <c r="AG65" i="9"/>
  <c r="AN64" i="10"/>
  <c r="AN76" i="10"/>
  <c r="E74" i="10"/>
  <c r="E80" i="9"/>
  <c r="AG79" i="9"/>
  <c r="E66" i="10"/>
  <c r="AN77" i="10"/>
  <c r="AN93" i="10"/>
  <c r="AN79" i="10"/>
  <c r="E87" i="9"/>
  <c r="AN69" i="10"/>
  <c r="AN85" i="10"/>
  <c r="AN68" i="10"/>
  <c r="E84" i="10"/>
  <c r="E78" i="10"/>
  <c r="AG73" i="9"/>
  <c r="AG71" i="9"/>
  <c r="E86" i="10"/>
  <c r="AN91" i="10"/>
  <c r="E71" i="10"/>
  <c r="AN81" i="10"/>
  <c r="E72" i="10"/>
  <c r="E82" i="10"/>
  <c r="AN71" i="10"/>
  <c r="AN83" i="10"/>
  <c r="E69" i="10"/>
  <c r="E92" i="10"/>
  <c r="AN72" i="10"/>
  <c r="E88" i="10"/>
  <c r="E69" i="9"/>
  <c r="E85" i="9"/>
  <c r="E93" i="9"/>
  <c r="AG64" i="9"/>
  <c r="AG68" i="9"/>
  <c r="AG72" i="9"/>
  <c r="AG76" i="9"/>
  <c r="AG80" i="9"/>
  <c r="AG92" i="9"/>
  <c r="AG84" i="9"/>
  <c r="AG88" i="9"/>
  <c r="E64" i="9"/>
  <c r="E85" i="10"/>
  <c r="E90" i="10"/>
  <c r="E75" i="9"/>
  <c r="AN65" i="10"/>
  <c r="E68" i="10"/>
  <c r="AN84" i="10"/>
  <c r="AN92" i="10"/>
  <c r="AN73" i="10"/>
  <c r="E87" i="10"/>
  <c r="E80" i="10"/>
  <c r="E89" i="9"/>
  <c r="E65" i="10"/>
  <c r="E81" i="10"/>
  <c r="AG81" i="9"/>
  <c r="E93" i="10"/>
  <c r="E72" i="9"/>
  <c r="E84" i="9"/>
  <c r="E88" i="9"/>
  <c r="E92" i="9"/>
  <c r="AN87" i="10"/>
  <c r="AN67" i="10"/>
  <c r="E77" i="9"/>
  <c r="AN75" i="10"/>
  <c r="E73" i="10"/>
  <c r="AN80" i="10"/>
  <c r="E64" i="10"/>
  <c r="E76" i="10"/>
  <c r="AN88" i="10"/>
  <c r="A63" i="10"/>
  <c r="M58" i="10"/>
  <c r="A7" i="10"/>
  <c r="A63" i="9"/>
  <c r="B58" i="9"/>
  <c r="A7" i="9"/>
  <c r="A62" i="8"/>
  <c r="C6" i="8"/>
  <c r="A6" i="8"/>
  <c r="AI7" i="10"/>
  <c r="Z8" i="10"/>
  <c r="Z7" i="10"/>
  <c r="X57" i="10"/>
  <c r="AD57" i="10" s="1"/>
  <c r="X56" i="10"/>
  <c r="AD56" i="10" s="1"/>
  <c r="X55" i="10"/>
  <c r="AD55" i="10" s="1"/>
  <c r="X54" i="10"/>
  <c r="AD54" i="10" s="1"/>
  <c r="X53" i="10"/>
  <c r="AD53" i="10" s="1"/>
  <c r="X52" i="10"/>
  <c r="AD52" i="10" s="1"/>
  <c r="X51" i="10"/>
  <c r="AD51" i="10" s="1"/>
  <c r="X50" i="10"/>
  <c r="AD50" i="10" s="1"/>
  <c r="X49" i="10"/>
  <c r="AD49" i="10" s="1"/>
  <c r="X48" i="10"/>
  <c r="AD48" i="10" s="1"/>
  <c r="AC8" i="10"/>
  <c r="AB8" i="10"/>
  <c r="AA8" i="10"/>
  <c r="Y8" i="10"/>
  <c r="X8" i="10"/>
  <c r="AL7" i="10"/>
  <c r="AK7" i="10"/>
  <c r="AJ7" i="10"/>
  <c r="AH7" i="10"/>
  <c r="AG7" i="10"/>
  <c r="AC7" i="10"/>
  <c r="AB7" i="10"/>
  <c r="AA7" i="10"/>
  <c r="X7" i="10"/>
  <c r="AA7" i="9"/>
  <c r="W63" i="9"/>
  <c r="V63" i="9"/>
  <c r="AE7" i="9"/>
  <c r="AD7" i="9"/>
  <c r="AC7" i="9"/>
  <c r="Z7" i="9"/>
  <c r="Y7" i="9"/>
  <c r="Y58" i="9" s="1"/>
  <c r="W7" i="9"/>
  <c r="V7" i="9"/>
  <c r="U7" i="9"/>
  <c r="N6" i="8"/>
  <c r="X6" i="8"/>
  <c r="W6" i="8"/>
  <c r="V6" i="8"/>
  <c r="U6" i="8"/>
  <c r="T6" i="8"/>
  <c r="R6" i="8"/>
  <c r="Q6" i="8"/>
  <c r="P6" i="8"/>
  <c r="G57" i="1"/>
  <c r="M57" i="1"/>
  <c r="G93" i="1"/>
  <c r="C57" i="1"/>
  <c r="W6" i="1"/>
  <c r="X6" i="1"/>
  <c r="V6" i="1"/>
  <c r="U6" i="1"/>
  <c r="T6" i="1"/>
  <c r="O6" i="1"/>
  <c r="N6" i="1"/>
  <c r="Q6" i="1"/>
  <c r="P6" i="1"/>
  <c r="L57" i="1"/>
  <c r="L97" i="1" s="1"/>
  <c r="K57" i="1"/>
  <c r="I57" i="1"/>
  <c r="B57" i="1"/>
  <c r="S6" i="1" l="1"/>
  <c r="Y6" i="1"/>
  <c r="Z6" i="1" s="1"/>
  <c r="Y57" i="1" s="1"/>
  <c r="T93" i="8"/>
  <c r="E62" i="1"/>
  <c r="S93" i="1" s="1"/>
  <c r="B35" i="5" s="1"/>
  <c r="M98" i="10"/>
  <c r="X7" i="9"/>
  <c r="E7" i="9" s="1"/>
  <c r="X58" i="9" s="1"/>
  <c r="AD8" i="10"/>
  <c r="E8" i="10" s="1"/>
  <c r="Y6" i="8"/>
  <c r="Z6" i="8" s="1"/>
  <c r="Y57" i="8" s="1"/>
  <c r="E51" i="10"/>
  <c r="E55" i="10"/>
  <c r="AM7" i="10"/>
  <c r="AN7" i="10" s="1"/>
  <c r="AM58" i="10" s="1"/>
  <c r="E50" i="10"/>
  <c r="E54" i="10"/>
  <c r="AF7" i="9"/>
  <c r="AG7" i="9" s="1"/>
  <c r="AF58" i="9" s="1"/>
  <c r="E49" i="10"/>
  <c r="E53" i="10"/>
  <c r="E57" i="10"/>
  <c r="E48" i="10"/>
  <c r="E52" i="10"/>
  <c r="E56" i="10"/>
  <c r="AD7" i="10"/>
  <c r="E7" i="10" s="1"/>
  <c r="G58" i="9"/>
  <c r="AA57" i="8"/>
  <c r="C78" i="5" s="1"/>
  <c r="D78" i="5" s="1"/>
  <c r="I94" i="9"/>
  <c r="T58" i="10"/>
  <c r="B58" i="10"/>
  <c r="AL94" i="10"/>
  <c r="AH94" i="10"/>
  <c r="S58" i="10"/>
  <c r="M97" i="1"/>
  <c r="U94" i="10"/>
  <c r="I58" i="9"/>
  <c r="O94" i="9"/>
  <c r="O58" i="9"/>
  <c r="K57" i="8"/>
  <c r="N58" i="9"/>
  <c r="P94" i="9"/>
  <c r="Q58" i="10"/>
  <c r="G58" i="10"/>
  <c r="Q94" i="10"/>
  <c r="L93" i="8"/>
  <c r="AK94" i="10"/>
  <c r="AJ58" i="10"/>
  <c r="AB58" i="10"/>
  <c r="K97" i="1"/>
  <c r="C58" i="9"/>
  <c r="P58" i="9"/>
  <c r="N94" i="9"/>
  <c r="K58" i="9"/>
  <c r="K98" i="9" s="1"/>
  <c r="AA58" i="10"/>
  <c r="C58" i="10"/>
  <c r="O58" i="10"/>
  <c r="O98" i="10" s="1"/>
  <c r="U58" i="10"/>
  <c r="R58" i="10"/>
  <c r="S94" i="10"/>
  <c r="E93" i="8"/>
  <c r="G94" i="10"/>
  <c r="G94" i="9"/>
  <c r="I58" i="10"/>
  <c r="AJ94" i="10"/>
  <c r="I94" i="10"/>
  <c r="T58" i="9"/>
  <c r="T94" i="10"/>
  <c r="R94" i="10"/>
  <c r="M94" i="9"/>
  <c r="W94" i="9"/>
  <c r="T94" i="9"/>
  <c r="V58" i="10"/>
  <c r="AK58" i="10"/>
  <c r="X58" i="10"/>
  <c r="X98" i="10" s="1"/>
  <c r="E98" i="10" s="1"/>
  <c r="AI58" i="10"/>
  <c r="AE57" i="8"/>
  <c r="E73" i="5" s="1"/>
  <c r="M58" i="9"/>
  <c r="Q57" i="1"/>
  <c r="G97" i="1"/>
  <c r="P57" i="8"/>
  <c r="W57" i="8"/>
  <c r="U58" i="9"/>
  <c r="AC58" i="10"/>
  <c r="N57" i="1"/>
  <c r="V94" i="9"/>
  <c r="Q58" i="9"/>
  <c r="AL58" i="10"/>
  <c r="AD58" i="9"/>
  <c r="AC58" i="9"/>
  <c r="Z58" i="9"/>
  <c r="AF58" i="10"/>
  <c r="Z62" i="1"/>
  <c r="Y93" i="1" s="1"/>
  <c r="AE58" i="9"/>
  <c r="AE58" i="10"/>
  <c r="T93" i="1"/>
  <c r="U57" i="1"/>
  <c r="U93" i="1"/>
  <c r="AA58" i="9"/>
  <c r="Y58" i="10"/>
  <c r="W57" i="1"/>
  <c r="R57" i="1"/>
  <c r="V57" i="1"/>
  <c r="O57" i="1"/>
  <c r="O93" i="1"/>
  <c r="S58" i="9"/>
  <c r="W58" i="10"/>
  <c r="P57" i="1"/>
  <c r="V58" i="9"/>
  <c r="R58" i="9"/>
  <c r="AH58" i="10"/>
  <c r="C74" i="5"/>
  <c r="AI94" i="10"/>
  <c r="AB94" i="9"/>
  <c r="X57" i="1"/>
  <c r="K93" i="8"/>
  <c r="AG58" i="10"/>
  <c r="AG98" i="10" s="1"/>
  <c r="T57" i="1"/>
  <c r="I97" i="1"/>
  <c r="W58" i="9"/>
  <c r="Z58" i="10"/>
  <c r="AB57" i="8"/>
  <c r="B73" i="5" s="1"/>
  <c r="B74" i="5"/>
  <c r="F74" i="5"/>
  <c r="AF57" i="8"/>
  <c r="X57" i="8"/>
  <c r="Q57" i="8"/>
  <c r="V57" i="8"/>
  <c r="O57" i="8"/>
  <c r="G93" i="8"/>
  <c r="M93" i="8"/>
  <c r="AD57" i="8"/>
  <c r="D73" i="5" s="1"/>
  <c r="E74" i="5"/>
  <c r="I57" i="8"/>
  <c r="R57" i="8"/>
  <c r="G57" i="8"/>
  <c r="I93" i="8"/>
  <c r="S6" i="8"/>
  <c r="AC57" i="8"/>
  <c r="D74" i="5"/>
  <c r="C57" i="8"/>
  <c r="M57" i="8"/>
  <c r="B57" i="8"/>
  <c r="N57" i="8"/>
  <c r="U57" i="8"/>
  <c r="T57" i="8"/>
  <c r="L57" i="8"/>
  <c r="AB58" i="9"/>
  <c r="AD58" i="10" l="1"/>
  <c r="M98" i="9"/>
  <c r="P98" i="9"/>
  <c r="I98" i="9"/>
  <c r="Z62" i="8"/>
  <c r="O98" i="9"/>
  <c r="N98" i="9"/>
  <c r="G98" i="9"/>
  <c r="T98" i="10"/>
  <c r="Y94" i="9"/>
  <c r="AN63" i="10"/>
  <c r="AM94" i="10" s="1"/>
  <c r="Q94" i="9"/>
  <c r="AJ98" i="10"/>
  <c r="S98" i="10"/>
  <c r="W94" i="10"/>
  <c r="W98" i="10" s="1"/>
  <c r="E63" i="10"/>
  <c r="AD94" i="10" s="1"/>
  <c r="V94" i="10"/>
  <c r="V98" i="10" s="1"/>
  <c r="G98" i="10"/>
  <c r="L97" i="8"/>
  <c r="AL98" i="10"/>
  <c r="U98" i="10"/>
  <c r="Q98" i="10"/>
  <c r="AC98" i="10"/>
  <c r="K97" i="8"/>
  <c r="R98" i="10"/>
  <c r="AE94" i="10"/>
  <c r="AE98" i="10" s="1"/>
  <c r="M97" i="8"/>
  <c r="AF97" i="8"/>
  <c r="I98" i="10"/>
  <c r="Z94" i="9"/>
  <c r="AB97" i="8"/>
  <c r="AB98" i="10"/>
  <c r="AK98" i="10"/>
  <c r="Z98" i="10"/>
  <c r="AH98" i="10"/>
  <c r="AF94" i="10"/>
  <c r="AF98" i="10" s="1"/>
  <c r="AI98" i="10"/>
  <c r="R94" i="9"/>
  <c r="AA98" i="10"/>
  <c r="AC97" i="8"/>
  <c r="AE97" i="8"/>
  <c r="Y98" i="10"/>
  <c r="E6" i="1"/>
  <c r="S57" i="1" s="1"/>
  <c r="B9" i="5" s="1"/>
  <c r="E63" i="9"/>
  <c r="X94" i="9" s="1"/>
  <c r="AG63" i="9"/>
  <c r="AF94" i="9" s="1"/>
  <c r="G97" i="8"/>
  <c r="C73" i="5"/>
  <c r="I97" i="8"/>
  <c r="E93" i="1"/>
  <c r="AD97" i="8"/>
  <c r="F73" i="5"/>
  <c r="E6" i="8"/>
  <c r="S57" i="8" s="1"/>
  <c r="E57" i="8" s="1"/>
  <c r="Y93" i="8" l="1"/>
  <c r="Z93" i="8" s="1"/>
  <c r="AF98" i="9"/>
  <c r="AG98" i="9" s="1"/>
  <c r="H38" i="5"/>
  <c r="B37" i="5"/>
  <c r="B38" i="5"/>
  <c r="H35" i="5"/>
  <c r="H54" i="5" s="1"/>
  <c r="Z93" i="1"/>
  <c r="H12" i="5"/>
  <c r="AN58" i="10"/>
  <c r="B10" i="5"/>
  <c r="H9" i="5"/>
  <c r="Y97" i="1"/>
  <c r="Z57" i="1"/>
  <c r="B11" i="5"/>
  <c r="E58" i="9"/>
  <c r="Z57" i="8"/>
  <c r="H10" i="5"/>
  <c r="E57" i="1"/>
  <c r="S97" i="1"/>
  <c r="B12" i="5"/>
  <c r="E58" i="10"/>
  <c r="H11" i="5"/>
  <c r="AG58" i="9"/>
  <c r="H36" i="5" l="1"/>
  <c r="X98" i="9"/>
  <c r="E98" i="9" s="1"/>
  <c r="Y97" i="8"/>
  <c r="Z97" i="8" s="1"/>
  <c r="AG94" i="9"/>
  <c r="H37" i="5"/>
  <c r="H46" i="5" s="1"/>
  <c r="I46" i="5" s="1"/>
  <c r="E94" i="9"/>
  <c r="AN94" i="10"/>
  <c r="AM98" i="10"/>
  <c r="H65" i="5" s="1"/>
  <c r="H48" i="5"/>
  <c r="I48" i="5" s="1"/>
  <c r="H19" i="5"/>
  <c r="I19" i="5" s="1"/>
  <c r="AD98" i="10"/>
  <c r="B65" i="5" s="1"/>
  <c r="E94" i="10"/>
  <c r="H45" i="5"/>
  <c r="I45" i="5" s="1"/>
  <c r="B47" i="5"/>
  <c r="C47" i="5" s="1"/>
  <c r="B22" i="5"/>
  <c r="B20" i="5"/>
  <c r="C20" i="5" s="1"/>
  <c r="H62" i="5"/>
  <c r="Z97" i="1"/>
  <c r="B54" i="5"/>
  <c r="B48" i="5"/>
  <c r="C48" i="5" s="1"/>
  <c r="B19" i="5"/>
  <c r="C19" i="5" s="1"/>
  <c r="B62" i="5"/>
  <c r="E97" i="1"/>
  <c r="H22" i="5"/>
  <c r="I22" i="5" s="1"/>
  <c r="B21" i="5"/>
  <c r="C21" i="5" s="1"/>
  <c r="S97" i="8"/>
  <c r="B36" i="5"/>
  <c r="H64" i="5"/>
  <c r="H21" i="5"/>
  <c r="I21" i="5" s="1"/>
  <c r="H20" i="5"/>
  <c r="I20" i="5" s="1"/>
  <c r="H63" i="5" l="1"/>
  <c r="I63" i="5" s="1"/>
  <c r="J63" i="5" s="1"/>
  <c r="H55" i="5"/>
  <c r="I55" i="5" s="1"/>
  <c r="H56" i="5" s="1"/>
  <c r="B64" i="5"/>
  <c r="C65" i="5" s="1"/>
  <c r="D65" i="5" s="1"/>
  <c r="H47" i="5"/>
  <c r="I47" i="5" s="1"/>
  <c r="AN98" i="10"/>
  <c r="H23" i="5"/>
  <c r="H25" i="5" s="1"/>
  <c r="H26" i="5" s="1"/>
  <c r="I65" i="5"/>
  <c r="J65" i="5" s="1"/>
  <c r="C22" i="5"/>
  <c r="B23" i="5"/>
  <c r="B25" i="5" s="1"/>
  <c r="B26" i="5" s="1"/>
  <c r="B55" i="5"/>
  <c r="C55" i="5" s="1"/>
  <c r="B56" i="5" s="1"/>
  <c r="E97" i="8"/>
  <c r="B63" i="5"/>
  <c r="B46" i="5"/>
  <c r="C46" i="5" s="1"/>
  <c r="B45" i="5"/>
  <c r="C45" i="5" s="1"/>
  <c r="I64" i="5" l="1"/>
  <c r="J64" i="5" s="1"/>
  <c r="I67" i="5"/>
  <c r="C67" i="5"/>
  <c r="C64" i="5"/>
  <c r="D64" i="5" s="1"/>
  <c r="C63" i="5"/>
  <c r="D63" i="5" s="1"/>
</calcChain>
</file>

<file path=xl/sharedStrings.xml><?xml version="1.0" encoding="utf-8"?>
<sst xmlns="http://schemas.openxmlformats.org/spreadsheetml/2006/main" count="1071" uniqueCount="326">
  <si>
    <t>Use</t>
  </si>
  <si>
    <t>Number of units</t>
  </si>
  <si>
    <t>Sum</t>
  </si>
  <si>
    <t>-</t>
  </si>
  <si>
    <t>REGULATED ENERGY CONSUMPTION</t>
  </si>
  <si>
    <t>Space Heating (kWh p.a.)</t>
  </si>
  <si>
    <t>Domestic Hot Water 
 (kWh p.a.)</t>
  </si>
  <si>
    <t>Lighting
 (kWh p.a.)</t>
  </si>
  <si>
    <t>Auxiliary
 (kWh p.a.)</t>
  </si>
  <si>
    <t>Cooling
 (kWh p.a.)</t>
  </si>
  <si>
    <t>Fuel type</t>
  </si>
  <si>
    <t>Natural Gas</t>
  </si>
  <si>
    <t>N/A</t>
  </si>
  <si>
    <t>Space Heating 
CO2 emissions (kgCO2 p.a.)</t>
  </si>
  <si>
    <t>Domestic Hot Water 
CO2 emissions 
(kgCO2 p.a.)</t>
  </si>
  <si>
    <t>Lighting
CO2 emissions 
(kgCO2 p.a.)</t>
  </si>
  <si>
    <t>Auxiliary
CO2 emissions 
(kgCO2 p.a.)</t>
  </si>
  <si>
    <t>Cooling
CO2 emissions 
(kgCO2 p.a.)</t>
  </si>
  <si>
    <t>REGULATED CO2 EMISSIONS PER UNIT</t>
  </si>
  <si>
    <t xml:space="preserve">REGULATED CO2 EMISSIONS </t>
  </si>
  <si>
    <t>Fuel type
Space Heating</t>
  </si>
  <si>
    <t>Fuel type
Domestic Hot Water</t>
  </si>
  <si>
    <t xml:space="preserve">Grid Electricity </t>
  </si>
  <si>
    <t>Calculated 
TER 2012
(kgCO2 / m2)</t>
  </si>
  <si>
    <t>TER Worksheet 
TER 2012
(kgCO2 / m2)</t>
  </si>
  <si>
    <t>BRUKL 
TER 2012
(kgCO2 / m2)</t>
  </si>
  <si>
    <t>Calculated 
DER 2012
(kgCO2 / m2)</t>
  </si>
  <si>
    <t>DER Worksheet 
DER 2012
(kgCO2 / m2)</t>
  </si>
  <si>
    <t>BRUKL 
BER 2012
(kgCO2 / m2)</t>
  </si>
  <si>
    <t>Calculated 
BER 2012
(kgCO2 / m2)</t>
  </si>
  <si>
    <t>Domestic</t>
  </si>
  <si>
    <t>Table 1: Carbon Dioxide Emissions after each stage of the Energy Hierarchy for domestic buildings</t>
  </si>
  <si>
    <t>Regulated</t>
  </si>
  <si>
    <t>Unregulated</t>
  </si>
  <si>
    <t>Baseline: Part L 2013 of the Building Regulations Compliant Development</t>
  </si>
  <si>
    <t>After energy demand reduction</t>
  </si>
  <si>
    <t>After heat network / CHP</t>
  </si>
  <si>
    <t>After renewable energy</t>
  </si>
  <si>
    <t>Table 2: Regulated Carbon Dioxide savings from each stage of the Energy Hierarchy for domestic buildings</t>
  </si>
  <si>
    <t>Savings from energy demand reduction</t>
  </si>
  <si>
    <t>Savings from heat network / CHP</t>
  </si>
  <si>
    <t>Savings from renewable energy</t>
  </si>
  <si>
    <t>Cumulative on site savings</t>
  </si>
  <si>
    <t>Annual savings from off-set payment</t>
  </si>
  <si>
    <t>(%)</t>
  </si>
  <si>
    <t>Regulated domestic carbon dioxide savings</t>
  </si>
  <si>
    <t>Non-domestic</t>
  </si>
  <si>
    <t>Table 3: Carbon Dioxide Emissions after each stage of the Energy Hierarchy for non-domestic buildings</t>
  </si>
  <si>
    <t>Carbon Dioxide Emissions for non-domestic buildings
(Tonnes CO2 per annum)</t>
  </si>
  <si>
    <t>Table 4: Regulated Carbon Dioxide savings from each stage of the Energy Hierarchy for non-domestic buildings</t>
  </si>
  <si>
    <t>Regulated non-domestic carbon dioxide savings</t>
  </si>
  <si>
    <t>Cumulative savings for off-set payment</t>
  </si>
  <si>
    <t>Total Cumulative Savings</t>
  </si>
  <si>
    <t>Table 5: Shortfall in regulated carbon dioxide savings</t>
  </si>
  <si>
    <t>Total Target Savings</t>
  </si>
  <si>
    <t>Shortfall</t>
  </si>
  <si>
    <t>Part L 2013 baseline</t>
  </si>
  <si>
    <t>Be lean</t>
  </si>
  <si>
    <t>Be clean</t>
  </si>
  <si>
    <t>Be green</t>
  </si>
  <si>
    <t>Off-set</t>
  </si>
  <si>
    <t xml:space="preserve">Total regulated emissions 
(Tonnes CO2 / year) </t>
  </si>
  <si>
    <t xml:space="preserve">CO2 savings
(Tonnes CO2 / year) </t>
  </si>
  <si>
    <t>Percentage savings
(%)</t>
  </si>
  <si>
    <t>Space and Domestic Hot Water from CHP (kWh p.a.)</t>
  </si>
  <si>
    <r>
      <t>CO</t>
    </r>
    <r>
      <rPr>
        <b/>
        <sz val="8"/>
        <color theme="1"/>
        <rFont val="Calibri"/>
        <family val="2"/>
        <scheme val="minor"/>
      </rPr>
      <t>2</t>
    </r>
    <r>
      <rPr>
        <b/>
        <sz val="10"/>
        <color theme="1"/>
        <rFont val="Calibri"/>
        <family val="2"/>
        <scheme val="minor"/>
      </rPr>
      <t xml:space="preserve"> savings off-set
(Tonnes CO</t>
    </r>
    <r>
      <rPr>
        <b/>
        <sz val="8"/>
        <color theme="1"/>
        <rFont val="Calibri"/>
        <family val="2"/>
        <scheme val="minor"/>
      </rPr>
      <t>2</t>
    </r>
    <r>
      <rPr>
        <b/>
        <sz val="10"/>
        <color theme="1"/>
        <rFont val="Calibri"/>
        <family val="2"/>
        <scheme val="minor"/>
      </rPr>
      <t xml:space="preserve">) </t>
    </r>
  </si>
  <si>
    <t>Cash in-lieu contribution (£)</t>
  </si>
  <si>
    <t>Energy demand following energy efficiency measures (MWh/year)</t>
  </si>
  <si>
    <t>Space Heating</t>
  </si>
  <si>
    <t>Hot Water</t>
  </si>
  <si>
    <t>Lighting</t>
  </si>
  <si>
    <t>Cooling</t>
  </si>
  <si>
    <t>Auxilary</t>
  </si>
  <si>
    <t>Unregulated electricity</t>
  </si>
  <si>
    <t>Unregulated gas</t>
  </si>
  <si>
    <t>Improvement (%)</t>
  </si>
  <si>
    <t>Development total</t>
  </si>
  <si>
    <t>Actual</t>
  </si>
  <si>
    <t>Notional</t>
  </si>
  <si>
    <t>Building use</t>
  </si>
  <si>
    <t>Total area weighted 
non-domestic 
cooling demand 
(MJ/year)</t>
  </si>
  <si>
    <t>Fabric Energy Efficiency (FEE)</t>
  </si>
  <si>
    <t>REGULATED ENERGY DEMAND PER UNIT PER ANNUM (kWh p.a.)</t>
  </si>
  <si>
    <t>Issue</t>
  </si>
  <si>
    <t>Date</t>
  </si>
  <si>
    <t>Author</t>
  </si>
  <si>
    <t>METHODOLOGY</t>
  </si>
  <si>
    <t xml:space="preserve">BACKGROUND AND PURPOSE </t>
  </si>
  <si>
    <t xml:space="preserve">Please provide below details of the calculation methodology followed to establish the bespoke carbon factor, if applicable. </t>
  </si>
  <si>
    <t>Target Fabric Energy Efficiency (TFEE) (kWh/m²)</t>
  </si>
  <si>
    <t>Space Heating (kWh/m² p.a.)</t>
  </si>
  <si>
    <t>Domestic Hot Water 
 (kWh/m² p.a.)</t>
  </si>
  <si>
    <t>Lighting
 (kWh/m² p.a.)</t>
  </si>
  <si>
    <t>Auxiliary
 (kWh/m² p.a.)</t>
  </si>
  <si>
    <t>Cooling
 (kWh/m² p.a.)</t>
  </si>
  <si>
    <t>Total Area (m²)</t>
  </si>
  <si>
    <t>2012 CO2 emissions 
(kgCO2 p.a.)</t>
  </si>
  <si>
    <r>
      <t>SITE-WIDE ENERGY CONSUMPTION AND CO</t>
    </r>
    <r>
      <rPr>
        <b/>
        <i/>
        <sz val="11"/>
        <rFont val="Calibri"/>
        <family val="2"/>
        <scheme val="minor"/>
      </rPr>
      <t>2</t>
    </r>
    <r>
      <rPr>
        <b/>
        <i/>
        <sz val="14"/>
        <rFont val="Calibri"/>
        <family val="2"/>
        <scheme val="minor"/>
      </rPr>
      <t xml:space="preserve"> ANALYSIS </t>
    </r>
  </si>
  <si>
    <t>Dwelling Fabric Energy Efficiency (DFEE) (kWh/m²)</t>
  </si>
  <si>
    <t>Area per unit (m²)</t>
  </si>
  <si>
    <r>
      <t>Electricity generated by renewable
(kWh p.a.)</t>
    </r>
    <r>
      <rPr>
        <b/>
        <i/>
        <sz val="10"/>
        <color rgb="FFFF0000"/>
        <rFont val="Calibri"/>
        <family val="2"/>
        <scheme val="minor"/>
      </rPr>
      <t xml:space="preserve">
if applicable</t>
    </r>
  </si>
  <si>
    <r>
      <t xml:space="preserve">Electricity generated by CHP
 (kWh p.a.)
</t>
    </r>
    <r>
      <rPr>
        <b/>
        <i/>
        <sz val="10"/>
        <color rgb="FFFF0000"/>
        <rFont val="Calibri"/>
        <family val="2"/>
        <scheme val="minor"/>
      </rPr>
      <t>if applicable</t>
    </r>
  </si>
  <si>
    <t>DOMESTIC</t>
  </si>
  <si>
    <t xml:space="preserve">SITE-WIDE </t>
  </si>
  <si>
    <t xml:space="preserve">NON-DOMESTIC </t>
  </si>
  <si>
    <t xml:space="preserve">The applicant should complete all the light blue cells including information on the modelled units, the area per unit, the number of units, the baseline energy consumption figures, the TER and the TFEE. </t>
  </si>
  <si>
    <t xml:space="preserve">The applicant should complete all the light blue cells including information on the 'be lean' energy consumption figures, the 'be lean' DER, the DFEE and the regulated energy demand of the 'be lean' scenario. </t>
  </si>
  <si>
    <t xml:space="preserve">The applicant should complete all the light blue cells including information on the 'be clean' energy consumption figures and the 'be clean' DER. </t>
  </si>
  <si>
    <t xml:space="preserve">The applicant should complete all the light blue cells including information on the 'be green' energy consumption figures and the 'be green' DER. </t>
  </si>
  <si>
    <t>SAP 2012</t>
  </si>
  <si>
    <t>SAP 2012 CO2 PERFORMANCE</t>
  </si>
  <si>
    <t>SAP10 CO2 PERFORMANCE</t>
  </si>
  <si>
    <t>SAP 2012 PERFORMANCE</t>
  </si>
  <si>
    <t>SAP10 PERFORMANCE</t>
  </si>
  <si>
    <t>SAP10 CO2 emissions 
(kgCO2 p.a.)</t>
  </si>
  <si>
    <t>Calculated 
DER SAP10
(kgCO2 / m2)</t>
  </si>
  <si>
    <t>BRUKL 
BER SAP10
(kgCO2 / m2)</t>
  </si>
  <si>
    <t>Calculated 
BER SAP10
(kgCO2 / m2)</t>
  </si>
  <si>
    <t>Calculated 
TER SAP10
(kgCO2 / m2)</t>
  </si>
  <si>
    <t>BRUKL 
TER SAP10
(kgCO2 / m2)</t>
  </si>
  <si>
    <t xml:space="preserve"> SAP 10 CO2 emissions 
(kgCO2 p.a.)</t>
  </si>
  <si>
    <t>Greater London Authority</t>
  </si>
  <si>
    <t>Fuel Carbon Factor (kgCO2/kWh)</t>
  </si>
  <si>
    <t>N / A</t>
  </si>
  <si>
    <r>
      <rPr>
        <b/>
        <sz val="10"/>
        <rFont val="Calibri"/>
        <family val="2"/>
        <scheme val="minor"/>
      </rPr>
      <t>DER Sheet</t>
    </r>
    <r>
      <rPr>
        <b/>
        <sz val="10"/>
        <color rgb="FFFF0000"/>
        <rFont val="Calibri"/>
        <family val="2"/>
        <scheme val="minor"/>
      </rPr>
      <t xml:space="preserve">
Row 315</t>
    </r>
  </si>
  <si>
    <r>
      <t xml:space="preserve">DER Sheet
</t>
    </r>
    <r>
      <rPr>
        <b/>
        <sz val="10"/>
        <color rgb="FFFF0000"/>
        <rFont val="Calibri"/>
        <family val="2"/>
        <scheme val="minor"/>
      </rPr>
      <t>Row 332</t>
    </r>
  </si>
  <si>
    <r>
      <t xml:space="preserve">DER Sheet
</t>
    </r>
    <r>
      <rPr>
        <b/>
        <sz val="10"/>
        <color rgb="FFFF0000"/>
        <rFont val="Calibri"/>
        <family val="2"/>
        <scheme val="minor"/>
      </rPr>
      <t>Row 380</t>
    </r>
  </si>
  <si>
    <r>
      <rPr>
        <b/>
        <sz val="10"/>
        <rFont val="Calibri"/>
        <family val="2"/>
        <scheme val="minor"/>
      </rPr>
      <t>DER Sheet</t>
    </r>
    <r>
      <rPr>
        <b/>
        <sz val="10"/>
        <color rgb="FFFF0000"/>
        <rFont val="Calibri"/>
        <family val="2"/>
        <scheme val="minor"/>
      </rPr>
      <t xml:space="preserve">
(Row 313 + 331)</t>
    </r>
  </si>
  <si>
    <t>SAP 10</t>
  </si>
  <si>
    <r>
      <t>Table 1. CARBON (CO</t>
    </r>
    <r>
      <rPr>
        <b/>
        <sz val="8"/>
        <color theme="0"/>
        <rFont val="Calibri"/>
        <family val="2"/>
      </rPr>
      <t>2</t>
    </r>
    <r>
      <rPr>
        <b/>
        <sz val="10"/>
        <color theme="0"/>
        <rFont val="Calibri"/>
        <family val="2"/>
      </rPr>
      <t xml:space="preserve">) FACTORS </t>
    </r>
  </si>
  <si>
    <t xml:space="preserve">Space Heating </t>
  </si>
  <si>
    <t xml:space="preserve">Domestic Hot Water 
 </t>
  </si>
  <si>
    <t xml:space="preserve">Lighting
 </t>
  </si>
  <si>
    <t xml:space="preserve">Auxiliary
 </t>
  </si>
  <si>
    <t xml:space="preserve">Cooling
 </t>
  </si>
  <si>
    <t>REGULATED ENERGY CONSUMPTION PER UNIT (kWh p.a.) - 'BE GREEN' SAP DER WORKSHEET</t>
  </si>
  <si>
    <t xml:space="preserve">Space Heating 
 </t>
  </si>
  <si>
    <t xml:space="preserve">Domestic Hot Water 
</t>
  </si>
  <si>
    <t>Electricity generated by CHP
CO2 savings 
if applicable</t>
  </si>
  <si>
    <t xml:space="preserve">Lighting
</t>
  </si>
  <si>
    <t xml:space="preserve">Auxiliary
</t>
  </si>
  <si>
    <t xml:space="preserve">Cooling
</t>
  </si>
  <si>
    <t xml:space="preserve">Space Heating 
CO2 emissions </t>
  </si>
  <si>
    <t xml:space="preserve">Domestic Hot Water 
CO2 emissions 
</t>
  </si>
  <si>
    <t>Electricity generated by renewable
CO2 savings 
if applicable</t>
  </si>
  <si>
    <t xml:space="preserve">Lighting
CO2 emissions 
</t>
  </si>
  <si>
    <t xml:space="preserve">Auxiliary
CO2 emissions 
</t>
  </si>
  <si>
    <t xml:space="preserve">Cooling
CO2 emissions 
</t>
  </si>
  <si>
    <t xml:space="preserve">SAP10 CO2 emissions 
</t>
  </si>
  <si>
    <t xml:space="preserve">2012 CO2 emissions 
</t>
  </si>
  <si>
    <t>Space Heating and DHW from CHP
CO2 emissions 
if applicable</t>
  </si>
  <si>
    <t>Space Heating and DHW from CHP
CO2 emissions 
if applicable</t>
  </si>
  <si>
    <t>REGULATED CO2 EMISSIONS PER UNIT (kgCO2 p.a.)</t>
  </si>
  <si>
    <t>Enter Carbon Factor 1</t>
  </si>
  <si>
    <t>Enter Carbon Factor 2</t>
  </si>
  <si>
    <t>Enter Carbon Factor 3</t>
  </si>
  <si>
    <t>Enter Carbon Factor 4</t>
  </si>
  <si>
    <t>Notes</t>
  </si>
  <si>
    <t xml:space="preserve"> SAP 2012 and SAP 10 carbon emission factors (Table 12).          </t>
  </si>
  <si>
    <t>REGULATED ENERGY CONSUMPTION PER UNIT (kWh p.a.) - 'BE CLEAN' SAP DER WORKSHEET</t>
  </si>
  <si>
    <t>REGULATED ENERGY CONSUMPTION PER UNIT (kWh p.a.) - 'BE LEAN' SAP DER WORKSHEET</t>
  </si>
  <si>
    <t xml:space="preserve">Space Heating 
</t>
  </si>
  <si>
    <t xml:space="preserve">Domestic Hot Water 
</t>
  </si>
  <si>
    <t xml:space="preserve">Space Heating and DHW from CHP
</t>
  </si>
  <si>
    <t xml:space="preserve">Lighting
</t>
  </si>
  <si>
    <t xml:space="preserve">Auxiliary
</t>
  </si>
  <si>
    <t xml:space="preserve">Cooling
</t>
  </si>
  <si>
    <t xml:space="preserve">Electricity generated by CHP 
</t>
  </si>
  <si>
    <t>if applicable</t>
  </si>
  <si>
    <t xml:space="preserve">Space Heating (Heat source 2) 
</t>
  </si>
  <si>
    <t xml:space="preserve">Domestic Hot Water 
 (Heat source 2) 
</t>
  </si>
  <si>
    <t xml:space="preserve">Space and Domestic Hot Water from CHP 
</t>
  </si>
  <si>
    <t xml:space="preserve">Fuel type CHP
</t>
  </si>
  <si>
    <t xml:space="preserve">Electricity generated by renewable (-)
</t>
  </si>
  <si>
    <t xml:space="preserve">Space Heating and DHW from CHP
 </t>
  </si>
  <si>
    <t xml:space="preserve">Electricity generated by CHP
</t>
  </si>
  <si>
    <t xml:space="preserve">Electricity generated by renewable
</t>
  </si>
  <si>
    <t xml:space="preserve">Space Heating and DHW from CHP
</t>
  </si>
  <si>
    <t xml:space="preserve">Electricity generated by CHP 
</t>
  </si>
  <si>
    <t xml:space="preserve">Electricity generated by renewable
</t>
  </si>
  <si>
    <r>
      <t>DOMESTIC ENERGY CONSUMPTION AND CO</t>
    </r>
    <r>
      <rPr>
        <b/>
        <sz val="10"/>
        <color theme="0"/>
        <rFont val="Calibri"/>
        <family val="2"/>
        <scheme val="minor"/>
      </rPr>
      <t>2</t>
    </r>
    <r>
      <rPr>
        <b/>
        <sz val="14"/>
        <color theme="0"/>
        <rFont val="Calibri"/>
        <family val="2"/>
        <scheme val="minor"/>
      </rPr>
      <t xml:space="preserve"> ANALYSIS </t>
    </r>
  </si>
  <si>
    <r>
      <t>DOMESTIC ENERGY CONSUMPTION AND CO</t>
    </r>
    <r>
      <rPr>
        <b/>
        <sz val="11"/>
        <color theme="0"/>
        <rFont val="Calibri"/>
        <family val="2"/>
        <scheme val="minor"/>
      </rPr>
      <t>2</t>
    </r>
    <r>
      <rPr>
        <b/>
        <sz val="14"/>
        <color theme="0"/>
        <rFont val="Calibri"/>
        <family val="2"/>
        <scheme val="minor"/>
      </rPr>
      <t xml:space="preserve"> ANALYSIS </t>
    </r>
  </si>
  <si>
    <r>
      <t>Target Fabric Energy Efficiency (kWh/m</t>
    </r>
    <r>
      <rPr>
        <b/>
        <sz val="10"/>
        <color theme="0"/>
        <rFont val="Arial"/>
        <family val="2"/>
      </rPr>
      <t>²</t>
    </r>
    <r>
      <rPr>
        <b/>
        <sz val="10"/>
        <color theme="0"/>
        <rFont val="Calibri"/>
        <family val="2"/>
      </rPr>
      <t>)</t>
    </r>
  </si>
  <si>
    <r>
      <t>Dwelling Fabric Energy Efficiency (kWh/m</t>
    </r>
    <r>
      <rPr>
        <b/>
        <sz val="10"/>
        <color theme="0"/>
        <rFont val="Arial"/>
        <family val="2"/>
      </rPr>
      <t>²</t>
    </r>
    <r>
      <rPr>
        <b/>
        <sz val="10"/>
        <color theme="0"/>
        <rFont val="Calibri"/>
        <family val="2"/>
      </rPr>
      <t>)</t>
    </r>
  </si>
  <si>
    <r>
      <t>Area weighted average 
non-domestic 
cooling demand (MJ/m</t>
    </r>
    <r>
      <rPr>
        <vertAlign val="superscript"/>
        <sz val="12"/>
        <color theme="0"/>
        <rFont val="Foundry Form Sans"/>
      </rPr>
      <t>2</t>
    </r>
    <r>
      <rPr>
        <sz val="12"/>
        <color theme="0"/>
        <rFont val="Foundry Form Sans"/>
      </rPr>
      <t>)</t>
    </r>
  </si>
  <si>
    <r>
      <t>SITE-WIDE ENERGY CONSUMPTION AND CO</t>
    </r>
    <r>
      <rPr>
        <b/>
        <sz val="11"/>
        <color theme="0"/>
        <rFont val="Calibri"/>
        <family val="2"/>
        <scheme val="minor"/>
      </rPr>
      <t>2</t>
    </r>
    <r>
      <rPr>
        <b/>
        <sz val="14"/>
        <color theme="0"/>
        <rFont val="Calibri"/>
        <family val="2"/>
        <scheme val="minor"/>
      </rPr>
      <t xml:space="preserve"> ANALYSIS </t>
    </r>
  </si>
  <si>
    <r>
      <t>NON-DOMESTIC ENERGY CONSUMPTION AND CO</t>
    </r>
    <r>
      <rPr>
        <b/>
        <sz val="10"/>
        <color theme="0"/>
        <rFont val="Calibri"/>
        <family val="2"/>
        <scheme val="minor"/>
      </rPr>
      <t>2</t>
    </r>
    <r>
      <rPr>
        <b/>
        <sz val="14"/>
        <color theme="0"/>
        <rFont val="Calibri"/>
        <family val="2"/>
        <scheme val="minor"/>
      </rPr>
      <t xml:space="preserve"> ANALYSIS </t>
    </r>
  </si>
  <si>
    <t xml:space="preserve">Domestic Hot Water 
</t>
  </si>
  <si>
    <t xml:space="preserve">Auxiliary
</t>
  </si>
  <si>
    <t>REGULATED ENERGY CONSUMPTION  PER UNIT (kWh p.a.) - TER WORKSHEET</t>
  </si>
  <si>
    <t>REGULATED ENERGY CONSUMPTION  BY FUEL TYPE (kWh/m² p.a.) - TER BRUKL</t>
  </si>
  <si>
    <r>
      <t xml:space="preserve">Electricity generated by CHP
(-)
</t>
    </r>
    <r>
      <rPr>
        <b/>
        <i/>
        <sz val="10"/>
        <color rgb="FFFF0000"/>
        <rFont val="Calibri"/>
        <family val="2"/>
        <scheme val="minor"/>
      </rPr>
      <t>if applicable</t>
    </r>
  </si>
  <si>
    <r>
      <t xml:space="preserve">Electricity generated by renewable technology
(-)
</t>
    </r>
    <r>
      <rPr>
        <b/>
        <sz val="10"/>
        <color rgb="FFFF0000"/>
        <rFont val="Calibri"/>
        <family val="2"/>
        <scheme val="minor"/>
      </rPr>
      <t>if applicable</t>
    </r>
  </si>
  <si>
    <r>
      <t xml:space="preserve">Electricity generated by CHP
(-)
</t>
    </r>
    <r>
      <rPr>
        <b/>
        <i/>
        <sz val="10"/>
        <color rgb="FFFF0000"/>
        <rFont val="Calibri"/>
        <family val="2"/>
        <scheme val="minor"/>
      </rPr>
      <t>if applicable</t>
    </r>
  </si>
  <si>
    <t>REGULATED CO2 EMISSIONS</t>
  </si>
  <si>
    <t xml:space="preserve">Cooling
</t>
  </si>
  <si>
    <r>
      <t>(Tonnes CO</t>
    </r>
    <r>
      <rPr>
        <b/>
        <sz val="8"/>
        <color theme="0"/>
        <rFont val="Calibri"/>
        <family val="2"/>
        <scheme val="minor"/>
      </rPr>
      <t>2</t>
    </r>
    <r>
      <rPr>
        <b/>
        <sz val="10"/>
        <color theme="0"/>
        <rFont val="Calibri"/>
        <family val="2"/>
        <scheme val="minor"/>
      </rPr>
      <t xml:space="preserve">) </t>
    </r>
  </si>
  <si>
    <t>Building Use</t>
  </si>
  <si>
    <t>Unit identifier (e.g. plot number, dwelling type etc.)</t>
  </si>
  <si>
    <t xml:space="preserve">Total Electricity generated by CHP (-) 
</t>
  </si>
  <si>
    <t xml:space="preserve">Total Electricity generated by CHP (-) 
</t>
  </si>
  <si>
    <t>VALIDATION CHECK</t>
  </si>
  <si>
    <r>
      <t xml:space="preserve">DER Sheet
</t>
    </r>
    <r>
      <rPr>
        <b/>
        <sz val="10"/>
        <color rgb="FFFF0000"/>
        <rFont val="Calibri"/>
        <family val="2"/>
        <scheme val="minor"/>
      </rPr>
      <t>(Row 384)</t>
    </r>
  </si>
  <si>
    <r>
      <t xml:space="preserve">DER Sheet
</t>
    </r>
    <r>
      <rPr>
        <b/>
        <sz val="10"/>
        <color rgb="FFFF0000"/>
        <rFont val="Calibri"/>
        <family val="2"/>
        <scheme val="minor"/>
      </rPr>
      <t>[(Row 307a) ÷ 
(Row 367a x 0.01)]</t>
    </r>
  </si>
  <si>
    <r>
      <t xml:space="preserve">DER Sheet
</t>
    </r>
    <r>
      <rPr>
        <b/>
        <sz val="10"/>
        <color rgb="FFFF0000"/>
        <rFont val="Calibri"/>
        <family val="2"/>
        <scheme val="minor"/>
      </rPr>
      <t>[(Row 310a) ÷ 
(Row 367a x 0.01)]</t>
    </r>
  </si>
  <si>
    <r>
      <t xml:space="preserve">DER Sheet
</t>
    </r>
    <r>
      <rPr>
        <b/>
        <sz val="10"/>
        <color rgb="FFFF0000"/>
        <rFont val="Calibri"/>
        <family val="2"/>
        <scheme val="minor"/>
      </rPr>
      <t>[Row 307b ÷ 
(Row 367b x 0.01)]</t>
    </r>
  </si>
  <si>
    <r>
      <t xml:space="preserve">DER Sheet
</t>
    </r>
    <r>
      <rPr>
        <b/>
        <sz val="10"/>
        <color rgb="FFFF0000"/>
        <rFont val="Calibri"/>
        <family val="2"/>
        <scheme val="minor"/>
      </rPr>
      <t>[Row 310b ÷ 
(Row 367b x 0.01)]</t>
    </r>
  </si>
  <si>
    <r>
      <t xml:space="preserve">DER Sheet
</t>
    </r>
    <r>
      <rPr>
        <b/>
        <sz val="10"/>
        <color rgb="FFFF0000"/>
        <rFont val="Calibri"/>
        <family val="2"/>
        <scheme val="minor"/>
      </rPr>
      <t>[(Row 307a + 310a) ÷
(Row 362 x 0.01)]</t>
    </r>
  </si>
  <si>
    <r>
      <t xml:space="preserve">DER Sheet
</t>
    </r>
    <r>
      <rPr>
        <b/>
        <sz val="10"/>
        <color rgb="FFFF0000"/>
        <rFont val="Calibri"/>
        <family val="2"/>
        <scheme val="minor"/>
      </rPr>
      <t>[Row 307c ÷ 
(Row 367c x 0.01)]</t>
    </r>
  </si>
  <si>
    <r>
      <t xml:space="preserve">DER Sheet
</t>
    </r>
    <r>
      <rPr>
        <b/>
        <sz val="10"/>
        <color rgb="FFFF0000"/>
        <rFont val="Calibri"/>
        <family val="2"/>
        <scheme val="minor"/>
      </rPr>
      <t>[Row 310c ÷ 
(Row 367c x 0.01)]</t>
    </r>
  </si>
  <si>
    <t>DOMESTIC ENERGY DEMAND DATA</t>
  </si>
  <si>
    <t>NON-DOMESTIC ENERGY DEMAND</t>
  </si>
  <si>
    <t>DEMAND</t>
  </si>
  <si>
    <t>Model total floor area (m²)</t>
  </si>
  <si>
    <r>
      <t xml:space="preserve">TER Worksheet </t>
    </r>
    <r>
      <rPr>
        <b/>
        <sz val="10"/>
        <color rgb="FFFF0000"/>
        <rFont val="Calibri"/>
        <family val="2"/>
        <scheme val="minor"/>
      </rPr>
      <t>(Row 4)</t>
    </r>
  </si>
  <si>
    <r>
      <t xml:space="preserve">TER Worksheet </t>
    </r>
    <r>
      <rPr>
        <b/>
        <sz val="10"/>
        <color rgb="FFFF0000"/>
        <rFont val="Calibri"/>
        <family val="2"/>
        <scheme val="minor"/>
      </rPr>
      <t>(Row 211)</t>
    </r>
  </si>
  <si>
    <r>
      <t xml:space="preserve">TER Worksheet </t>
    </r>
    <r>
      <rPr>
        <b/>
        <sz val="10"/>
        <color rgb="FFFF0000"/>
        <rFont val="Calibri"/>
        <family val="2"/>
        <scheme val="minor"/>
      </rPr>
      <t>(Row 219)</t>
    </r>
  </si>
  <si>
    <r>
      <t xml:space="preserve">TER Worksheet </t>
    </r>
    <r>
      <rPr>
        <b/>
        <sz val="10"/>
        <color rgb="FFFF0000"/>
        <rFont val="Calibri"/>
        <family val="2"/>
        <scheme val="minor"/>
      </rPr>
      <t>(Row 232)</t>
    </r>
  </si>
  <si>
    <r>
      <t xml:space="preserve">TER Worksheet </t>
    </r>
    <r>
      <rPr>
        <b/>
        <sz val="10"/>
        <color rgb="FFFF0000"/>
        <rFont val="Calibri"/>
        <family val="2"/>
        <scheme val="minor"/>
      </rPr>
      <t>(Row 231)</t>
    </r>
  </si>
  <si>
    <r>
      <t xml:space="preserve">TER Worksheet </t>
    </r>
    <r>
      <rPr>
        <b/>
        <sz val="10"/>
        <color rgb="FFFF0000"/>
        <rFont val="Calibri"/>
        <family val="2"/>
        <scheme val="minor"/>
      </rPr>
      <t>(Row 273)</t>
    </r>
  </si>
  <si>
    <t>Total area represented by model  (m²)</t>
  </si>
  <si>
    <t>Select fuel type</t>
  </si>
  <si>
    <t xml:space="preserve">Electricity generated by CHP
(-)
</t>
  </si>
  <si>
    <t>Electricity generated by renewable technology
(-)</t>
  </si>
  <si>
    <t>Update Location</t>
  </si>
  <si>
    <t>Description of changes made to GLA Carbon Emission Reporting Spreadsheet</t>
  </si>
  <si>
    <t>Baseline, be lean, be clean &amp; be green tabs</t>
  </si>
  <si>
    <r>
      <rPr>
        <b/>
        <sz val="10"/>
        <color theme="1"/>
        <rFont val="Arial"/>
        <family val="2"/>
      </rPr>
      <t>Domestic</t>
    </r>
    <r>
      <rPr>
        <sz val="10"/>
        <color theme="1"/>
        <rFont val="Arial"/>
        <family val="2"/>
      </rPr>
      <t xml:space="preserve">
SAP worksheet row reference numbers have been included in the input tabs</t>
    </r>
  </si>
  <si>
    <t>Extra input rows have been added to account for larger schemes</t>
  </si>
  <si>
    <t xml:space="preserve">Validation check moved to be more prominent </t>
  </si>
  <si>
    <t>Carbon factors tab</t>
  </si>
  <si>
    <t>Be Green tab</t>
  </si>
  <si>
    <r>
      <t>From</t>
    </r>
    <r>
      <rPr>
        <b/>
        <sz val="10"/>
        <color theme="1"/>
        <rFont val="Arial"/>
        <family val="2"/>
      </rPr>
      <t xml:space="preserve"> </t>
    </r>
    <r>
      <rPr>
        <b/>
        <u/>
        <sz val="10"/>
        <color theme="1"/>
        <rFont val="Arial"/>
        <family val="2"/>
      </rPr>
      <t>January 2019</t>
    </r>
    <r>
      <rPr>
        <b/>
        <sz val="10"/>
        <color theme="1"/>
        <rFont val="Arial"/>
        <family val="2"/>
      </rPr>
      <t xml:space="preserve"> </t>
    </r>
    <r>
      <rPr>
        <sz val="10"/>
        <color theme="1"/>
        <rFont val="Arial"/>
        <family val="2"/>
      </rPr>
      <t>all GLA referable applications (including refurbishments) are expected to use this spreadsheet  to report the anticipated carbon performance of a development. This includes planning applicants who are continuing to use SAP 2012 emission factors; although doing so will need to be supported by sufficient justification in line with the Energy Assessment Guidance. Applicants are required to submit this spreadsheet to the GLA alongside the energy assessment. It should be used for both domestic and non-domestic uses. The GLA will not accept the use of alternative methodologies or tools. This is to ensure consistency and to minimise the need for clarifications during the determination period.</t>
    </r>
  </si>
  <si>
    <r>
      <t xml:space="preserve">Planning applicants should use Part L 2013 BRUKL and SAP outputs to fill in this spreadsheet which serves  as a the final step in reporting the carbon emission performance of the proposed energy strategy. </t>
    </r>
    <r>
      <rPr>
        <b/>
        <sz val="10"/>
        <color theme="1"/>
        <rFont val="Arial"/>
        <family val="2"/>
      </rPr>
      <t xml:space="preserve">It is solely for the purpose of reporting to the GLA and does not replace Part L calculations submitted for Building Regulations approval. </t>
    </r>
  </si>
  <si>
    <t>Applicants should note that we will update the spreadsheet from time to time to ensure it remains fit for purpose. Applicants are expected to use the latest version at the time of the planning submission.</t>
  </si>
  <si>
    <t>Any feedback on this spreadsheet should be sent to: environment@london.gov.uk.</t>
  </si>
  <si>
    <t xml:space="preserve">Applicants are required to complete all light blue input cells in the applicable tabs ('Carbon Factors', 'Baseline', 'Be Lean', 'Be Clean', 'Be Green' and 'GLA Summary Tables'). </t>
  </si>
  <si>
    <r>
      <t>Regarding the non-domestic uses, the applicant can determine whether each individual unit will be modelled independently and apportioned to the entire scheme or whether a single model will be generated for the entire development. The applicant should, however, include the results from all BRUKL outputs generated for the proposed development under the "NON-DOMESTIC ENERGY CONSUMPTION AND CO</t>
    </r>
    <r>
      <rPr>
        <sz val="8"/>
        <color theme="1"/>
        <rFont val="Arial"/>
        <family val="2"/>
      </rPr>
      <t>2</t>
    </r>
    <r>
      <rPr>
        <sz val="10"/>
        <color theme="1"/>
        <rFont val="Arial"/>
        <family val="2"/>
      </rPr>
      <t xml:space="preserve"> ANALYSIS" sections. </t>
    </r>
  </si>
  <si>
    <r>
      <rPr>
        <b/>
        <sz val="10"/>
        <color theme="1"/>
        <rFont val="Arial"/>
        <family val="2"/>
      </rPr>
      <t>Carbon Factors</t>
    </r>
    <r>
      <rPr>
        <sz val="10"/>
        <color theme="1"/>
        <rFont val="Arial"/>
        <family val="2"/>
      </rPr>
      <t xml:space="preserve">
The carbon factors for SAP 2012 and SAP 10 scenarios have been provided in the 'Carbon Factors' tab. The table has been pre-populated with grid electricity and gas factors. Additional space has been included for alternative fuel factors that are included in Table 12 of the SAP 2012 and SAP 10 methodology document. For applications with non-domestic buildings connecting to external heat networks a bespoke carbon factor needs to be introduced, the applicant should provide the full calculation behind the introduced bespoke carbon factor. </t>
    </r>
  </si>
  <si>
    <r>
      <t xml:space="preserve">The spreadsheet has been developed to fit as wide a range of policy compliant approaches for referable schemes as possible. Any planning applicants with a policy compliant approach that the spreadsheet does not serve should contact the GLA at: </t>
    </r>
    <r>
      <rPr>
        <b/>
        <sz val="10"/>
        <color theme="1"/>
        <rFont val="Arial"/>
        <family val="2"/>
      </rPr>
      <t>environment@london.gov.uk.</t>
    </r>
    <r>
      <rPr>
        <sz val="10"/>
        <color theme="1"/>
        <rFont val="Arial"/>
        <family val="2"/>
      </rPr>
      <t xml:space="preserve"> Applicants must not amend or alter the spreadsheet to suit non-policy compliant strategies. Any unauthorised amendment to the spreadsheet will invalidate the CO</t>
    </r>
    <r>
      <rPr>
        <vertAlign val="subscript"/>
        <sz val="10"/>
        <color theme="1"/>
        <rFont val="Arial"/>
        <family val="2"/>
      </rPr>
      <t>2</t>
    </r>
    <r>
      <rPr>
        <sz val="10"/>
        <color theme="1"/>
        <rFont val="Arial"/>
        <family val="2"/>
      </rPr>
      <t xml:space="preserve"> emission calculations. </t>
    </r>
  </si>
  <si>
    <t>GLA Carbon Emission Reporting Spreadsheet</t>
  </si>
  <si>
    <r>
      <t xml:space="preserve">The GLA has decided that from </t>
    </r>
    <r>
      <rPr>
        <b/>
        <u/>
        <sz val="10"/>
        <color theme="1"/>
        <rFont val="Arial"/>
        <family val="2"/>
      </rPr>
      <t>January 2019</t>
    </r>
    <r>
      <rPr>
        <b/>
        <sz val="10"/>
        <color theme="1"/>
        <rFont val="Arial"/>
        <family val="2"/>
      </rPr>
      <t xml:space="preserve"> </t>
    </r>
    <r>
      <rPr>
        <sz val="10"/>
        <color theme="1"/>
        <rFont val="Arial"/>
        <family val="2"/>
      </rPr>
      <t xml:space="preserve">and until central Government updates Part L with the latest carbon emission factors, planning applicants are encouraged to use the SAP 10 emission factors for </t>
    </r>
    <r>
      <rPr>
        <b/>
        <sz val="10"/>
        <color theme="1"/>
        <rFont val="Arial"/>
        <family val="2"/>
      </rPr>
      <t xml:space="preserve">referable applications </t>
    </r>
    <r>
      <rPr>
        <sz val="10"/>
        <color theme="1"/>
        <rFont val="Arial"/>
        <family val="2"/>
      </rPr>
      <t>when estimating CO</t>
    </r>
    <r>
      <rPr>
        <vertAlign val="subscript"/>
        <sz val="10"/>
        <color theme="1"/>
        <rFont val="Arial"/>
        <family val="2"/>
      </rPr>
      <t>2</t>
    </r>
    <r>
      <rPr>
        <sz val="10"/>
        <color theme="1"/>
        <rFont val="Arial"/>
        <family val="2"/>
      </rPr>
      <t xml:space="preserve"> emission performance against London Plan policies. This is a new approach being taken by the GLA to reflect the decarbonisation of the electricity grid, which is not currently taken into account by Part L of Building Regulations. This approach will remain in place until Government adopts new Building Regulations with updated emission factors.</t>
    </r>
  </si>
  <si>
    <r>
      <rPr>
        <b/>
        <sz val="10"/>
        <color theme="1"/>
        <rFont val="Arial"/>
        <family val="2"/>
      </rPr>
      <t xml:space="preserve">Note: </t>
    </r>
    <r>
      <rPr>
        <sz val="10"/>
        <color theme="1"/>
        <rFont val="Arial"/>
        <family val="2"/>
      </rPr>
      <t>GLA are aware that the Part L outputs for grid supplied electricity consumption does not account for power factor correction. Where power factor correction is present applicants may be required to amend the electricity consumption by the appropriate adjustment factor. The power factor correction is found in Table 1 of the Government's Approved Document L2A (ADL2A). Applicants should note in the appropriate cells where power factor correction has been applied.</t>
    </r>
  </si>
  <si>
    <r>
      <rPr>
        <b/>
        <sz val="10"/>
        <color theme="1"/>
        <rFont val="Arial"/>
        <family val="2"/>
      </rPr>
      <t>Required Part L Outputs for the GLA spreadsheet</t>
    </r>
    <r>
      <rPr>
        <u/>
        <sz val="10"/>
        <color theme="1"/>
        <rFont val="Arial"/>
        <family val="2"/>
      </rPr>
      <t xml:space="preserve">
Domestic Part L Outputs:
</t>
    </r>
    <r>
      <rPr>
        <sz val="10"/>
        <color theme="1"/>
        <rFont val="Arial"/>
        <family val="2"/>
      </rPr>
      <t xml:space="preserve">For the domestic conversion applicants are required to use the outputs from the SAP TER and DER worksheets. To assist in the conversion process the required SAP worksheet rows have been referenced in each input cell. For Space Heating and Hot Water applicants will be required to manually convert the SAP energy requirements  to energy consumption by fuel type, the appropriate SAP rows for this calculation have also been listed. </t>
    </r>
    <r>
      <rPr>
        <b/>
        <sz val="10"/>
        <color theme="1"/>
        <rFont val="Arial"/>
        <family val="2"/>
      </rPr>
      <t xml:space="preserve">Note. </t>
    </r>
    <r>
      <rPr>
        <sz val="10"/>
        <color theme="1"/>
        <rFont val="Arial"/>
        <family val="2"/>
      </rPr>
      <t>The SAP worksheet rows are based on a communal heating system, which is an expectation for GLA referrable schemes. Applicants proposing individual systems must first seek confirmation from the GLA as to whether the approach will be acceptable.</t>
    </r>
  </si>
  <si>
    <t xml:space="preserve">Bespoke DH Factor </t>
  </si>
  <si>
    <t>Table 2. BESPOKE DH CARBON FACTOR CALCULATION METHODOLOGY</t>
  </si>
  <si>
    <t xml:space="preserve">This should only be used for non-domestic buildings that are connecting to District Heating (DH) networks. The network carbon factor should be calculated in line with Part L requirements and a seperate factors should be provided using SAP 2012 and SAP 10 fuel factors. Assumptions and workings should be shown below in Table 4.     
</t>
  </si>
  <si>
    <t>REGULATED ENERGY CONSUMPTION BY END USE (kWh/m² p.a.) 'BE LEAN' BER - SOURCE: BRUKL OUTPUT</t>
  </si>
  <si>
    <t xml:space="preserve">REGULATED ENERGY CONSUMPTION  BY FUEL TYPE (kWh/m² p.a.)  'BE LEAN' BER  - SOURCE: BRUKL.INP or *SIM.CSV FILE </t>
  </si>
  <si>
    <t xml:space="preserve">REGULATED ENERGY CONSUMPTION  BY FUEL TYPE (kWh/m² p.a.) TER  - SOURCE: BRUKL.INP or *SIM.CSV FILE </t>
  </si>
  <si>
    <t>REGULATED ENERGY CONSUMPTION BY END USE (kWh/m² p.a.) TER - SOURCE: BRUKL OUTPUT</t>
  </si>
  <si>
    <t>REGULATED ENERGY CONSUMPTION BY END USE (kWh/m² p.a.) 'BE CLEAN' BER - SOURCE: BRUKL OUTPUT</t>
  </si>
  <si>
    <t>REGULATED ENERGY CONSUMPTION BY END USE (kWh/m² p.a.) 'BE GREEN' BER - SOURCE: BRUKL OUTPUT</t>
  </si>
  <si>
    <t xml:space="preserve">REGULATED ENERGY CONSUMPTION  BY FUEL TYPE (kWh/m² p.a.)  'BE GREEN' BER  - SOURCE: BRUKL.INP or *SIM.CSV FILE </t>
  </si>
  <si>
    <t xml:space="preserve">REGULATED ENERGY CONSUMPTION  BY FUEL TYPE (kWh/m² p.a.)  'BE CLEAN' BER  - SOURCE: BRUKL.INP or *SIM.CSV FILE </t>
  </si>
  <si>
    <r>
      <rPr>
        <u/>
        <sz val="10"/>
        <color theme="1"/>
        <rFont val="Arial"/>
        <family val="2"/>
      </rPr>
      <t>Non-domestic Part L Outputs:</t>
    </r>
    <r>
      <rPr>
        <sz val="10"/>
        <color theme="1"/>
        <rFont val="Arial"/>
        <family val="2"/>
      </rPr>
      <t xml:space="preserve">
The required Part L outputs from non-domestic modelling will be energy consumption by </t>
    </r>
    <r>
      <rPr>
        <b/>
        <sz val="10"/>
        <color theme="1"/>
        <rFont val="Arial"/>
        <family val="2"/>
      </rPr>
      <t>fuel type</t>
    </r>
    <r>
      <rPr>
        <sz val="10"/>
        <color theme="1"/>
        <rFont val="Arial"/>
        <family val="2"/>
      </rPr>
      <t xml:space="preserve"> (e.g. grid electricity, natural gas).The energy consumption by end use (e.g. heating, hot water, cooling etc.) included in the BRUKL documents are no longer used to estimate the CO</t>
    </r>
    <r>
      <rPr>
        <vertAlign val="subscript"/>
        <sz val="10"/>
        <color theme="1"/>
        <rFont val="Arial"/>
        <family val="2"/>
      </rPr>
      <t>2</t>
    </r>
    <r>
      <rPr>
        <sz val="10"/>
        <color theme="1"/>
        <rFont val="Arial"/>
        <family val="2"/>
      </rPr>
      <t xml:space="preserve"> emission performance with SAP 10 emission factors in this spreadsheet. This decision has been taken as the consumption figures provided in the BRUKL may include a mixture of fuel types, for instance heating may include energy consumption from gas boilers and electrically driven heat pumps. The required data can be found in:    
• SBEM software: the required data is included in the output file ending "*sim.csv" 
• Government approved software (such as IES and TAS): the required data is included in the output file ending in "*BRUKL.inp" 
The above output files should be appended to the energy assessment document.</t>
    </r>
  </si>
  <si>
    <t xml:space="preserve">Formula for CHP/Renewable contribution now fixed in SAP 10 calculation </t>
  </si>
  <si>
    <r>
      <t>DER Sheet</t>
    </r>
    <r>
      <rPr>
        <b/>
        <sz val="10"/>
        <color rgb="FFFF0000"/>
        <rFont val="Calibri"/>
        <family val="2"/>
        <scheme val="minor"/>
      </rPr>
      <t xml:space="preserve">
[(Row 307a + 310a) × (Row 361 ÷ 362)]</t>
    </r>
  </si>
  <si>
    <r>
      <t>This GLA Carbon Emission Reporting Spreadsheet facilitates the use of the SAP 10 emission factors and ensures a consistent and transparent process for updating Part L 2013 CO</t>
    </r>
    <r>
      <rPr>
        <vertAlign val="subscript"/>
        <sz val="10"/>
        <color theme="1"/>
        <rFont val="Arial"/>
        <family val="2"/>
      </rPr>
      <t>2</t>
    </r>
    <r>
      <rPr>
        <sz val="10"/>
        <color theme="1"/>
        <rFont val="Arial"/>
        <family val="2"/>
      </rPr>
      <t xml:space="preserve"> emission performance. In particular, the approach has been developed to ensure that SAP 10 results can still be validated against supporting Part L 2013 BRUKL and SAP outputs. </t>
    </r>
  </si>
  <si>
    <r>
      <rPr>
        <b/>
        <sz val="10"/>
        <color theme="1"/>
        <rFont val="Arial"/>
        <family val="2"/>
      </rPr>
      <t xml:space="preserve">Validation Check
</t>
    </r>
    <r>
      <rPr>
        <sz val="10"/>
        <color theme="1"/>
        <rFont val="Arial"/>
        <family val="2"/>
      </rPr>
      <t xml:space="preserve">A validation check is required for each model entered to ensure that the conversion is robust.  Applicants must ensure that the calculated TER/DER/BER in this spreadsheet matches the actual values from the Part L 2013 BRUKL and SAP worksheets. </t>
    </r>
  </si>
  <si>
    <t xml:space="preserve">These factors should be used where alternative fuel is used to grid gas and electricity. Carbon emission factors used here must be taken from Table 12 within the SAP 2012 and SAP 10 documents.     
Fuel type should be updated and referenced in Column A when additional carbon factor values have been added.  
</t>
  </si>
  <si>
    <r>
      <t>Carbon Dioxide Emissions for domestic buildings
(Tonnes CO</t>
    </r>
    <r>
      <rPr>
        <b/>
        <vertAlign val="subscript"/>
        <sz val="10"/>
        <color theme="0"/>
        <rFont val="Calibri"/>
        <family val="2"/>
        <scheme val="minor"/>
      </rPr>
      <t>2</t>
    </r>
    <r>
      <rPr>
        <b/>
        <sz val="10"/>
        <color theme="0"/>
        <rFont val="Calibri"/>
        <family val="2"/>
        <scheme val="minor"/>
      </rPr>
      <t xml:space="preserve"> per annum)</t>
    </r>
  </si>
  <si>
    <r>
      <t>(Tonnes CO</t>
    </r>
    <r>
      <rPr>
        <b/>
        <vertAlign val="subscript"/>
        <sz val="10"/>
        <color theme="0"/>
        <rFont val="Calibri"/>
        <family val="2"/>
        <scheme val="minor"/>
      </rPr>
      <t>2</t>
    </r>
    <r>
      <rPr>
        <b/>
        <sz val="10"/>
        <color theme="0"/>
        <rFont val="Calibri"/>
        <family val="2"/>
        <scheme val="minor"/>
      </rPr>
      <t xml:space="preserve"> per annum) </t>
    </r>
  </si>
  <si>
    <r>
      <t>Annual Shortfall 
(Tonnes CO</t>
    </r>
    <r>
      <rPr>
        <b/>
        <vertAlign val="subscript"/>
        <sz val="10"/>
        <color theme="0"/>
        <rFont val="Calibri"/>
        <family val="2"/>
        <scheme val="minor"/>
      </rPr>
      <t>2</t>
    </r>
    <r>
      <rPr>
        <b/>
        <sz val="10"/>
        <color theme="0"/>
        <rFont val="Calibri"/>
        <family val="2"/>
        <scheme val="minor"/>
      </rPr>
      <t xml:space="preserve">) </t>
    </r>
  </si>
  <si>
    <r>
      <t>Cumulative Shortfall 
(Tonnes CO</t>
    </r>
    <r>
      <rPr>
        <b/>
        <vertAlign val="subscript"/>
        <sz val="10"/>
        <color theme="0"/>
        <rFont val="Calibri"/>
        <family val="2"/>
        <scheme val="minor"/>
      </rPr>
      <t>2</t>
    </r>
    <r>
      <rPr>
        <b/>
        <sz val="10"/>
        <color theme="0"/>
        <rFont val="Calibri"/>
        <family val="2"/>
        <scheme val="minor"/>
      </rPr>
      <t xml:space="preserve">) </t>
    </r>
  </si>
  <si>
    <t>Space Heating 
(Heat Source 1)</t>
  </si>
  <si>
    <t xml:space="preserve">Domestic Hot Water 
(Heat Source 1)
 </t>
  </si>
  <si>
    <t xml:space="preserve">Domestic Hot Water
(Heat Source 1) 
 </t>
  </si>
  <si>
    <t>Introduction / Version Control</t>
  </si>
  <si>
    <t xml:space="preserve">Additional explanatory wording has been included in the ‘Background and Purpose’ and ‘Methodology’ sections to further assist applicants with the reporting process </t>
  </si>
  <si>
    <t>A version control tab has been added to list all changes made to the spreadsheet under separate versions</t>
  </si>
  <si>
    <r>
      <rPr>
        <b/>
        <sz val="10"/>
        <color theme="1"/>
        <rFont val="Arial"/>
        <family val="2"/>
      </rPr>
      <t>Non-domestic</t>
    </r>
    <r>
      <rPr>
        <sz val="10"/>
        <color theme="1"/>
        <rFont val="Arial"/>
        <family val="2"/>
      </rPr>
      <t xml:space="preserve">
Non-domestic calculation is now based on 'energy consumption by fuel type' instead of the consumption figures in the BRUKL tab to enable the accurate calculation of the TER/BER figures. This data is available in the output file ending in "*BRUKL.inp" for government approved software and output file ending "*sim.csv" for SBEM. Where these files are used they should be appended to the Energy Statement.</t>
    </r>
  </si>
  <si>
    <t>Rows with void formulas have now been fixed</t>
  </si>
  <si>
    <t>Columns used to calculate the carbon emissions using SAP10 carbon factors have been unhidden to allow for greater transparency in the calculation methodology</t>
  </si>
  <si>
    <t>Reporting of electricity generated by CHP or renewable technologies has been changed; this should now be inputted as a negative value (-)</t>
  </si>
  <si>
    <t xml:space="preserve">Additional heat source has been added into the calculation </t>
  </si>
  <si>
    <t>Additional heat source has been added into the calculation in the ‘be green’ tabs to account for multiple heating systems, if present</t>
  </si>
  <si>
    <t>The carbon emission factor table has been updated and clarification has been provided on how they should be used</t>
  </si>
  <si>
    <r>
      <t>A typo in the carbon factor unit has been corrected (kgCO</t>
    </r>
    <r>
      <rPr>
        <vertAlign val="subscript"/>
        <sz val="10"/>
        <color theme="1"/>
        <rFont val="Arial"/>
        <family val="2"/>
      </rPr>
      <t>2</t>
    </r>
    <r>
      <rPr>
        <sz val="10"/>
        <color theme="1"/>
        <rFont val="Arial"/>
        <family val="2"/>
      </rPr>
      <t>/kWh)</t>
    </r>
  </si>
  <si>
    <t xml:space="preserve">Total calculation is now based on the 'total area represented by model (m²)' rather than the 'number of units'. This is to ensure that the total model area aligns with the development area schedule. </t>
  </si>
  <si>
    <r>
      <rPr>
        <b/>
        <sz val="10"/>
        <color theme="1"/>
        <rFont val="Arial"/>
        <family val="2"/>
      </rPr>
      <t>Input Data</t>
    </r>
    <r>
      <rPr>
        <sz val="10"/>
        <color theme="1"/>
        <rFont val="Arial"/>
        <family val="2"/>
      </rPr>
      <t xml:space="preserve">                                                                                                                                                                                                                                                                                                                                    </t>
    </r>
    <r>
      <rPr>
        <u/>
        <sz val="10"/>
        <color theme="1"/>
        <rFont val="Arial"/>
        <family val="2"/>
      </rPr>
      <t>For all applications</t>
    </r>
    <r>
      <rPr>
        <sz val="10"/>
        <color theme="1"/>
        <rFont val="Arial"/>
        <family val="2"/>
      </rPr>
      <t>, the input data required includes:  
• Bespoke Carbon Factors (if applicable)
• Type of units modelled
• Area of units modelled (m²)
• Number of units modelled
• Total area represented by model (m²) 
• Regulated energy consumption by end use (kWh p.a. for residential and kWh/m</t>
    </r>
    <r>
      <rPr>
        <vertAlign val="superscript"/>
        <sz val="10"/>
        <color theme="1"/>
        <rFont val="Arial"/>
        <family val="2"/>
      </rPr>
      <t>2</t>
    </r>
    <r>
      <rPr>
        <sz val="10"/>
        <color theme="1"/>
        <rFont val="Arial"/>
        <family val="2"/>
      </rPr>
      <t xml:space="preserve"> p.a. for non-residential)
• Regulated energy consumption by fuel type (kWh/m2 p.a. for non-residential)
• TER, DER and BER figures (kgCO</t>
    </r>
    <r>
      <rPr>
        <sz val="8"/>
        <color theme="1"/>
        <rFont val="Arial"/>
        <family val="2"/>
      </rPr>
      <t>2</t>
    </r>
    <r>
      <rPr>
        <sz val="10"/>
        <color theme="1"/>
        <rFont val="Arial"/>
        <family val="2"/>
      </rPr>
      <t xml:space="preserve">/m² p.a.)
• TFEE and DFEE figures for residential (kWh//m² p.a.)
• Regulated energy demand figures (kWh p.a. for both residential and non-residential)
• Unregulated gas and electricity consumption figures (kWh p.a. for both residential and non-residential) </t>
    </r>
    <r>
      <rPr>
        <b/>
        <sz val="10"/>
        <color theme="1"/>
        <rFont val="Arial"/>
        <family val="2"/>
      </rPr>
      <t>[In the 'GLA Summary tables' tab only]</t>
    </r>
    <r>
      <rPr>
        <sz val="10"/>
        <color theme="1"/>
        <rFont val="Arial"/>
        <family val="2"/>
      </rPr>
      <t xml:space="preserve">
• Actual and notional building cooling demand (MJ/m²) </t>
    </r>
    <r>
      <rPr>
        <b/>
        <sz val="10"/>
        <color theme="1"/>
        <rFont val="Arial"/>
        <family val="2"/>
      </rPr>
      <t>[In the 'GLA Summary tables' tab only]</t>
    </r>
    <r>
      <rPr>
        <sz val="10"/>
        <color theme="1"/>
        <rFont val="Arial"/>
        <family val="2"/>
      </rPr>
      <t xml:space="preserve">
Applicants should update the highlighted cells with the type, area and number of modelled units. The consumption figures (kWh p.a. for domestic and kWh/m</t>
    </r>
    <r>
      <rPr>
        <vertAlign val="superscript"/>
        <sz val="10"/>
        <color theme="1"/>
        <rFont val="Arial"/>
        <family val="2"/>
      </rPr>
      <t>2</t>
    </r>
    <r>
      <rPr>
        <sz val="10"/>
        <color theme="1"/>
        <rFont val="Arial"/>
        <family val="2"/>
      </rPr>
      <t xml:space="preserve"> p.a. for non-domestic) from the Part L modelling output reports should be reported and used to estimate the CO</t>
    </r>
    <r>
      <rPr>
        <sz val="8"/>
        <color theme="1"/>
        <rFont val="Arial"/>
        <family val="2"/>
      </rPr>
      <t>2</t>
    </r>
    <r>
      <rPr>
        <sz val="10"/>
        <color theme="1"/>
        <rFont val="Arial"/>
        <family val="2"/>
      </rPr>
      <t xml:space="preserve"> emissions for each stage of the Energy Hierarchy. The TER, DER and BER figures from the Part L 2013 modelling output sheets should also be reported for cross-reference purposes. The applicant should ensure that the manually calculated TER, DER and BER figures are equal to the figures reported within the output sheets. TFEE and DFEE information should also be provided as well as unregulated uses consumption, energy demand figures and cooling demand performance. 
The total carbon emissions figures in the 'GLA Summary tables' tab are now calculated based on the area input for 'Total area represented by model (m²)'. This  input requirement has been added to ensure that the carbon emission figures align with the development area schedule (included within the DAS) rather than the number of representative models. </t>
    </r>
  </si>
  <si>
    <t>B7-A-04-01</t>
  </si>
  <si>
    <t>B1-A-12-01</t>
  </si>
  <si>
    <t>B4-A-14B4-02</t>
  </si>
  <si>
    <t>B7-A-12-02</t>
  </si>
  <si>
    <t>B2-A-21-02</t>
  </si>
  <si>
    <t>B7-A-00-01</t>
  </si>
  <si>
    <t>B7-A-00-H1</t>
  </si>
  <si>
    <t>B7-A-00-H2</t>
  </si>
  <si>
    <t>B7-A-00-H4</t>
  </si>
  <si>
    <t>B7-A-02-02</t>
  </si>
  <si>
    <t>B7-A-04-02</t>
  </si>
  <si>
    <t>B7-A-13-01</t>
  </si>
  <si>
    <t>B5-B-02-03</t>
  </si>
  <si>
    <t>B5-B-02-05</t>
  </si>
  <si>
    <t>B5-B-02-08</t>
  </si>
  <si>
    <t>B5-02-H4</t>
  </si>
  <si>
    <t>B5-B-03-08</t>
  </si>
  <si>
    <t>B5-A-11-01</t>
  </si>
  <si>
    <t>B5-A-11-02</t>
  </si>
  <si>
    <t>B5-A-13-01</t>
  </si>
  <si>
    <t>B5-A-13-05</t>
  </si>
  <si>
    <t>B3-A-02-01</t>
  </si>
  <si>
    <t>B3-A-02-02</t>
  </si>
  <si>
    <t>B3-A-02-06</t>
  </si>
  <si>
    <t>B3-A-02-08</t>
  </si>
  <si>
    <t>B3-A-03-01</t>
  </si>
  <si>
    <t>B3-A-03-02</t>
  </si>
  <si>
    <t>B3-A-03-07</t>
  </si>
  <si>
    <t>B3-A-03-08</t>
  </si>
  <si>
    <t>B3-A-09-05</t>
  </si>
  <si>
    <t>B3-A-09-06</t>
  </si>
  <si>
    <t>B3-A-12-B3-01</t>
  </si>
  <si>
    <t>B2-A-03-01</t>
  </si>
  <si>
    <t>B2-A-03-02</t>
  </si>
  <si>
    <t>B2-A-03-03</t>
  </si>
  <si>
    <t>B2-A-04-01</t>
  </si>
  <si>
    <t>B2-A-04-04</t>
  </si>
  <si>
    <t>B2-A-08-02</t>
  </si>
  <si>
    <t>B2-A-12-03</t>
  </si>
  <si>
    <t>B4-A-02-02</t>
  </si>
  <si>
    <t>B4-A-03-07</t>
  </si>
  <si>
    <t>B4-A-09-06</t>
  </si>
  <si>
    <t>B1-A-03-01</t>
  </si>
  <si>
    <t>B1-A-04-03</t>
  </si>
  <si>
    <t>Commercial Space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</si>
</sst>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1" formatCode="_-* #,##0_-;\-* #,##0_-;_-* &quot;-&quot;_-;_-@_-"/>
    <numFmt numFmtId="44" formatCode="_-&quot;£&quot;* #,##0.00_-;\-&quot;£&quot;* #,##0.00_-;_-&quot;£&quot;* &quot;-&quot;??_-;_-@_-"/>
    <numFmt numFmtId="43" formatCode="_-* #,##0.00_-;\-* #,##0.00_-;_-* &quot;-&quot;??_-;_-@_-"/>
    <numFmt numFmtId="164" formatCode="0.000"/>
    <numFmt numFmtId="165" formatCode="0.0"/>
    <numFmt numFmtId="166" formatCode="_-* #,##0.0_-;\-* #,##0.0_-;_-* &quot;-&quot;?_-;_-@_-"/>
    <numFmt numFmtId="167" formatCode="_-[$€-2]* #,##0.00_-;\-[$€-2]* #,##0.00_-;_-[$€-2]* &quot;-&quot;??_-"/>
    <numFmt numFmtId="168" formatCode="#,##0_ ;[Red]\-#,##0;\-"/>
    <numFmt numFmtId="169" formatCode="_(#,##0.0%_);_)\(#,##0.0%\);_(0.0%_);@_)"/>
    <numFmt numFmtId="170" formatCode="_(* #,##0_);_(* \(#,##0\);_(* &quot;-&quot;_);_(@_)"/>
    <numFmt numFmtId="171" formatCode="_-* #,##0.00\ _F_-;\-* #,##0.00\ _F_-;_-* &quot;-&quot;??\ _F_-;_-@_-"/>
    <numFmt numFmtId="172" formatCode="_(* #,##0.00_);_(* \(#,##0.00\);_(* &quot;-&quot;??_);_(@_)"/>
    <numFmt numFmtId="173" formatCode="_-&quot;£&quot;* #,##0_-;[Red]\-&quot;£&quot;* #,##0_-;_-&quot;£&quot;* &quot;-&quot;_-;_-@_-"/>
    <numFmt numFmtId="174" formatCode="_-* #,##0.00\ &quot;F&quot;_-;\-* #,##0.00\ &quot;F&quot;_-;_-* &quot;-&quot;??\ &quot;F&quot;_-;_-@_-"/>
    <numFmt numFmtId="175" formatCode="_(&quot;£&quot;* #,##0.00_);_(&quot;£&quot;* \(#,##0.00\);_(&quot;£&quot;* &quot;-&quot;??_);_(@_)"/>
    <numFmt numFmtId="176" formatCode="_-&quot;£&quot;* #,##0.00_-;[Red]\-&quot;£&quot;* #,##0.00_-;_-&quot;£&quot;* &quot;-&quot;_-;_-@_-"/>
    <numFmt numFmtId="177" formatCode="#,##0.00000"/>
    <numFmt numFmtId="178" formatCode="\ ;\ ;"/>
    <numFmt numFmtId="179" formatCode="_-[$£-809]* #,##0_-;\-[$£-809]* #,##0_-;_-[$£-809]* &quot;-&quot;??_-;_-@_-"/>
    <numFmt numFmtId="180" formatCode="_(* #,##0.00%_);_(* \(#,##0.00%\);_(* #,##0.00%_);_(@_)"/>
    <numFmt numFmtId="181" formatCode="#,##0_);\(#,##0\)"/>
    <numFmt numFmtId="182" formatCode="0.000&quot; kgCO2/kWh&quot;"/>
  </numFmts>
  <fonts count="122">
    <font>
      <sz val="10"/>
      <color theme="1"/>
      <name val="Calibri"/>
      <family val="2"/>
      <scheme val="minor"/>
    </font>
    <font>
      <sz val="9"/>
      <color theme="1"/>
      <name val="Arial"/>
      <family val="2"/>
    </font>
    <font>
      <sz val="11"/>
      <color theme="1"/>
      <name val="Calibri"/>
      <family val="2"/>
      <scheme val="minor"/>
    </font>
    <font>
      <sz val="10"/>
      <color theme="1"/>
      <name val="Calibri"/>
      <family val="2"/>
    </font>
    <font>
      <sz val="10"/>
      <color theme="1"/>
      <name val="Calibri"/>
      <family val="2"/>
      <scheme val="minor"/>
    </font>
    <font>
      <sz val="10"/>
      <name val="Arial"/>
      <family val="2"/>
    </font>
    <font>
      <sz val="10"/>
      <name val="Calibri"/>
      <family val="2"/>
    </font>
    <font>
      <b/>
      <sz val="10"/>
      <color theme="0"/>
      <name val="Calibri"/>
      <family val="2"/>
    </font>
    <font>
      <sz val="10"/>
      <name val="Geneva"/>
      <family val="2"/>
    </font>
    <font>
      <sz val="9"/>
      <name val="Helvetica 45 Light"/>
      <family val="2"/>
    </font>
    <font>
      <sz val="11"/>
      <color indexed="8"/>
      <name val="Calibri"/>
      <family val="2"/>
    </font>
    <font>
      <b/>
      <sz val="10"/>
      <name val="Arial"/>
      <family val="2"/>
    </font>
    <font>
      <i/>
      <sz val="10"/>
      <name val="Arial"/>
      <family val="2"/>
    </font>
    <font>
      <b/>
      <i/>
      <sz val="10"/>
      <name val="Arial"/>
      <family val="2"/>
    </font>
    <font>
      <b/>
      <i/>
      <sz val="9"/>
      <name val="Arial"/>
      <family val="2"/>
    </font>
    <font>
      <b/>
      <sz val="9"/>
      <name val="Arial"/>
      <family val="2"/>
    </font>
    <font>
      <sz val="8"/>
      <name val="Arial"/>
      <family val="2"/>
    </font>
    <font>
      <sz val="10"/>
      <color indexed="8"/>
      <name val="Arial"/>
      <family val="2"/>
    </font>
    <font>
      <sz val="11"/>
      <color indexed="9"/>
      <name val="Calibri"/>
      <family val="2"/>
    </font>
    <font>
      <sz val="10"/>
      <color indexed="9"/>
      <name val="Arial"/>
      <family val="2"/>
    </font>
    <font>
      <sz val="11"/>
      <color theme="0"/>
      <name val="Calibri"/>
      <family val="2"/>
      <scheme val="minor"/>
    </font>
    <font>
      <sz val="9"/>
      <color indexed="12"/>
      <name val="Arial"/>
      <family val="2"/>
    </font>
    <font>
      <sz val="10"/>
      <color theme="1"/>
      <name val="Arial"/>
      <family val="2"/>
    </font>
    <font>
      <sz val="11"/>
      <color indexed="20"/>
      <name val="Calibri"/>
      <family val="2"/>
    </font>
    <font>
      <sz val="10"/>
      <color indexed="20"/>
      <name val="Arial"/>
      <family val="2"/>
    </font>
    <font>
      <b/>
      <sz val="10"/>
      <color theme="0"/>
      <name val="Arial Unicode MS"/>
      <family val="2"/>
    </font>
    <font>
      <b/>
      <sz val="11"/>
      <color indexed="52"/>
      <name val="Calibri"/>
      <family val="2"/>
    </font>
    <font>
      <sz val="11"/>
      <name val="Verdana"/>
      <family val="2"/>
    </font>
    <font>
      <b/>
      <sz val="10"/>
      <color indexed="52"/>
      <name val="Arial"/>
      <family val="2"/>
    </font>
    <font>
      <b/>
      <sz val="11"/>
      <color indexed="9"/>
      <name val="Calibri"/>
      <family val="2"/>
    </font>
    <font>
      <b/>
      <sz val="10"/>
      <color indexed="9"/>
      <name val="Arial"/>
      <family val="2"/>
    </font>
    <font>
      <b/>
      <sz val="8"/>
      <color theme="0"/>
      <name val="Arial Unicode MS"/>
      <family val="2"/>
    </font>
    <font>
      <sz val="10"/>
      <name val="Courier New"/>
      <family val="3"/>
    </font>
    <font>
      <sz val="10"/>
      <name val="Helv"/>
    </font>
    <font>
      <sz val="10"/>
      <color indexed="12"/>
      <name val="Arial"/>
      <family val="2"/>
    </font>
    <font>
      <sz val="8"/>
      <name val="Arial Unicode MS"/>
      <family val="2"/>
    </font>
    <font>
      <sz val="8"/>
      <color theme="0"/>
      <name val="Arial Unicode MS"/>
      <family val="2"/>
    </font>
    <font>
      <i/>
      <sz val="11"/>
      <color indexed="23"/>
      <name val="Calibri"/>
      <family val="2"/>
    </font>
    <font>
      <i/>
      <sz val="11"/>
      <color rgb="FF7F7F7F"/>
      <name val="Calibri"/>
      <family val="2"/>
      <scheme val="minor"/>
    </font>
    <font>
      <i/>
      <sz val="11"/>
      <color rgb="FFFF0000"/>
      <name val="Verdana"/>
      <family val="2"/>
    </font>
    <font>
      <sz val="12"/>
      <name val="Times New Roman"/>
      <family val="1"/>
    </font>
    <font>
      <u/>
      <sz val="11"/>
      <color rgb="FF333333"/>
      <name val="Arial"/>
      <family val="2"/>
    </font>
    <font>
      <sz val="11"/>
      <color indexed="17"/>
      <name val="Calibri"/>
      <family val="2"/>
    </font>
    <font>
      <sz val="10"/>
      <color indexed="17"/>
      <name val="Arial"/>
      <family val="2"/>
    </font>
    <font>
      <b/>
      <sz val="15"/>
      <color indexed="56"/>
      <name val="Calibri"/>
      <family val="2"/>
    </font>
    <font>
      <b/>
      <sz val="15"/>
      <color indexed="56"/>
      <name val="Arial"/>
      <family val="2"/>
    </font>
    <font>
      <sz val="12"/>
      <color theme="0"/>
      <name val="Verdana"/>
      <family val="2"/>
    </font>
    <font>
      <b/>
      <sz val="13"/>
      <color indexed="56"/>
      <name val="Calibri"/>
      <family val="2"/>
    </font>
    <font>
      <b/>
      <sz val="13"/>
      <color indexed="56"/>
      <name val="Arial"/>
      <family val="2"/>
    </font>
    <font>
      <sz val="11"/>
      <color rgb="FF0051BA"/>
      <name val="Verdana"/>
      <family val="2"/>
    </font>
    <font>
      <b/>
      <sz val="11"/>
      <color indexed="56"/>
      <name val="Calibri"/>
      <family val="2"/>
    </font>
    <font>
      <b/>
      <sz val="11"/>
      <color indexed="56"/>
      <name val="Arial"/>
      <family val="2"/>
    </font>
    <font>
      <b/>
      <sz val="12"/>
      <color indexed="8"/>
      <name val="Arial"/>
      <family val="2"/>
    </font>
    <font>
      <b/>
      <sz val="9"/>
      <name val="Helv"/>
    </font>
    <font>
      <sz val="9"/>
      <name val="Helv"/>
    </font>
    <font>
      <sz val="11"/>
      <color theme="0"/>
      <name val="Verdana"/>
      <family val="2"/>
    </font>
    <font>
      <u/>
      <sz val="11"/>
      <color theme="10"/>
      <name val="Calibri"/>
      <family val="2"/>
    </font>
    <font>
      <u/>
      <sz val="10"/>
      <color theme="10"/>
      <name val="Arial"/>
      <family val="2"/>
    </font>
    <font>
      <u/>
      <sz val="10"/>
      <color indexed="12"/>
      <name val="Arial"/>
      <family val="2"/>
    </font>
    <font>
      <u/>
      <sz val="7.7"/>
      <color indexed="12"/>
      <name val="Calibri"/>
      <family val="2"/>
    </font>
    <font>
      <u/>
      <sz val="10.35"/>
      <color theme="10"/>
      <name val="Calibri"/>
      <family val="2"/>
    </font>
    <font>
      <u/>
      <sz val="9.4499999999999993"/>
      <color theme="10"/>
      <name val="Calibri"/>
      <family val="2"/>
    </font>
    <font>
      <sz val="11"/>
      <color indexed="62"/>
      <name val="Calibri"/>
      <family val="2"/>
    </font>
    <font>
      <sz val="10"/>
      <color indexed="62"/>
      <name val="Arial"/>
      <family val="2"/>
    </font>
    <font>
      <sz val="10"/>
      <color theme="6"/>
      <name val="Arial Unicode MS"/>
      <family val="2"/>
    </font>
    <font>
      <sz val="10"/>
      <color theme="4" tint="-0.24994659260841701"/>
      <name val="Arial Unicode MS"/>
      <family val="2"/>
    </font>
    <font>
      <b/>
      <sz val="8"/>
      <color theme="3"/>
      <name val="Arial Unicode MS"/>
      <family val="2"/>
    </font>
    <font>
      <sz val="11"/>
      <color indexed="52"/>
      <name val="Calibri"/>
      <family val="2"/>
    </font>
    <font>
      <sz val="10"/>
      <color indexed="52"/>
      <name val="Arial"/>
      <family val="2"/>
    </font>
    <font>
      <sz val="10"/>
      <color theme="0"/>
      <name val="Arial"/>
      <family val="2"/>
    </font>
    <font>
      <sz val="9"/>
      <color rgb="FF0000FF"/>
      <name val="Arial Unicode MS"/>
      <family val="2"/>
    </font>
    <font>
      <sz val="11"/>
      <color indexed="60"/>
      <name val="Calibri"/>
      <family val="2"/>
    </font>
    <font>
      <sz val="10"/>
      <color indexed="60"/>
      <name val="Arial"/>
      <family val="2"/>
    </font>
    <font>
      <sz val="8"/>
      <color indexed="10"/>
      <name val="MS Sans Serif"/>
      <family val="2"/>
    </font>
    <font>
      <sz val="10"/>
      <name val="MS Sans Serif"/>
      <family val="2"/>
    </font>
    <font>
      <sz val="11"/>
      <color theme="1"/>
      <name val="Verdana"/>
      <family val="2"/>
    </font>
    <font>
      <sz val="10"/>
      <name val="Arial Unicode MS"/>
      <family val="2"/>
    </font>
    <font>
      <sz val="11"/>
      <color theme="1"/>
      <name val="Arial"/>
      <family val="2"/>
    </font>
    <font>
      <sz val="10"/>
      <color indexed="14"/>
      <name val="Arial"/>
      <family val="2"/>
    </font>
    <font>
      <sz val="10"/>
      <color theme="5" tint="-0.24994659260841701"/>
      <name val="Arial Unicode MS"/>
      <family val="2"/>
    </font>
    <font>
      <b/>
      <sz val="11"/>
      <color indexed="63"/>
      <name val="Calibri"/>
      <family val="2"/>
    </font>
    <font>
      <b/>
      <sz val="10"/>
      <color indexed="63"/>
      <name val="Arial"/>
      <family val="2"/>
    </font>
    <font>
      <sz val="10"/>
      <color theme="3"/>
      <name val="Arial Unicode MS"/>
      <family val="2"/>
    </font>
    <font>
      <b/>
      <sz val="12"/>
      <name val="Akkurat-Bold"/>
    </font>
    <font>
      <sz val="10"/>
      <name val="Calibri"/>
      <family val="2"/>
      <scheme val="minor"/>
    </font>
    <font>
      <b/>
      <sz val="9"/>
      <color theme="0" tint="-4.9989318521683403E-2"/>
      <name val="Arial Unicode MS"/>
      <family val="2"/>
    </font>
    <font>
      <b/>
      <sz val="18"/>
      <color indexed="56"/>
      <name val="Cambria"/>
      <family val="2"/>
    </font>
    <font>
      <b/>
      <sz val="11"/>
      <color indexed="8"/>
      <name val="Calibri"/>
      <family val="2"/>
    </font>
    <font>
      <b/>
      <sz val="10"/>
      <color indexed="8"/>
      <name val="Arial"/>
      <family val="2"/>
    </font>
    <font>
      <sz val="11"/>
      <color indexed="10"/>
      <name val="Calibri"/>
      <family val="2"/>
    </font>
    <font>
      <sz val="10"/>
      <color indexed="10"/>
      <name val="Arial"/>
      <family val="2"/>
    </font>
    <font>
      <b/>
      <sz val="10"/>
      <color theme="1"/>
      <name val="Calibri"/>
      <family val="2"/>
      <scheme val="minor"/>
    </font>
    <font>
      <b/>
      <sz val="10"/>
      <color theme="0"/>
      <name val="Calibri"/>
      <family val="2"/>
      <scheme val="minor"/>
    </font>
    <font>
      <b/>
      <sz val="8"/>
      <color theme="1"/>
      <name val="Calibri"/>
      <family val="2"/>
      <scheme val="minor"/>
    </font>
    <font>
      <b/>
      <sz val="10"/>
      <color theme="1"/>
      <name val="Arial"/>
      <family val="2"/>
    </font>
    <font>
      <b/>
      <sz val="8"/>
      <color theme="0"/>
      <name val="Calibri"/>
      <family val="2"/>
    </font>
    <font>
      <b/>
      <sz val="10"/>
      <name val="Calibri"/>
      <family val="2"/>
      <scheme val="minor"/>
    </font>
    <font>
      <i/>
      <sz val="10"/>
      <name val="Calibri"/>
      <family val="2"/>
      <scheme val="minor"/>
    </font>
    <font>
      <b/>
      <i/>
      <sz val="10"/>
      <name val="Calibri"/>
      <family val="2"/>
      <scheme val="minor"/>
    </font>
    <font>
      <b/>
      <i/>
      <sz val="11"/>
      <name val="Calibri"/>
      <family val="2"/>
      <scheme val="minor"/>
    </font>
    <font>
      <b/>
      <i/>
      <sz val="14"/>
      <name val="Calibri"/>
      <family val="2"/>
      <scheme val="minor"/>
    </font>
    <font>
      <sz val="14"/>
      <color theme="1"/>
      <name val="Calibri"/>
      <family val="2"/>
      <scheme val="minor"/>
    </font>
    <font>
      <b/>
      <i/>
      <sz val="10"/>
      <color rgb="FFFF0000"/>
      <name val="Calibri"/>
      <family val="2"/>
      <scheme val="minor"/>
    </font>
    <font>
      <b/>
      <sz val="10"/>
      <color rgb="FFFF0000"/>
      <name val="Calibri"/>
      <family val="2"/>
      <scheme val="minor"/>
    </font>
    <font>
      <sz val="24"/>
      <color theme="1"/>
      <name val="Arial"/>
      <family val="2"/>
    </font>
    <font>
      <b/>
      <u/>
      <sz val="10"/>
      <color theme="1"/>
      <name val="Arial"/>
      <family val="2"/>
    </font>
    <font>
      <u/>
      <sz val="10"/>
      <color theme="1"/>
      <name val="Arial"/>
      <family val="2"/>
    </font>
    <font>
      <sz val="8"/>
      <color theme="1"/>
      <name val="Arial"/>
      <family val="2"/>
    </font>
    <font>
      <b/>
      <sz val="10"/>
      <color theme="0"/>
      <name val="Arial"/>
      <family val="2"/>
    </font>
    <font>
      <b/>
      <sz val="24"/>
      <color rgb="FF811644"/>
      <name val="Arial"/>
      <family val="2"/>
    </font>
    <font>
      <b/>
      <sz val="11"/>
      <color theme="0"/>
      <name val="Calibri"/>
      <family val="2"/>
      <scheme val="minor"/>
    </font>
    <font>
      <b/>
      <sz val="14"/>
      <color theme="0"/>
      <name val="Calibri"/>
      <family val="2"/>
      <scheme val="minor"/>
    </font>
    <font>
      <b/>
      <sz val="20"/>
      <color theme="0"/>
      <name val="Calibri"/>
      <family val="2"/>
      <scheme val="minor"/>
    </font>
    <font>
      <sz val="20"/>
      <color theme="1"/>
      <name val="Calibri"/>
      <family val="2"/>
      <scheme val="minor"/>
    </font>
    <font>
      <b/>
      <sz val="10"/>
      <color rgb="FF811644"/>
      <name val="Calibri"/>
      <family val="2"/>
      <scheme val="minor"/>
    </font>
    <font>
      <vertAlign val="superscript"/>
      <sz val="12"/>
      <color theme="0"/>
      <name val="Foundry Form Sans"/>
    </font>
    <font>
      <sz val="12"/>
      <color theme="0"/>
      <name val="Foundry Form Sans"/>
    </font>
    <font>
      <b/>
      <sz val="8"/>
      <color theme="0"/>
      <name val="Calibri"/>
      <family val="2"/>
      <scheme val="minor"/>
    </font>
    <font>
      <b/>
      <sz val="10"/>
      <color rgb="FF811644"/>
      <name val="Arial"/>
      <family val="2"/>
    </font>
    <font>
      <vertAlign val="subscript"/>
      <sz val="10"/>
      <color theme="1"/>
      <name val="Arial"/>
      <family val="2"/>
    </font>
    <font>
      <vertAlign val="superscript"/>
      <sz val="10"/>
      <color theme="1"/>
      <name val="Arial"/>
      <family val="2"/>
    </font>
    <font>
      <b/>
      <vertAlign val="subscript"/>
      <sz val="10"/>
      <color theme="0"/>
      <name val="Calibri"/>
      <family val="2"/>
      <scheme val="minor"/>
    </font>
  </fonts>
  <fills count="62">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rgb="FFFFC000"/>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indexed="47"/>
        <bgColor indexed="64"/>
      </patternFill>
    </fill>
    <fill>
      <patternFill patternType="solid">
        <fgColor indexed="26"/>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1"/>
        <bgColor indexed="64"/>
      </patternFill>
    </fill>
    <fill>
      <patternFill patternType="solid">
        <fgColor theme="7" tint="0.59996337778862885"/>
        <bgColor indexed="64"/>
      </patternFill>
    </fill>
    <fill>
      <gradientFill>
        <stop position="0">
          <color theme="4"/>
        </stop>
        <stop position="1">
          <color theme="5"/>
        </stop>
      </gradientFill>
    </fill>
    <fill>
      <patternFill patternType="solid">
        <fgColor indexed="22"/>
      </patternFill>
    </fill>
    <fill>
      <patternFill patternType="solid">
        <fgColor rgb="FFCCFFCC"/>
        <bgColor indexed="64"/>
      </patternFill>
    </fill>
    <fill>
      <patternFill patternType="solid">
        <fgColor indexed="55"/>
      </patternFill>
    </fill>
    <fill>
      <patternFill patternType="solid">
        <fgColor theme="7"/>
        <bgColor indexed="64"/>
      </patternFill>
    </fill>
    <fill>
      <patternFill patternType="solid">
        <fgColor indexed="43"/>
        <bgColor indexed="64"/>
      </patternFill>
    </fill>
    <fill>
      <patternFill patternType="solid">
        <fgColor theme="2"/>
        <bgColor indexed="64"/>
      </patternFill>
    </fill>
    <fill>
      <patternFill patternType="solid">
        <fgColor rgb="FF0076CC"/>
        <bgColor indexed="64"/>
      </patternFill>
    </fill>
    <fill>
      <patternFill patternType="solid">
        <fgColor theme="6" tint="0.79998168889431442"/>
        <bgColor indexed="64"/>
      </patternFill>
    </fill>
    <fill>
      <gradientFill>
        <stop position="0">
          <color theme="5"/>
        </stop>
        <stop position="1">
          <color theme="6"/>
        </stop>
      </gradientFill>
    </fill>
    <fill>
      <patternFill patternType="solid">
        <fgColor theme="8"/>
        <bgColor indexed="64"/>
      </patternFill>
    </fill>
    <fill>
      <patternFill patternType="solid">
        <fgColor rgb="FF0051BA"/>
        <bgColor indexed="64"/>
      </patternFill>
    </fill>
    <fill>
      <patternFill patternType="solid">
        <fgColor indexed="9"/>
        <bgColor indexed="64"/>
      </patternFill>
    </fill>
    <fill>
      <patternFill patternType="solid">
        <fgColor rgb="FFFFFF99"/>
        <bgColor indexed="64"/>
      </patternFill>
    </fill>
    <fill>
      <patternFill patternType="solid">
        <fgColor rgb="FFCCFFFF"/>
        <bgColor indexed="64"/>
      </patternFill>
    </fill>
    <fill>
      <gradientFill>
        <stop position="0">
          <color theme="9"/>
        </stop>
        <stop position="1">
          <color theme="4"/>
        </stop>
      </gradientFill>
    </fill>
    <fill>
      <patternFill patternType="solid">
        <fgColor indexed="43"/>
      </patternFill>
    </fill>
    <fill>
      <patternFill patternType="lightGrid"/>
    </fill>
    <fill>
      <patternFill patternType="solid">
        <fgColor theme="0"/>
        <bgColor indexed="64"/>
      </patternFill>
    </fill>
    <fill>
      <patternFill patternType="solid">
        <fgColor theme="0" tint="-0.24994659260841701"/>
        <bgColor indexed="64"/>
      </patternFill>
    </fill>
    <fill>
      <patternFill patternType="solid">
        <fgColor indexed="26"/>
      </patternFill>
    </fill>
    <fill>
      <patternFill patternType="solid">
        <fgColor theme="5" tint="0.79998168889431442"/>
        <bgColor indexed="64"/>
      </patternFill>
    </fill>
    <fill>
      <gradientFill>
        <stop position="0">
          <color theme="6"/>
        </stop>
        <stop position="1">
          <color theme="9"/>
        </stop>
      </gradientFill>
    </fill>
    <fill>
      <patternFill patternType="solid">
        <fgColor theme="4"/>
        <bgColor indexed="64"/>
      </patternFill>
    </fill>
    <fill>
      <patternFill patternType="solid">
        <fgColor theme="6"/>
        <bgColor indexed="64"/>
      </patternFill>
    </fill>
    <fill>
      <patternFill patternType="solid">
        <fgColor theme="0" tint="-0.14996795556505021"/>
        <bgColor indexed="64"/>
      </patternFill>
    </fill>
    <fill>
      <patternFill patternType="solid">
        <fgColor rgb="FF00B0F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CC"/>
        <bgColor indexed="64"/>
      </patternFill>
    </fill>
    <fill>
      <patternFill patternType="solid">
        <fgColor rgb="FF811644"/>
        <bgColor indexed="64"/>
      </patternFill>
    </fill>
  </fills>
  <borders count="130">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bottom style="hair">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theme="0" tint="-4.9989318521683403E-2"/>
      </left>
      <right style="thin">
        <color theme="0" tint="-4.9989318521683403E-2"/>
      </right>
      <top/>
      <bottom style="thin">
        <color theme="0" tint="-0.14996795556505021"/>
      </bottom>
      <diagonal/>
    </border>
    <border>
      <left style="thin">
        <color indexed="64"/>
      </left>
      <right/>
      <top/>
      <bottom/>
      <diagonal/>
    </border>
    <border>
      <left style="thin">
        <color theme="0" tint="-0.1498764000366222"/>
      </left>
      <right/>
      <top style="thin">
        <color theme="0" tint="-0.1498764000366222"/>
      </top>
      <bottom style="thin">
        <color theme="0" tint="-0.14987640003662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theme="0" tint="-0.14996795556505021"/>
      </left>
      <right style="thin">
        <color theme="0" tint="-0.14996795556505021"/>
      </right>
      <top style="thin">
        <color theme="0" tint="-0.14993743705557422"/>
      </top>
      <bottom style="double">
        <color theme="6"/>
      </bottom>
      <diagonal/>
    </border>
    <border>
      <left style="thin">
        <color theme="0" tint="-0.14996795556505021"/>
      </left>
      <right style="thin">
        <color theme="0" tint="-0.14996795556505021"/>
      </right>
      <top style="thin">
        <color theme="0" tint="-0.14996795556505021"/>
      </top>
      <bottom style="double">
        <color theme="4" tint="-0.24994659260841701"/>
      </bottom>
      <diagonal/>
    </border>
    <border>
      <left style="thin">
        <color theme="0" tint="-4.9989318521683403E-2"/>
      </left>
      <right style="thin">
        <color indexed="64"/>
      </right>
      <top style="thin">
        <color theme="0" tint="-0.14996795556505021"/>
      </top>
      <bottom style="thin">
        <color theme="0" tint="-0.14996795556505021"/>
      </bottom>
      <diagonal/>
    </border>
    <border>
      <left/>
      <right/>
      <top/>
      <bottom style="double">
        <color indexed="52"/>
      </bottom>
      <diagonal/>
    </border>
    <border>
      <left/>
      <right style="thin">
        <color theme="0" tint="-4.9989318521683403E-2"/>
      </right>
      <top style="thin">
        <color theme="0" tint="-0.14996795556505021"/>
      </top>
      <bottom style="thin">
        <color theme="0" tint="-0.14996795556505021"/>
      </bottom>
      <diagonal/>
    </border>
    <border>
      <left style="thin">
        <color indexed="22"/>
      </left>
      <right style="thin">
        <color indexed="22"/>
      </right>
      <top style="thin">
        <color indexed="22"/>
      </top>
      <bottom style="thin">
        <color indexed="22"/>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indexed="63"/>
      </left>
      <right style="thin">
        <color indexed="63"/>
      </right>
      <top style="thin">
        <color indexed="63"/>
      </top>
      <bottom style="thin">
        <color indexed="63"/>
      </bottom>
      <diagonal/>
    </border>
    <border>
      <left style="thin">
        <color theme="4" tint="0.59996337778862885"/>
      </left>
      <right style="thin">
        <color theme="4" tint="0.59996337778862885"/>
      </right>
      <top style="thin">
        <color theme="4"/>
      </top>
      <bottom style="thin">
        <color theme="4"/>
      </bottom>
      <diagonal/>
    </border>
    <border>
      <left style="thin">
        <color theme="4" tint="0.59996337778862885"/>
      </left>
      <right style="thin">
        <color theme="4" tint="0.59996337778862885"/>
      </right>
      <top/>
      <bottom style="thin">
        <color theme="0" tint="-0.14996795556505021"/>
      </bottom>
      <diagonal/>
    </border>
    <border>
      <left/>
      <right/>
      <top style="thin">
        <color indexed="62"/>
      </top>
      <bottom style="double">
        <color indexed="62"/>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double">
        <color auto="1"/>
      </right>
      <top/>
      <bottom/>
      <diagonal/>
    </border>
    <border>
      <left/>
      <right/>
      <top/>
      <bottom style="double">
        <color auto="1"/>
      </bottom>
      <diagonal/>
    </border>
    <border>
      <left/>
      <right style="double">
        <color auto="1"/>
      </right>
      <top/>
      <bottom style="double">
        <color auto="1"/>
      </bottom>
      <diagonal/>
    </border>
    <border>
      <left style="double">
        <color auto="1"/>
      </left>
      <right/>
      <top/>
      <bottom/>
      <diagonal/>
    </border>
    <border>
      <left style="double">
        <color auto="1"/>
      </left>
      <right/>
      <top style="thin">
        <color auto="1"/>
      </top>
      <bottom/>
      <diagonal/>
    </border>
    <border>
      <left style="double">
        <color auto="1"/>
      </left>
      <right style="thin">
        <color auto="1"/>
      </right>
      <top/>
      <bottom/>
      <diagonal/>
    </border>
    <border>
      <left style="thin">
        <color auto="1"/>
      </left>
      <right style="thin">
        <color indexed="64"/>
      </right>
      <top/>
      <bottom/>
      <diagonal/>
    </border>
    <border>
      <left style="double">
        <color auto="1"/>
      </left>
      <right style="thin">
        <color auto="1"/>
      </right>
      <top/>
      <bottom style="thin">
        <color auto="1"/>
      </bottom>
      <diagonal/>
    </border>
    <border>
      <left style="double">
        <color auto="1"/>
      </left>
      <right style="thin">
        <color auto="1"/>
      </right>
      <top style="thin">
        <color auto="1"/>
      </top>
      <bottom/>
      <diagonal/>
    </border>
    <border>
      <left/>
      <right style="double">
        <color auto="1"/>
      </right>
      <top/>
      <bottom style="thin">
        <color indexed="64"/>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double">
        <color auto="1"/>
      </right>
      <top style="thin">
        <color indexed="64"/>
      </top>
      <bottom/>
      <diagonal/>
    </border>
    <border>
      <left style="thin">
        <color indexed="64"/>
      </left>
      <right/>
      <top style="thin">
        <color indexed="64"/>
      </top>
      <bottom style="thin">
        <color indexed="64"/>
      </bottom>
      <diagonal/>
    </border>
    <border>
      <left style="double">
        <color auto="1"/>
      </left>
      <right/>
      <top/>
      <bottom style="thin">
        <color indexed="64"/>
      </bottom>
      <diagonal/>
    </border>
    <border>
      <left style="double">
        <color indexed="64"/>
      </left>
      <right style="double">
        <color auto="1"/>
      </right>
      <top style="thin">
        <color indexed="64"/>
      </top>
      <bottom/>
      <diagonal/>
    </border>
    <border>
      <left style="double">
        <color indexed="64"/>
      </left>
      <right/>
      <top style="thin">
        <color indexed="64"/>
      </top>
      <bottom style="thin">
        <color indexed="64"/>
      </bottom>
      <diagonal/>
    </border>
    <border>
      <left/>
      <right style="double">
        <color auto="1"/>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double">
        <color auto="1"/>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double">
        <color auto="1"/>
      </right>
      <top/>
      <bottom/>
      <diagonal/>
    </border>
    <border>
      <left style="double">
        <color indexed="64"/>
      </left>
      <right style="double">
        <color auto="1"/>
      </right>
      <top/>
      <bottom style="thin">
        <color indexed="64"/>
      </bottom>
      <diagonal/>
    </border>
    <border>
      <left style="double">
        <color indexed="64"/>
      </left>
      <right style="double">
        <color auto="1"/>
      </right>
      <top style="medium">
        <color indexed="64"/>
      </top>
      <bottom style="thin">
        <color indexed="64"/>
      </bottom>
      <diagonal/>
    </border>
    <border>
      <left/>
      <right style="double">
        <color indexed="64"/>
      </right>
      <top style="medium">
        <color indexed="64"/>
      </top>
      <bottom style="thin">
        <color indexed="64"/>
      </bottom>
      <diagonal/>
    </border>
    <border>
      <left/>
      <right style="medium">
        <color rgb="FF811644"/>
      </right>
      <top style="medium">
        <color rgb="FF811644"/>
      </top>
      <bottom/>
      <diagonal/>
    </border>
    <border>
      <left/>
      <right style="medium">
        <color rgb="FF811644"/>
      </right>
      <top/>
      <bottom/>
      <diagonal/>
    </border>
    <border>
      <left/>
      <right style="medium">
        <color rgb="FF811644"/>
      </right>
      <top/>
      <bottom style="medium">
        <color rgb="FF811644"/>
      </bottom>
      <diagonal/>
    </border>
    <border>
      <left style="medium">
        <color rgb="FF811644"/>
      </left>
      <right style="medium">
        <color rgb="FF811644"/>
      </right>
      <top style="medium">
        <color rgb="FF811644"/>
      </top>
      <bottom/>
      <diagonal/>
    </border>
    <border>
      <left style="medium">
        <color rgb="FF811644"/>
      </left>
      <right style="medium">
        <color rgb="FF811644"/>
      </right>
      <top/>
      <bottom style="medium">
        <color rgb="FF811644"/>
      </bottom>
      <diagonal/>
    </border>
    <border>
      <left style="medium">
        <color rgb="FF811644"/>
      </left>
      <right/>
      <top style="medium">
        <color rgb="FF811644"/>
      </top>
      <bottom/>
      <diagonal/>
    </border>
    <border>
      <left/>
      <right/>
      <top style="medium">
        <color rgb="FF811644"/>
      </top>
      <bottom/>
      <diagonal/>
    </border>
    <border>
      <left style="medium">
        <color rgb="FF811644"/>
      </left>
      <right/>
      <top/>
      <bottom/>
      <diagonal/>
    </border>
    <border>
      <left style="medium">
        <color rgb="FF811644"/>
      </left>
      <right/>
      <top/>
      <bottom style="medium">
        <color rgb="FF811644"/>
      </bottom>
      <diagonal/>
    </border>
    <border>
      <left/>
      <right/>
      <top/>
      <bottom style="medium">
        <color rgb="FF811644"/>
      </bottom>
      <diagonal/>
    </border>
    <border>
      <left style="medium">
        <color rgb="FF811644"/>
      </left>
      <right/>
      <top style="medium">
        <color rgb="FF811644"/>
      </top>
      <bottom style="medium">
        <color rgb="FF811644"/>
      </bottom>
      <diagonal/>
    </border>
    <border>
      <left style="thin">
        <color rgb="FF811644"/>
      </left>
      <right style="thin">
        <color rgb="FF811644"/>
      </right>
      <top style="thin">
        <color rgb="FF811644"/>
      </top>
      <bottom style="thin">
        <color rgb="FF811644"/>
      </bottom>
      <diagonal/>
    </border>
    <border>
      <left style="thin">
        <color rgb="FF811644"/>
      </left>
      <right style="thin">
        <color rgb="FF811644"/>
      </right>
      <top style="thin">
        <color rgb="FF811644"/>
      </top>
      <bottom/>
      <diagonal/>
    </border>
    <border>
      <left style="medium">
        <color rgb="FF811644"/>
      </left>
      <right style="thin">
        <color rgb="FF811644"/>
      </right>
      <top style="medium">
        <color rgb="FF811644"/>
      </top>
      <bottom style="thin">
        <color rgb="FF811644"/>
      </bottom>
      <diagonal/>
    </border>
    <border>
      <left style="thin">
        <color rgb="FF811644"/>
      </left>
      <right style="medium">
        <color rgb="FF811644"/>
      </right>
      <top style="medium">
        <color rgb="FF811644"/>
      </top>
      <bottom style="thin">
        <color rgb="FF811644"/>
      </bottom>
      <diagonal/>
    </border>
    <border>
      <left style="medium">
        <color rgb="FF811644"/>
      </left>
      <right style="thin">
        <color rgb="FF811644"/>
      </right>
      <top style="thin">
        <color rgb="FF811644"/>
      </top>
      <bottom style="thin">
        <color rgb="FF811644"/>
      </bottom>
      <diagonal/>
    </border>
    <border>
      <left style="thin">
        <color rgb="FF811644"/>
      </left>
      <right style="medium">
        <color rgb="FF811644"/>
      </right>
      <top style="thin">
        <color rgb="FF811644"/>
      </top>
      <bottom style="thin">
        <color rgb="FF811644"/>
      </bottom>
      <diagonal/>
    </border>
    <border>
      <left style="medium">
        <color rgb="FF811644"/>
      </left>
      <right style="thin">
        <color rgb="FF811644"/>
      </right>
      <top style="thin">
        <color rgb="FF811644"/>
      </top>
      <bottom style="medium">
        <color rgb="FF811644"/>
      </bottom>
      <diagonal/>
    </border>
    <border>
      <left style="thin">
        <color rgb="FF811644"/>
      </left>
      <right style="medium">
        <color rgb="FF811644"/>
      </right>
      <top style="thin">
        <color rgb="FF811644"/>
      </top>
      <bottom style="medium">
        <color rgb="FF811644"/>
      </bottom>
      <diagonal/>
    </border>
    <border>
      <left style="medium">
        <color rgb="FF811644"/>
      </left>
      <right style="thin">
        <color rgb="FF811644"/>
      </right>
      <top style="medium">
        <color rgb="FF811644"/>
      </top>
      <bottom style="medium">
        <color rgb="FF811644"/>
      </bottom>
      <diagonal/>
    </border>
    <border>
      <left style="thin">
        <color rgb="FF811644"/>
      </left>
      <right style="medium">
        <color rgb="FF811644"/>
      </right>
      <top style="medium">
        <color rgb="FF811644"/>
      </top>
      <bottom style="medium">
        <color rgb="FF811644"/>
      </bottom>
      <diagonal/>
    </border>
    <border>
      <left style="thin">
        <color rgb="FF811644"/>
      </left>
      <right/>
      <top style="thin">
        <color rgb="FF811644"/>
      </top>
      <bottom style="thin">
        <color rgb="FF811644"/>
      </bottom>
      <diagonal/>
    </border>
    <border>
      <left style="thin">
        <color rgb="FF811644"/>
      </left>
      <right/>
      <top style="thin">
        <color rgb="FF811644"/>
      </top>
      <bottom/>
      <diagonal/>
    </border>
    <border>
      <left style="medium">
        <color rgb="FF811644"/>
      </left>
      <right/>
      <top style="medium">
        <color rgb="FF811644"/>
      </top>
      <bottom style="thin">
        <color rgb="FF811644"/>
      </bottom>
      <diagonal/>
    </border>
    <border>
      <left style="medium">
        <color rgb="FF811644"/>
      </left>
      <right/>
      <top style="thin">
        <color rgb="FF811644"/>
      </top>
      <bottom style="medium">
        <color rgb="FF811644"/>
      </bottom>
      <diagonal/>
    </border>
    <border>
      <left style="medium">
        <color rgb="FF811644"/>
      </left>
      <right/>
      <top style="thin">
        <color rgb="FF811644"/>
      </top>
      <bottom style="thin">
        <color rgb="FF811644"/>
      </bottom>
      <diagonal/>
    </border>
    <border>
      <left/>
      <right style="thin">
        <color rgb="FF811644"/>
      </right>
      <top style="thin">
        <color rgb="FF811644"/>
      </top>
      <bottom style="thin">
        <color rgb="FF811644"/>
      </bottom>
      <diagonal/>
    </border>
    <border>
      <left/>
      <right style="thin">
        <color rgb="FF811644"/>
      </right>
      <top style="thin">
        <color rgb="FF811644"/>
      </top>
      <bottom/>
      <diagonal/>
    </border>
    <border>
      <left/>
      <right style="medium">
        <color rgb="FF811644"/>
      </right>
      <top style="medium">
        <color rgb="FF811644"/>
      </top>
      <bottom style="thin">
        <color rgb="FF811644"/>
      </bottom>
      <diagonal/>
    </border>
    <border>
      <left/>
      <right style="medium">
        <color rgb="FF811644"/>
      </right>
      <top style="thin">
        <color rgb="FF811644"/>
      </top>
      <bottom style="medium">
        <color rgb="FF811644"/>
      </bottom>
      <diagonal/>
    </border>
    <border>
      <left/>
      <right style="medium">
        <color rgb="FF811644"/>
      </right>
      <top style="thin">
        <color rgb="FF811644"/>
      </top>
      <bottom style="thin">
        <color rgb="FF811644"/>
      </bottom>
      <diagonal/>
    </border>
    <border>
      <left/>
      <right style="medium">
        <color rgb="FF811644"/>
      </right>
      <top style="medium">
        <color rgb="FF811644"/>
      </top>
      <bottom style="medium">
        <color rgb="FF811644"/>
      </bottom>
      <diagonal/>
    </border>
    <border>
      <left style="medium">
        <color rgb="FF811644"/>
      </left>
      <right style="thin">
        <color rgb="FF811644"/>
      </right>
      <top style="thin">
        <color rgb="FF811644"/>
      </top>
      <bottom/>
      <diagonal/>
    </border>
    <border>
      <left style="thin">
        <color rgb="FF811644"/>
      </left>
      <right style="medium">
        <color rgb="FF811644"/>
      </right>
      <top style="thin">
        <color rgb="FF811644"/>
      </top>
      <bottom/>
      <diagonal/>
    </border>
    <border>
      <left style="thin">
        <color indexed="64"/>
      </left>
      <right/>
      <top style="thin">
        <color rgb="FF811644"/>
      </top>
      <bottom style="thin">
        <color indexed="64"/>
      </bottom>
      <diagonal/>
    </border>
    <border>
      <left/>
      <right/>
      <top style="thin">
        <color rgb="FF811644"/>
      </top>
      <bottom style="thin">
        <color indexed="64"/>
      </bottom>
      <diagonal/>
    </border>
    <border>
      <left style="thin">
        <color indexed="64"/>
      </left>
      <right/>
      <top style="thin">
        <color rgb="FF811644"/>
      </top>
      <bottom/>
      <diagonal/>
    </border>
    <border>
      <left/>
      <right/>
      <top style="thin">
        <color rgb="FF811644"/>
      </top>
      <bottom/>
      <diagonal/>
    </border>
    <border>
      <left/>
      <right style="double">
        <color auto="1"/>
      </right>
      <top style="thin">
        <color rgb="FF811644"/>
      </top>
      <bottom/>
      <diagonal/>
    </border>
    <border>
      <left style="thin">
        <color indexed="64"/>
      </left>
      <right style="thin">
        <color indexed="64"/>
      </right>
      <top/>
      <bottom style="medium">
        <color indexed="64"/>
      </bottom>
      <diagonal/>
    </border>
    <border>
      <left style="thin">
        <color rgb="FF811644"/>
      </left>
      <right style="thin">
        <color rgb="FF811644"/>
      </right>
      <top/>
      <bottom/>
      <diagonal/>
    </border>
    <border>
      <left style="double">
        <color auto="1"/>
      </left>
      <right/>
      <top style="thin">
        <color rgb="FF811644"/>
      </top>
      <bottom style="thin">
        <color indexed="64"/>
      </bottom>
      <diagonal/>
    </border>
    <border>
      <left/>
      <right style="thin">
        <color indexed="64"/>
      </right>
      <top style="thin">
        <color rgb="FF811644"/>
      </top>
      <bottom style="thin">
        <color indexed="64"/>
      </bottom>
      <diagonal/>
    </border>
    <border>
      <left style="double">
        <color auto="1"/>
      </left>
      <right/>
      <top/>
      <bottom style="thin">
        <color rgb="FF811644"/>
      </bottom>
      <diagonal/>
    </border>
    <border>
      <left/>
      <right/>
      <top style="thin">
        <color indexed="64"/>
      </top>
      <bottom style="thin">
        <color rgb="FF811644"/>
      </bottom>
      <diagonal/>
    </border>
    <border>
      <left/>
      <right style="thin">
        <color indexed="64"/>
      </right>
      <top style="thin">
        <color indexed="64"/>
      </top>
      <bottom style="thin">
        <color rgb="FF811644"/>
      </bottom>
      <diagonal/>
    </border>
    <border>
      <left/>
      <right style="double">
        <color auto="1"/>
      </right>
      <top style="thin">
        <color rgb="FF811644"/>
      </top>
      <bottom style="thin">
        <color indexed="64"/>
      </bottom>
      <diagonal/>
    </border>
    <border>
      <left/>
      <right/>
      <top/>
      <bottom style="thin">
        <color rgb="FF811644"/>
      </bottom>
      <diagonal/>
    </border>
    <border>
      <left/>
      <right style="double">
        <color auto="1"/>
      </right>
      <top/>
      <bottom style="thin">
        <color rgb="FF811644"/>
      </bottom>
      <diagonal/>
    </border>
    <border>
      <left style="thin">
        <color indexed="64"/>
      </left>
      <right style="double">
        <color auto="1"/>
      </right>
      <top style="thin">
        <color indexed="64"/>
      </top>
      <bottom style="thin">
        <color indexed="64"/>
      </bottom>
      <diagonal/>
    </border>
    <border>
      <left style="thin">
        <color indexed="64"/>
      </left>
      <right style="double">
        <color auto="1"/>
      </right>
      <top style="thin">
        <color indexed="64"/>
      </top>
      <bottom/>
      <diagonal/>
    </border>
    <border>
      <left style="thin">
        <color indexed="64"/>
      </left>
      <right style="double">
        <color auto="1"/>
      </right>
      <top/>
      <bottom style="thin">
        <color indexed="64"/>
      </bottom>
      <diagonal/>
    </border>
    <border>
      <left style="thin">
        <color indexed="64"/>
      </left>
      <right style="double">
        <color auto="1"/>
      </right>
      <top/>
      <bottom/>
      <diagonal/>
    </border>
    <border>
      <left style="thin">
        <color indexed="64"/>
      </left>
      <right style="double">
        <color auto="1"/>
      </right>
      <top/>
      <bottom style="thin">
        <color rgb="FF811644"/>
      </bottom>
      <diagonal/>
    </border>
    <border>
      <left/>
      <right/>
      <top style="thin">
        <color rgb="FF811644"/>
      </top>
      <bottom style="thin">
        <color rgb="FF811644"/>
      </bottom>
      <diagonal/>
    </border>
    <border>
      <left/>
      <right style="thin">
        <color indexed="64"/>
      </right>
      <top style="thin">
        <color rgb="FF811644"/>
      </top>
      <bottom/>
      <diagonal/>
    </border>
    <border>
      <left style="thin">
        <color rgb="FF811644"/>
      </left>
      <right/>
      <top/>
      <bottom/>
      <diagonal/>
    </border>
    <border>
      <left style="thin">
        <color rgb="FF811644"/>
      </left>
      <right/>
      <top/>
      <bottom style="thin">
        <color indexed="64"/>
      </bottom>
      <diagonal/>
    </border>
    <border>
      <left style="thin">
        <color rgb="FF811644"/>
      </left>
      <right/>
      <top/>
      <bottom style="thin">
        <color rgb="FF811644"/>
      </bottom>
      <diagonal/>
    </border>
    <border>
      <left/>
      <right style="thin">
        <color rgb="FF811644"/>
      </right>
      <top/>
      <bottom/>
      <diagonal/>
    </border>
    <border>
      <left/>
      <right style="thin">
        <color rgb="FF811644"/>
      </right>
      <top/>
      <bottom style="thin">
        <color rgb="FF811644"/>
      </bottom>
      <diagonal/>
    </border>
    <border>
      <left/>
      <right/>
      <top/>
      <bottom style="medium">
        <color indexed="64"/>
      </bottom>
      <diagonal/>
    </border>
    <border>
      <left/>
      <right style="double">
        <color auto="1"/>
      </right>
      <top/>
      <bottom style="medium">
        <color indexed="64"/>
      </bottom>
      <diagonal/>
    </border>
  </borders>
  <cellStyleXfs count="3044">
    <xf numFmtId="0" fontId="0" fillId="0" borderId="0"/>
    <xf numFmtId="43" fontId="4" fillId="0" borderId="0" applyFont="0" applyFill="0" applyBorder="0" applyAlignment="0" applyProtection="0"/>
    <xf numFmtId="0" fontId="2" fillId="0" borderId="0"/>
    <xf numFmtId="0" fontId="5" fillId="0" borderId="0"/>
    <xf numFmtId="9" fontId="4"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167" fontId="8" fillId="0" borderId="0"/>
    <xf numFmtId="167" fontId="9" fillId="0" borderId="0"/>
    <xf numFmtId="167" fontId="8" fillId="0" borderId="0"/>
    <xf numFmtId="167" fontId="10" fillId="0" borderId="0"/>
    <xf numFmtId="167" fontId="10" fillId="0" borderId="0"/>
    <xf numFmtId="0" fontId="5" fillId="9" borderId="0"/>
    <xf numFmtId="0" fontId="5" fillId="9" borderId="0"/>
    <xf numFmtId="0" fontId="11" fillId="9" borderId="0"/>
    <xf numFmtId="0" fontId="12" fillId="9" borderId="0"/>
    <xf numFmtId="0" fontId="13" fillId="9" borderId="0"/>
    <xf numFmtId="0" fontId="14" fillId="9" borderId="0"/>
    <xf numFmtId="0" fontId="15" fillId="9" borderId="0"/>
    <xf numFmtId="0" fontId="16" fillId="9" borderId="0"/>
    <xf numFmtId="168" fontId="5" fillId="0" borderId="3"/>
    <xf numFmtId="168" fontId="5" fillId="0" borderId="3"/>
    <xf numFmtId="0" fontId="12" fillId="10" borderId="0"/>
    <xf numFmtId="0" fontId="5" fillId="9" borderId="0"/>
    <xf numFmtId="0" fontId="5" fillId="9" borderId="0"/>
    <xf numFmtId="0" fontId="11" fillId="9" borderId="0"/>
    <xf numFmtId="0" fontId="12" fillId="9" borderId="0"/>
    <xf numFmtId="0" fontId="5" fillId="9" borderId="0"/>
    <xf numFmtId="0" fontId="5" fillId="9" borderId="0"/>
    <xf numFmtId="0" fontId="14" fillId="9" borderId="0"/>
    <xf numFmtId="0" fontId="15" fillId="9" borderId="0"/>
    <xf numFmtId="0" fontId="16" fillId="9" borderId="0"/>
    <xf numFmtId="167" fontId="10" fillId="11" borderId="0" applyNumberFormat="0" applyBorder="0" applyAlignment="0" applyProtection="0"/>
    <xf numFmtId="167" fontId="10" fillId="11" borderId="0" applyNumberFormat="0" applyBorder="0" applyAlignment="0" applyProtection="0"/>
    <xf numFmtId="0" fontId="17" fillId="11" borderId="0" applyNumberFormat="0" applyBorder="0" applyAlignment="0" applyProtection="0"/>
    <xf numFmtId="167" fontId="10" fillId="11" borderId="0" applyNumberFormat="0" applyBorder="0" applyAlignment="0" applyProtection="0"/>
    <xf numFmtId="167" fontId="10" fillId="11" borderId="0" applyNumberFormat="0" applyBorder="0" applyAlignment="0" applyProtection="0"/>
    <xf numFmtId="0" fontId="2" fillId="3" borderId="0" applyNumberFormat="0" applyBorder="0" applyAlignment="0" applyProtection="0"/>
    <xf numFmtId="167" fontId="10" fillId="12" borderId="0" applyNumberFormat="0" applyBorder="0" applyAlignment="0" applyProtection="0"/>
    <xf numFmtId="167" fontId="10" fillId="12" borderId="0" applyNumberFormat="0" applyBorder="0" applyAlignment="0" applyProtection="0"/>
    <xf numFmtId="0" fontId="17" fillId="12" borderId="0" applyNumberFormat="0" applyBorder="0" applyAlignment="0" applyProtection="0"/>
    <xf numFmtId="167" fontId="10" fillId="12" borderId="0" applyNumberFormat="0" applyBorder="0" applyAlignment="0" applyProtection="0"/>
    <xf numFmtId="167" fontId="10" fillId="12" borderId="0" applyNumberFormat="0" applyBorder="0" applyAlignment="0" applyProtection="0"/>
    <xf numFmtId="167" fontId="10" fillId="13" borderId="0" applyNumberFormat="0" applyBorder="0" applyAlignment="0" applyProtection="0"/>
    <xf numFmtId="167" fontId="10" fillId="13" borderId="0" applyNumberFormat="0" applyBorder="0" applyAlignment="0" applyProtection="0"/>
    <xf numFmtId="0" fontId="10" fillId="13" borderId="0" applyNumberFormat="0" applyBorder="0" applyAlignment="0" applyProtection="0"/>
    <xf numFmtId="167" fontId="10" fillId="13" borderId="0" applyNumberFormat="0" applyBorder="0" applyAlignment="0" applyProtection="0"/>
    <xf numFmtId="167" fontId="10" fillId="13" borderId="0" applyNumberFormat="0" applyBorder="0" applyAlignment="0" applyProtection="0"/>
    <xf numFmtId="167" fontId="10" fillId="14" borderId="0" applyNumberFormat="0" applyBorder="0" applyAlignment="0" applyProtection="0"/>
    <xf numFmtId="167" fontId="10" fillId="14" borderId="0" applyNumberFormat="0" applyBorder="0" applyAlignment="0" applyProtection="0"/>
    <xf numFmtId="0" fontId="17" fillId="14" borderId="0" applyNumberFormat="0" applyBorder="0" applyAlignment="0" applyProtection="0"/>
    <xf numFmtId="167" fontId="10" fillId="14" borderId="0" applyNumberFormat="0" applyBorder="0" applyAlignment="0" applyProtection="0"/>
    <xf numFmtId="167" fontId="10" fillId="14" borderId="0" applyNumberFormat="0" applyBorder="0" applyAlignment="0" applyProtection="0"/>
    <xf numFmtId="167" fontId="10" fillId="15" borderId="0" applyNumberFormat="0" applyBorder="0" applyAlignment="0" applyProtection="0"/>
    <xf numFmtId="167" fontId="10" fillId="15" borderId="0" applyNumberFormat="0" applyBorder="0" applyAlignment="0" applyProtection="0"/>
    <xf numFmtId="0" fontId="17" fillId="15" borderId="0" applyNumberFormat="0" applyBorder="0" applyAlignment="0" applyProtection="0"/>
    <xf numFmtId="167" fontId="10" fillId="15" borderId="0" applyNumberFormat="0" applyBorder="0" applyAlignment="0" applyProtection="0"/>
    <xf numFmtId="167" fontId="10" fillId="15" borderId="0" applyNumberFormat="0" applyBorder="0" applyAlignment="0" applyProtection="0"/>
    <xf numFmtId="167" fontId="10" fillId="16" borderId="0" applyNumberFormat="0" applyBorder="0" applyAlignment="0" applyProtection="0"/>
    <xf numFmtId="167" fontId="10" fillId="16" borderId="0" applyNumberFormat="0" applyBorder="0" applyAlignment="0" applyProtection="0"/>
    <xf numFmtId="0" fontId="17" fillId="16" borderId="0" applyNumberFormat="0" applyBorder="0" applyAlignment="0" applyProtection="0"/>
    <xf numFmtId="167" fontId="10" fillId="16" borderId="0" applyNumberFormat="0" applyBorder="0" applyAlignment="0" applyProtection="0"/>
    <xf numFmtId="167" fontId="10" fillId="16" borderId="0" applyNumberFormat="0" applyBorder="0" applyAlignment="0" applyProtection="0"/>
    <xf numFmtId="167" fontId="10" fillId="17" borderId="0" applyNumberFormat="0" applyBorder="0" applyAlignment="0" applyProtection="0"/>
    <xf numFmtId="167" fontId="10" fillId="17" borderId="0" applyNumberFormat="0" applyBorder="0" applyAlignment="0" applyProtection="0"/>
    <xf numFmtId="0" fontId="17" fillId="17" borderId="0" applyNumberFormat="0" applyBorder="0" applyAlignment="0" applyProtection="0"/>
    <xf numFmtId="167" fontId="10" fillId="17" borderId="0" applyNumberFormat="0" applyBorder="0" applyAlignment="0" applyProtection="0"/>
    <xf numFmtId="167" fontId="10" fillId="17"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167" fontId="10" fillId="18" borderId="0" applyNumberFormat="0" applyBorder="0" applyAlignment="0" applyProtection="0"/>
    <xf numFmtId="167" fontId="10" fillId="18" borderId="0" applyNumberFormat="0" applyBorder="0" applyAlignment="0" applyProtection="0"/>
    <xf numFmtId="0" fontId="10" fillId="18" borderId="0" applyNumberFormat="0" applyBorder="0" applyAlignment="0" applyProtection="0"/>
    <xf numFmtId="167" fontId="10" fillId="18" borderId="0" applyNumberFormat="0" applyBorder="0" applyAlignment="0" applyProtection="0"/>
    <xf numFmtId="167" fontId="10" fillId="18" borderId="0" applyNumberFormat="0" applyBorder="0" applyAlignment="0" applyProtection="0"/>
    <xf numFmtId="167" fontId="10" fillId="19" borderId="0" applyNumberFormat="0" applyBorder="0" applyAlignment="0" applyProtection="0"/>
    <xf numFmtId="167" fontId="10" fillId="19" borderId="0" applyNumberFormat="0" applyBorder="0" applyAlignment="0" applyProtection="0"/>
    <xf numFmtId="0" fontId="17" fillId="19" borderId="0" applyNumberFormat="0" applyBorder="0" applyAlignment="0" applyProtection="0"/>
    <xf numFmtId="167" fontId="10" fillId="19" borderId="0" applyNumberFormat="0" applyBorder="0" applyAlignment="0" applyProtection="0"/>
    <xf numFmtId="167" fontId="10" fillId="19" borderId="0" applyNumberFormat="0" applyBorder="0" applyAlignment="0" applyProtection="0"/>
    <xf numFmtId="167" fontId="10" fillId="14" borderId="0" applyNumberFormat="0" applyBorder="0" applyAlignment="0" applyProtection="0"/>
    <xf numFmtId="167" fontId="10" fillId="14" borderId="0" applyNumberFormat="0" applyBorder="0" applyAlignment="0" applyProtection="0"/>
    <xf numFmtId="0" fontId="17" fillId="14" borderId="0" applyNumberFormat="0" applyBorder="0" applyAlignment="0" applyProtection="0"/>
    <xf numFmtId="167" fontId="10" fillId="14" borderId="0" applyNumberFormat="0" applyBorder="0" applyAlignment="0" applyProtection="0"/>
    <xf numFmtId="167" fontId="10" fillId="14" borderId="0" applyNumberFormat="0" applyBorder="0" applyAlignment="0" applyProtection="0"/>
    <xf numFmtId="167" fontId="10" fillId="17" borderId="0" applyNumberFormat="0" applyBorder="0" applyAlignment="0" applyProtection="0"/>
    <xf numFmtId="167" fontId="10" fillId="17" borderId="0" applyNumberFormat="0" applyBorder="0" applyAlignment="0" applyProtection="0"/>
    <xf numFmtId="0" fontId="17" fillId="17" borderId="0" applyNumberFormat="0" applyBorder="0" applyAlignment="0" applyProtection="0"/>
    <xf numFmtId="167" fontId="10" fillId="17" borderId="0" applyNumberFormat="0" applyBorder="0" applyAlignment="0" applyProtection="0"/>
    <xf numFmtId="167" fontId="10" fillId="17" borderId="0" applyNumberFormat="0" applyBorder="0" applyAlignment="0" applyProtection="0"/>
    <xf numFmtId="167" fontId="10" fillId="20" borderId="0" applyNumberFormat="0" applyBorder="0" applyAlignment="0" applyProtection="0"/>
    <xf numFmtId="167" fontId="10" fillId="20" borderId="0" applyNumberFormat="0" applyBorder="0" applyAlignment="0" applyProtection="0"/>
    <xf numFmtId="0" fontId="17" fillId="20" borderId="0" applyNumberFormat="0" applyBorder="0" applyAlignment="0" applyProtection="0"/>
    <xf numFmtId="167" fontId="10" fillId="20" borderId="0" applyNumberFormat="0" applyBorder="0" applyAlignment="0" applyProtection="0"/>
    <xf numFmtId="167" fontId="10" fillId="20" borderId="0" applyNumberFormat="0" applyBorder="0" applyAlignment="0" applyProtection="0"/>
    <xf numFmtId="167" fontId="18" fillId="21" borderId="0" applyNumberFormat="0" applyBorder="0" applyAlignment="0" applyProtection="0"/>
    <xf numFmtId="0" fontId="19" fillId="21" borderId="0" applyNumberFormat="0" applyBorder="0" applyAlignment="0" applyProtection="0"/>
    <xf numFmtId="167" fontId="18" fillId="21" borderId="0" applyNumberFormat="0" applyBorder="0" applyAlignment="0" applyProtection="0"/>
    <xf numFmtId="0" fontId="20" fillId="5" borderId="0" applyNumberFormat="0" applyBorder="0" applyAlignment="0" applyProtection="0"/>
    <xf numFmtId="167" fontId="18" fillId="18" borderId="0" applyNumberFormat="0" applyBorder="0" applyAlignment="0" applyProtection="0"/>
    <xf numFmtId="0" fontId="19" fillId="18" borderId="0" applyNumberFormat="0" applyBorder="0" applyAlignment="0" applyProtection="0"/>
    <xf numFmtId="167" fontId="18" fillId="18" borderId="0" applyNumberFormat="0" applyBorder="0" applyAlignment="0" applyProtection="0"/>
    <xf numFmtId="167" fontId="18" fillId="19" borderId="0" applyNumberFormat="0" applyBorder="0" applyAlignment="0" applyProtection="0"/>
    <xf numFmtId="0" fontId="19" fillId="19" borderId="0" applyNumberFormat="0" applyBorder="0" applyAlignment="0" applyProtection="0"/>
    <xf numFmtId="167" fontId="18" fillId="19" borderId="0" applyNumberFormat="0" applyBorder="0" applyAlignment="0" applyProtection="0"/>
    <xf numFmtId="167" fontId="18" fillId="22" borderId="0" applyNumberFormat="0" applyBorder="0" applyAlignment="0" applyProtection="0"/>
    <xf numFmtId="0" fontId="19" fillId="22" borderId="0" applyNumberFormat="0" applyBorder="0" applyAlignment="0" applyProtection="0"/>
    <xf numFmtId="167" fontId="18" fillId="22" borderId="0" applyNumberFormat="0" applyBorder="0" applyAlignment="0" applyProtection="0"/>
    <xf numFmtId="167" fontId="18" fillId="23" borderId="0" applyNumberFormat="0" applyBorder="0" applyAlignment="0" applyProtection="0"/>
    <xf numFmtId="0" fontId="19" fillId="23" borderId="0" applyNumberFormat="0" applyBorder="0" applyAlignment="0" applyProtection="0"/>
    <xf numFmtId="167" fontId="18" fillId="23" borderId="0" applyNumberFormat="0" applyBorder="0" applyAlignment="0" applyProtection="0"/>
    <xf numFmtId="167" fontId="18" fillId="24" borderId="0" applyNumberFormat="0" applyBorder="0" applyAlignment="0" applyProtection="0"/>
    <xf numFmtId="0" fontId="19" fillId="24" borderId="0" applyNumberFormat="0" applyBorder="0" applyAlignment="0" applyProtection="0"/>
    <xf numFmtId="167" fontId="18" fillId="24" borderId="0" applyNumberFormat="0" applyBorder="0" applyAlignment="0" applyProtection="0"/>
    <xf numFmtId="167" fontId="18" fillId="25" borderId="0" applyNumberFormat="0" applyBorder="0" applyAlignment="0" applyProtection="0"/>
    <xf numFmtId="0" fontId="19" fillId="25" borderId="0" applyNumberFormat="0" applyBorder="0" applyAlignment="0" applyProtection="0"/>
    <xf numFmtId="167" fontId="18" fillId="25" borderId="0" applyNumberFormat="0" applyBorder="0" applyAlignment="0" applyProtection="0"/>
    <xf numFmtId="167" fontId="18" fillId="26" borderId="0" applyNumberFormat="0" applyBorder="0" applyAlignment="0" applyProtection="0"/>
    <xf numFmtId="0" fontId="19" fillId="26" borderId="0" applyNumberFormat="0" applyBorder="0" applyAlignment="0" applyProtection="0"/>
    <xf numFmtId="167" fontId="18" fillId="26" borderId="0" applyNumberFormat="0" applyBorder="0" applyAlignment="0" applyProtection="0"/>
    <xf numFmtId="167" fontId="18" fillId="27" borderId="0" applyNumberFormat="0" applyBorder="0" applyAlignment="0" applyProtection="0"/>
    <xf numFmtId="0" fontId="19" fillId="27" borderId="0" applyNumberFormat="0" applyBorder="0" applyAlignment="0" applyProtection="0"/>
    <xf numFmtId="167" fontId="18" fillId="27" borderId="0" applyNumberFormat="0" applyBorder="0" applyAlignment="0" applyProtection="0"/>
    <xf numFmtId="167" fontId="18" fillId="22" borderId="0" applyNumberFormat="0" applyBorder="0" applyAlignment="0" applyProtection="0"/>
    <xf numFmtId="0" fontId="19" fillId="22" borderId="0" applyNumberFormat="0" applyBorder="0" applyAlignment="0" applyProtection="0"/>
    <xf numFmtId="167" fontId="18" fillId="22" borderId="0" applyNumberFormat="0" applyBorder="0" applyAlignment="0" applyProtection="0"/>
    <xf numFmtId="167" fontId="18" fillId="23" borderId="0" applyNumberFormat="0" applyBorder="0" applyAlignment="0" applyProtection="0"/>
    <xf numFmtId="0" fontId="19" fillId="23" borderId="0" applyNumberFormat="0" applyBorder="0" applyAlignment="0" applyProtection="0"/>
    <xf numFmtId="167" fontId="18" fillId="23" borderId="0" applyNumberFormat="0" applyBorder="0" applyAlignment="0" applyProtection="0"/>
    <xf numFmtId="167" fontId="18" fillId="28" borderId="0" applyNumberFormat="0" applyBorder="0" applyAlignment="0" applyProtection="0"/>
    <xf numFmtId="0" fontId="19" fillId="28" borderId="0" applyNumberFormat="0" applyBorder="0" applyAlignment="0" applyProtection="0"/>
    <xf numFmtId="167" fontId="18" fillId="28" borderId="0" applyNumberFormat="0" applyBorder="0" applyAlignment="0" applyProtection="0"/>
    <xf numFmtId="169" fontId="21" fillId="29" borderId="0" applyBorder="0" applyProtection="0"/>
    <xf numFmtId="0" fontId="22" fillId="30" borderId="0" applyNumberFormat="0" applyBorder="0" applyAlignment="0"/>
    <xf numFmtId="167" fontId="23" fillId="12" borderId="0" applyNumberFormat="0" applyBorder="0" applyAlignment="0" applyProtection="0"/>
    <xf numFmtId="0" fontId="24" fillId="12" borderId="0" applyNumberFormat="0" applyBorder="0" applyAlignment="0" applyProtection="0"/>
    <xf numFmtId="167" fontId="23" fillId="12" borderId="0" applyNumberFormat="0" applyBorder="0" applyAlignment="0" applyProtection="0"/>
    <xf numFmtId="0" fontId="25" fillId="31" borderId="0">
      <alignment vertical="center" wrapText="1"/>
    </xf>
    <xf numFmtId="167" fontId="5" fillId="0" borderId="0"/>
    <xf numFmtId="167" fontId="5" fillId="0" borderId="0">
      <alignment horizontal="center"/>
    </xf>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7" fillId="33" borderId="2" applyNumberFormat="0" applyAlignment="0" applyProtection="0"/>
    <xf numFmtId="167" fontId="26" fillId="32" borderId="4" applyNumberFormat="0" applyAlignment="0" applyProtection="0"/>
    <xf numFmtId="0" fontId="28"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6" fillId="32" borderId="4" applyNumberFormat="0" applyAlignment="0" applyProtection="0"/>
    <xf numFmtId="167" fontId="29" fillId="34" borderId="5" applyNumberFormat="0" applyAlignment="0" applyProtection="0"/>
    <xf numFmtId="0" fontId="30" fillId="34" borderId="5" applyNumberFormat="0" applyAlignment="0" applyProtection="0"/>
    <xf numFmtId="167" fontId="29" fillId="34" borderId="5" applyNumberFormat="0" applyAlignment="0" applyProtection="0"/>
    <xf numFmtId="0" fontId="31" fillId="35" borderId="6" applyNumberFormat="0">
      <alignment horizontal="center" wrapText="1"/>
    </xf>
    <xf numFmtId="170" fontId="5"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1" fontId="5" fillId="0" borderId="0" applyFont="0" applyFill="0" applyBorder="0" applyAlignment="0" applyProtection="0"/>
    <xf numFmtId="43" fontId="5" fillId="0" borderId="0" applyFont="0" applyFill="0" applyBorder="0" applyAlignment="0" applyProtection="0"/>
    <xf numFmtId="43" fontId="17" fillId="0" borderId="0" applyFont="0" applyFill="0" applyBorder="0" applyAlignment="0" applyProtection="0"/>
    <xf numFmtId="172" fontId="5" fillId="0" borderId="0" applyFont="0" applyFill="0" applyBorder="0" applyAlignment="0" applyProtection="0"/>
    <xf numFmtId="43" fontId="17" fillId="0" borderId="0" applyFont="0" applyFill="0" applyBorder="0" applyAlignment="0" applyProtection="0"/>
    <xf numFmtId="172" fontId="5"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172" fontId="5" fillId="0" borderId="0" applyFont="0" applyFill="0" applyBorder="0" applyAlignment="0" applyProtection="0"/>
    <xf numFmtId="43" fontId="17" fillId="0" borderId="0" applyFont="0" applyFill="0" applyBorder="0" applyAlignment="0" applyProtection="0"/>
    <xf numFmtId="172" fontId="5" fillId="0" borderId="0" applyFont="0" applyFill="0" applyBorder="0" applyAlignment="0" applyProtection="0"/>
    <xf numFmtId="43" fontId="10" fillId="0" borderId="0" applyFont="0" applyFill="0" applyBorder="0" applyAlignment="0" applyProtection="0"/>
    <xf numFmtId="172" fontId="5" fillId="0" borderId="0" applyFont="0" applyFill="0" applyBorder="0" applyAlignment="0" applyProtection="0"/>
    <xf numFmtId="43" fontId="10" fillId="0" borderId="0" applyFont="0" applyFill="0" applyBorder="0" applyAlignment="0" applyProtection="0"/>
    <xf numFmtId="172"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2" fontId="5" fillId="0" borderId="0" applyFont="0" applyFill="0" applyBorder="0" applyAlignment="0" applyProtection="0"/>
    <xf numFmtId="172"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172"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2" fontId="5" fillId="0" borderId="0" applyFont="0" applyFill="0" applyBorder="0" applyAlignment="0" applyProtection="0"/>
    <xf numFmtId="43" fontId="3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2"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172" fontId="5" fillId="0" borderId="0" applyFont="0" applyFill="0" applyBorder="0" applyAlignment="0" applyProtection="0"/>
    <xf numFmtId="172"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2" fontId="10" fillId="0" borderId="0" applyFont="0" applyFill="0" applyBorder="0" applyAlignment="0" applyProtection="0"/>
    <xf numFmtId="43" fontId="2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172" fontId="5" fillId="0" borderId="0" applyFont="0" applyFill="0" applyBorder="0" applyAlignment="0" applyProtection="0"/>
    <xf numFmtId="172"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ill="0" applyBorder="0" applyAlignment="0" applyProtection="0"/>
    <xf numFmtId="43" fontId="5" fillId="0" borderId="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7" fillId="0" borderId="0" applyFont="0" applyFill="0" applyBorder="0" applyAlignment="0" applyProtection="0"/>
    <xf numFmtId="172"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2"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172" fontId="5" fillId="0" borderId="0" applyFont="0" applyFill="0" applyBorder="0" applyAlignment="0" applyProtection="0"/>
    <xf numFmtId="173" fontId="27" fillId="36" borderId="2" applyFont="0" applyFill="0" applyBorder="0" applyProtection="0">
      <alignment horizontal="right"/>
    </xf>
    <xf numFmtId="44" fontId="2" fillId="0" borderId="0" applyFont="0" applyFill="0" applyBorder="0" applyAlignment="0" applyProtection="0"/>
    <xf numFmtId="174" fontId="5"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17"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75" fontId="5"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75" fontId="10" fillId="0" borderId="0" applyFont="0" applyFill="0" applyBorder="0" applyAlignment="0" applyProtection="0"/>
    <xf numFmtId="44" fontId="22" fillId="0" borderId="0" applyFont="0" applyFill="0" applyBorder="0" applyAlignment="0" applyProtection="0"/>
    <xf numFmtId="44" fontId="1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7" fillId="0" borderId="0" applyFont="0" applyFill="0" applyBorder="0" applyAlignment="0" applyProtection="0"/>
    <xf numFmtId="174" fontId="5" fillId="0" borderId="0" applyFont="0" applyFill="0" applyBorder="0" applyAlignment="0" applyProtection="0"/>
    <xf numFmtId="44" fontId="5" fillId="0" borderId="0" applyFont="0" applyFill="0" applyBorder="0" applyAlignment="0" applyProtection="0"/>
    <xf numFmtId="176" fontId="27" fillId="36" borderId="2" applyFont="0" applyFill="0" applyBorder="0" applyProtection="0">
      <alignment horizontal="right"/>
    </xf>
    <xf numFmtId="10" fontId="33" fillId="0" borderId="7"/>
    <xf numFmtId="15" fontId="34" fillId="0" borderId="0" applyFont="0" applyFill="0" applyBorder="0" applyAlignment="0" applyProtection="0">
      <protection locked="0"/>
    </xf>
    <xf numFmtId="4" fontId="27" fillId="36" borderId="2" applyFont="0" applyFill="0" applyBorder="0" applyProtection="0">
      <alignment horizontal="right"/>
    </xf>
    <xf numFmtId="177" fontId="27" fillId="36" borderId="2" applyFont="0" applyFill="0" applyBorder="0" applyProtection="0">
      <alignment horizontal="right"/>
    </xf>
    <xf numFmtId="0" fontId="35" fillId="37" borderId="6" applyNumberFormat="0" applyAlignment="0">
      <alignment vertical="center" wrapText="1"/>
    </xf>
    <xf numFmtId="0" fontId="36" fillId="38" borderId="8" applyNumberFormat="0" applyProtection="0">
      <alignment horizontal="center" vertical="center" wrapText="1"/>
      <protection locked="0"/>
    </xf>
    <xf numFmtId="0" fontId="5" fillId="39" borderId="0" applyNumberFormat="0" applyBorder="0" applyAlignment="0"/>
    <xf numFmtId="167" fontId="5" fillId="0" borderId="0" applyFont="0" applyFill="0" applyBorder="0" applyAlignment="0" applyProtection="0"/>
    <xf numFmtId="167" fontId="5" fillId="0" borderId="0" applyFont="0" applyFill="0" applyBorder="0" applyAlignment="0" applyProtection="0"/>
    <xf numFmtId="167" fontId="37" fillId="0" borderId="0" applyNumberFormat="0" applyFill="0" applyBorder="0" applyAlignment="0" applyProtection="0"/>
    <xf numFmtId="0" fontId="38" fillId="0" borderId="0" applyNumberFormat="0" applyFill="0" applyBorder="0" applyAlignment="0" applyProtection="0"/>
    <xf numFmtId="167" fontId="37" fillId="0" borderId="0" applyNumberFormat="0" applyFill="0" applyBorder="0" applyAlignment="0" applyProtection="0"/>
    <xf numFmtId="167" fontId="39" fillId="0" borderId="0" applyNumberFormat="0" applyFill="0" applyBorder="0" applyAlignment="0" applyProtection="0"/>
    <xf numFmtId="167" fontId="40" fillId="0" borderId="0" applyNumberFormat="0" applyFill="0" applyBorder="0" applyAlignment="0" applyProtection="0"/>
    <xf numFmtId="0" fontId="41" fillId="0" borderId="0" applyNumberFormat="0" applyFill="0" applyBorder="0" applyAlignment="0" applyProtection="0"/>
    <xf numFmtId="167" fontId="42" fillId="13" borderId="0" applyNumberFormat="0" applyBorder="0" applyAlignment="0" applyProtection="0"/>
    <xf numFmtId="0" fontId="43" fillId="13" borderId="0" applyNumberFormat="0" applyBorder="0" applyAlignment="0" applyProtection="0"/>
    <xf numFmtId="167" fontId="42" fillId="13" borderId="0" applyNumberFormat="0" applyBorder="0" applyAlignment="0" applyProtection="0"/>
    <xf numFmtId="0" fontId="25" fillId="40" borderId="0">
      <alignment vertical="center" wrapText="1"/>
    </xf>
    <xf numFmtId="0" fontId="31" fillId="41" borderId="6" applyNumberFormat="0">
      <alignment horizontal="center" wrapText="1"/>
    </xf>
    <xf numFmtId="167" fontId="44" fillId="0" borderId="9" applyNumberFormat="0" applyFill="0" applyAlignment="0" applyProtection="0"/>
    <xf numFmtId="0" fontId="45" fillId="0" borderId="9" applyNumberFormat="0" applyFill="0" applyAlignment="0" applyProtection="0"/>
    <xf numFmtId="167" fontId="44" fillId="0" borderId="9" applyNumberFormat="0" applyFill="0" applyAlignment="0" applyProtection="0"/>
    <xf numFmtId="167" fontId="46" fillId="42" borderId="0" applyNumberFormat="0" applyBorder="0" applyProtection="0">
      <alignment vertical="top"/>
    </xf>
    <xf numFmtId="167" fontId="47" fillId="0" borderId="10" applyNumberFormat="0" applyFill="0" applyAlignment="0" applyProtection="0"/>
    <xf numFmtId="0" fontId="48" fillId="0" borderId="10" applyNumberFormat="0" applyFill="0" applyAlignment="0" applyProtection="0"/>
    <xf numFmtId="167" fontId="47" fillId="0" borderId="10" applyNumberFormat="0" applyFill="0" applyAlignment="0" applyProtection="0"/>
    <xf numFmtId="167" fontId="49" fillId="0" borderId="0" applyNumberFormat="0" applyFill="0" applyBorder="0" applyProtection="0">
      <alignment vertical="top"/>
    </xf>
    <xf numFmtId="167" fontId="50" fillId="0" borderId="11" applyNumberFormat="0" applyFill="0" applyAlignment="0" applyProtection="0"/>
    <xf numFmtId="0" fontId="51" fillId="0" borderId="11" applyNumberFormat="0" applyFill="0" applyAlignment="0" applyProtection="0"/>
    <xf numFmtId="167" fontId="50" fillId="0" borderId="11" applyNumberFormat="0" applyFill="0" applyAlignment="0" applyProtection="0"/>
    <xf numFmtId="167" fontId="49" fillId="0" borderId="0" applyNumberFormat="0" applyFill="0" applyBorder="0" applyProtection="0">
      <alignment horizontal="left" vertical="top" indent="1"/>
    </xf>
    <xf numFmtId="167" fontId="50" fillId="0" borderId="0" applyNumberFormat="0" applyFill="0" applyBorder="0" applyAlignment="0" applyProtection="0"/>
    <xf numFmtId="0" fontId="51" fillId="0" borderId="0" applyNumberFormat="0" applyFill="0" applyBorder="0" applyAlignment="0" applyProtection="0"/>
    <xf numFmtId="167" fontId="50" fillId="0" borderId="0" applyNumberFormat="0" applyFill="0" applyBorder="0" applyAlignment="0" applyProtection="0"/>
    <xf numFmtId="167" fontId="52" fillId="0" borderId="0"/>
    <xf numFmtId="167" fontId="53" fillId="0" borderId="0">
      <alignment vertical="center"/>
    </xf>
    <xf numFmtId="167" fontId="53" fillId="0" borderId="0"/>
    <xf numFmtId="167" fontId="54" fillId="0" borderId="0"/>
    <xf numFmtId="178" fontId="19" fillId="0" borderId="0" applyAlignment="0">
      <alignment horizontal="right"/>
      <protection hidden="1"/>
    </xf>
    <xf numFmtId="167" fontId="55" fillId="43" borderId="0" applyNumberFormat="0" applyFill="0" applyBorder="0" applyAlignment="0" applyProtection="0"/>
    <xf numFmtId="167" fontId="56" fillId="0" borderId="0" applyNumberFormat="0" applyFill="0" applyBorder="0" applyAlignment="0" applyProtection="0">
      <alignment vertical="top"/>
      <protection locked="0"/>
    </xf>
    <xf numFmtId="179" fontId="56" fillId="0" borderId="0" applyNumberFormat="0" applyFill="0" applyBorder="0" applyAlignment="0" applyProtection="0">
      <alignment vertical="top"/>
      <protection locked="0"/>
    </xf>
    <xf numFmtId="167" fontId="57" fillId="0" borderId="0" applyNumberFormat="0" applyFill="0" applyBorder="0" applyAlignment="0" applyProtection="0">
      <alignment vertical="top"/>
      <protection locked="0"/>
    </xf>
    <xf numFmtId="167" fontId="58" fillId="0" borderId="0" applyNumberFormat="0" applyFill="0" applyBorder="0" applyAlignment="0" applyProtection="0">
      <alignment vertical="top"/>
      <protection locked="0"/>
    </xf>
    <xf numFmtId="179" fontId="58" fillId="0" borderId="0" applyNumberFormat="0" applyFill="0" applyBorder="0" applyAlignment="0" applyProtection="0">
      <alignment vertical="top"/>
      <protection locked="0"/>
    </xf>
    <xf numFmtId="167" fontId="58" fillId="0" borderId="0" applyNumberFormat="0" applyFill="0" applyBorder="0" applyAlignment="0" applyProtection="0">
      <alignment vertical="top"/>
      <protection locked="0"/>
    </xf>
    <xf numFmtId="167" fontId="59" fillId="0" borderId="0" applyNumberFormat="0" applyFill="0" applyBorder="0" applyAlignment="0" applyProtection="0">
      <alignment vertical="top"/>
      <protection locked="0"/>
    </xf>
    <xf numFmtId="167" fontId="60" fillId="0" borderId="0" applyNumberFormat="0" applyFill="0" applyBorder="0" applyAlignment="0" applyProtection="0">
      <alignment vertical="top"/>
      <protection locked="0"/>
    </xf>
    <xf numFmtId="167" fontId="61" fillId="0" borderId="0" applyNumberFormat="0" applyFill="0" applyBorder="0" applyAlignment="0" applyProtection="0">
      <alignment vertical="top"/>
      <protection locked="0"/>
    </xf>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0" fontId="63"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62" fillId="16" borderId="4" applyNumberFormat="0" applyAlignment="0" applyProtection="0"/>
    <xf numFmtId="167" fontId="27" fillId="44" borderId="2" applyNumberFormat="0" applyAlignment="0">
      <protection locked="0"/>
    </xf>
    <xf numFmtId="0" fontId="64" fillId="39" borderId="12" applyNumberFormat="0" applyAlignment="0"/>
    <xf numFmtId="4" fontId="65" fillId="7" borderId="13" applyNumberFormat="0" applyAlignment="0"/>
    <xf numFmtId="1" fontId="16" fillId="0" borderId="0"/>
    <xf numFmtId="0" fontId="66" fillId="0" borderId="14" applyNumberFormat="0" applyFill="0">
      <alignment horizontal="right" vertical="center" wrapText="1"/>
    </xf>
    <xf numFmtId="167" fontId="67" fillId="0" borderId="15" applyNumberFormat="0" applyFill="0" applyAlignment="0" applyProtection="0"/>
    <xf numFmtId="0" fontId="68" fillId="0" borderId="15" applyNumberFormat="0" applyFill="0" applyAlignment="0" applyProtection="0"/>
    <xf numFmtId="167" fontId="67" fillId="0" borderId="15" applyNumberFormat="0" applyFill="0" applyAlignment="0" applyProtection="0"/>
    <xf numFmtId="167" fontId="27" fillId="45" borderId="2" applyNumberFormat="0" applyAlignment="0" applyProtection="0"/>
    <xf numFmtId="0" fontId="69" fillId="8" borderId="0" applyNumberFormat="0" applyBorder="0" applyAlignment="0"/>
    <xf numFmtId="0" fontId="25" fillId="46" borderId="0">
      <alignment vertical="center" wrapText="1"/>
    </xf>
    <xf numFmtId="171" fontId="5" fillId="0" borderId="0" applyFont="0" applyFill="0" applyBorder="0" applyAlignment="0" applyProtection="0"/>
    <xf numFmtId="0" fontId="70" fillId="37" borderId="16" applyNumberFormat="0">
      <alignment horizontal="center" vertical="center"/>
    </xf>
    <xf numFmtId="167" fontId="71" fillId="47" borderId="0" applyNumberFormat="0" applyBorder="0" applyAlignment="0" applyProtection="0"/>
    <xf numFmtId="0" fontId="72" fillId="47" borderId="0" applyNumberFormat="0" applyBorder="0" applyAlignment="0" applyProtection="0"/>
    <xf numFmtId="167" fontId="71" fillId="47" borderId="0" applyNumberFormat="0" applyBorder="0" applyAlignment="0" applyProtection="0"/>
    <xf numFmtId="167" fontId="2" fillId="0" borderId="0"/>
    <xf numFmtId="167" fontId="5" fillId="0" borderId="0"/>
    <xf numFmtId="167" fontId="5" fillId="0" borderId="0"/>
    <xf numFmtId="167" fontId="5" fillId="0" borderId="0"/>
    <xf numFmtId="167" fontId="2" fillId="0" borderId="0"/>
    <xf numFmtId="167" fontId="2" fillId="0" borderId="0"/>
    <xf numFmtId="167" fontId="2" fillId="0" borderId="0"/>
    <xf numFmtId="167" fontId="2" fillId="0" borderId="0"/>
    <xf numFmtId="167" fontId="5" fillId="0" borderId="0"/>
    <xf numFmtId="167" fontId="2" fillId="0" borderId="0"/>
    <xf numFmtId="0" fontId="2" fillId="0" borderId="0"/>
    <xf numFmtId="167" fontId="5" fillId="0" borderId="0"/>
    <xf numFmtId="167" fontId="2" fillId="0" borderId="0"/>
    <xf numFmtId="167" fontId="2" fillId="0" borderId="0"/>
    <xf numFmtId="167" fontId="2" fillId="0" borderId="0"/>
    <xf numFmtId="167" fontId="2" fillId="0" borderId="0"/>
    <xf numFmtId="167" fontId="2" fillId="0" borderId="0"/>
    <xf numFmtId="167" fontId="2" fillId="0" borderId="0"/>
    <xf numFmtId="0" fontId="1" fillId="0" borderId="0"/>
    <xf numFmtId="167" fontId="5"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5" fillId="0" borderId="0"/>
    <xf numFmtId="167" fontId="5"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5" fillId="0" borderId="0"/>
    <xf numFmtId="167" fontId="5" fillId="0" borderId="0"/>
    <xf numFmtId="167" fontId="5" fillId="0" borderId="0"/>
    <xf numFmtId="167" fontId="5" fillId="0" borderId="0"/>
    <xf numFmtId="167" fontId="5" fillId="0" borderId="0"/>
    <xf numFmtId="167" fontId="22" fillId="0" borderId="0"/>
    <xf numFmtId="167" fontId="22" fillId="0" borderId="0"/>
    <xf numFmtId="167" fontId="22" fillId="0" borderId="0"/>
    <xf numFmtId="167" fontId="22" fillId="0" borderId="0"/>
    <xf numFmtId="167" fontId="22" fillId="0" borderId="0"/>
    <xf numFmtId="167" fontId="22" fillId="0" borderId="0"/>
    <xf numFmtId="167" fontId="22" fillId="0" borderId="0"/>
    <xf numFmtId="167" fontId="22" fillId="0" borderId="0"/>
    <xf numFmtId="167" fontId="22" fillId="0" borderId="0"/>
    <xf numFmtId="167" fontId="22" fillId="0" borderId="0"/>
    <xf numFmtId="167" fontId="22" fillId="0" borderId="0"/>
    <xf numFmtId="167" fontId="22" fillId="0" borderId="0"/>
    <xf numFmtId="167" fontId="5" fillId="0" borderId="0"/>
    <xf numFmtId="167" fontId="5" fillId="0" borderId="0"/>
    <xf numFmtId="167" fontId="73" fillId="0" borderId="0" applyNumberFormat="0" applyFill="0" applyBorder="0" applyAlignment="0" applyProtection="0"/>
    <xf numFmtId="167" fontId="2" fillId="0" borderId="0"/>
    <xf numFmtId="167" fontId="5" fillId="0" borderId="0"/>
    <xf numFmtId="167" fontId="2" fillId="0" borderId="0"/>
    <xf numFmtId="167" fontId="2" fillId="0" borderId="0"/>
    <xf numFmtId="167" fontId="5"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32" fillId="0" borderId="0"/>
    <xf numFmtId="167" fontId="2" fillId="0" borderId="0"/>
    <xf numFmtId="167" fontId="2" fillId="0" borderId="0"/>
    <xf numFmtId="167" fontId="5" fillId="0" borderId="0"/>
    <xf numFmtId="167" fontId="2" fillId="0" borderId="0"/>
    <xf numFmtId="167" fontId="2" fillId="0" borderId="0"/>
    <xf numFmtId="167" fontId="2" fillId="0" borderId="0"/>
    <xf numFmtId="167" fontId="2" fillId="0" borderId="0"/>
    <xf numFmtId="167" fontId="2" fillId="0" borderId="0"/>
    <xf numFmtId="0" fontId="2" fillId="0" borderId="0"/>
    <xf numFmtId="167" fontId="22" fillId="0" borderId="0"/>
    <xf numFmtId="167" fontId="22" fillId="0" borderId="0"/>
    <xf numFmtId="167" fontId="5" fillId="0" borderId="0"/>
    <xf numFmtId="0" fontId="2" fillId="0" borderId="0"/>
    <xf numFmtId="0" fontId="74" fillId="0" borderId="0"/>
    <xf numFmtId="0" fontId="5" fillId="0" borderId="0"/>
    <xf numFmtId="167" fontId="5" fillId="0" borderId="0"/>
    <xf numFmtId="167" fontId="5" fillId="0" borderId="0"/>
    <xf numFmtId="167" fontId="5" fillId="0" borderId="0"/>
    <xf numFmtId="0" fontId="5"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0" fontId="5" fillId="0" borderId="0"/>
    <xf numFmtId="179" fontId="5" fillId="0" borderId="0"/>
    <xf numFmtId="179" fontId="5" fillId="0" borderId="0"/>
    <xf numFmtId="167" fontId="2" fillId="0" borderId="0"/>
    <xf numFmtId="167" fontId="2" fillId="0" borderId="0"/>
    <xf numFmtId="167" fontId="2" fillId="0" borderId="0"/>
    <xf numFmtId="167" fontId="2" fillId="0" borderId="0"/>
    <xf numFmtId="167" fontId="2" fillId="0" borderId="0"/>
    <xf numFmtId="167" fontId="2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2" fillId="0" borderId="0"/>
    <xf numFmtId="167" fontId="17" fillId="0" borderId="0"/>
    <xf numFmtId="167" fontId="22" fillId="0" borderId="0"/>
    <xf numFmtId="167" fontId="22" fillId="0" borderId="0"/>
    <xf numFmtId="167" fontId="74" fillId="0" borderId="0"/>
    <xf numFmtId="167" fontId="5" fillId="0" borderId="0"/>
    <xf numFmtId="167" fontId="22" fillId="0" borderId="0"/>
    <xf numFmtId="167" fontId="22" fillId="0" borderId="0"/>
    <xf numFmtId="167" fontId="22" fillId="0" borderId="0"/>
    <xf numFmtId="167" fontId="5" fillId="0" borderId="0"/>
    <xf numFmtId="167" fontId="5" fillId="0" borderId="0"/>
    <xf numFmtId="167" fontId="22" fillId="0" borderId="0"/>
    <xf numFmtId="167" fontId="5" fillId="0" borderId="0"/>
    <xf numFmtId="167" fontId="22" fillId="0" borderId="0"/>
    <xf numFmtId="167" fontId="22" fillId="0" borderId="0"/>
    <xf numFmtId="167" fontId="5" fillId="0" borderId="0"/>
    <xf numFmtId="167" fontId="5" fillId="0" borderId="0"/>
    <xf numFmtId="167" fontId="5" fillId="0" borderId="0"/>
    <xf numFmtId="167" fontId="5" fillId="0" borderId="0"/>
    <xf numFmtId="167" fontId="5" fillId="0" borderId="0"/>
    <xf numFmtId="167" fontId="5" fillId="0" borderId="0"/>
    <xf numFmtId="167" fontId="5" fillId="48" borderId="0"/>
    <xf numFmtId="167" fontId="5" fillId="0" borderId="0"/>
    <xf numFmtId="167" fontId="2" fillId="0" borderId="0"/>
    <xf numFmtId="167" fontId="2" fillId="0" borderId="0"/>
    <xf numFmtId="167" fontId="2" fillId="0" borderId="0"/>
    <xf numFmtId="167" fontId="5" fillId="0" borderId="0"/>
    <xf numFmtId="167" fontId="2" fillId="0" borderId="0"/>
    <xf numFmtId="167" fontId="5" fillId="0" borderId="0"/>
    <xf numFmtId="167" fontId="5" fillId="0" borderId="0"/>
    <xf numFmtId="167" fontId="5" fillId="0" borderId="0"/>
    <xf numFmtId="167" fontId="2" fillId="0" borderId="0"/>
    <xf numFmtId="167" fontId="2" fillId="0" borderId="0"/>
    <xf numFmtId="167" fontId="5" fillId="0" borderId="0"/>
    <xf numFmtId="167" fontId="75" fillId="49" borderId="0">
      <alignment vertical="top"/>
    </xf>
    <xf numFmtId="167" fontId="5"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79" fontId="2" fillId="0" borderId="0"/>
    <xf numFmtId="0" fontId="2" fillId="0" borderId="0"/>
    <xf numFmtId="0" fontId="2" fillId="0" borderId="0"/>
    <xf numFmtId="167" fontId="5" fillId="0" borderId="0"/>
    <xf numFmtId="167" fontId="5"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5" fillId="0" borderId="0"/>
    <xf numFmtId="167" fontId="2" fillId="0" borderId="0"/>
    <xf numFmtId="167" fontId="5" fillId="0" borderId="0"/>
    <xf numFmtId="167" fontId="5" fillId="0" borderId="0"/>
    <xf numFmtId="167" fontId="5" fillId="0" borderId="0"/>
    <xf numFmtId="167" fontId="5" fillId="0" borderId="0"/>
    <xf numFmtId="167" fontId="22" fillId="0" borderId="0"/>
    <xf numFmtId="167" fontId="2" fillId="0" borderId="0"/>
    <xf numFmtId="167" fontId="2" fillId="0" borderId="0"/>
    <xf numFmtId="167" fontId="2" fillId="0" borderId="0"/>
    <xf numFmtId="167" fontId="2" fillId="0" borderId="0"/>
    <xf numFmtId="167" fontId="73" fillId="0" borderId="0" applyNumberFormat="0" applyFill="0" applyBorder="0" applyAlignment="0" applyProtection="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2" fillId="0" borderId="0"/>
    <xf numFmtId="0" fontId="5" fillId="0" borderId="0"/>
    <xf numFmtId="0" fontId="22" fillId="0" borderId="0"/>
    <xf numFmtId="0" fontId="5" fillId="0" borderId="0"/>
    <xf numFmtId="167" fontId="5" fillId="0" borderId="0"/>
    <xf numFmtId="167" fontId="5" fillId="0" borderId="0"/>
    <xf numFmtId="179" fontId="5" fillId="0" borderId="0"/>
    <xf numFmtId="179" fontId="5" fillId="0" borderId="0"/>
    <xf numFmtId="167" fontId="2" fillId="0" borderId="0"/>
    <xf numFmtId="167" fontId="2" fillId="0" borderId="0"/>
    <xf numFmtId="0" fontId="2" fillId="0" borderId="0"/>
    <xf numFmtId="0" fontId="2" fillId="0" borderId="0"/>
    <xf numFmtId="167" fontId="5" fillId="0" borderId="0"/>
    <xf numFmtId="167" fontId="2" fillId="0" borderId="0"/>
    <xf numFmtId="179" fontId="5" fillId="0" borderId="0"/>
    <xf numFmtId="179" fontId="5"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67" fontId="2" fillId="0" borderId="0"/>
    <xf numFmtId="167" fontId="5"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5" fillId="0" borderId="0"/>
    <xf numFmtId="167" fontId="2" fillId="0" borderId="0"/>
    <xf numFmtId="167" fontId="2" fillId="0" borderId="0"/>
    <xf numFmtId="167" fontId="2" fillId="0" borderId="0"/>
    <xf numFmtId="167" fontId="2" fillId="0" borderId="0"/>
    <xf numFmtId="167" fontId="2" fillId="0" borderId="0"/>
    <xf numFmtId="0" fontId="5"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5" fillId="0" borderId="0"/>
    <xf numFmtId="167" fontId="22" fillId="0" borderId="0"/>
    <xf numFmtId="167" fontId="2" fillId="0" borderId="0"/>
    <xf numFmtId="167" fontId="2" fillId="0" borderId="0"/>
    <xf numFmtId="167" fontId="5" fillId="0" borderId="0"/>
    <xf numFmtId="167" fontId="2" fillId="0" borderId="0"/>
    <xf numFmtId="0" fontId="5" fillId="0" borderId="0"/>
    <xf numFmtId="0" fontId="5" fillId="0" borderId="0"/>
    <xf numFmtId="0" fontId="5" fillId="0" borderId="0"/>
    <xf numFmtId="0" fontId="5" fillId="0" borderId="0"/>
    <xf numFmtId="0" fontId="5" fillId="0" borderId="0"/>
    <xf numFmtId="0" fontId="1" fillId="0" borderId="0"/>
    <xf numFmtId="0" fontId="2" fillId="0" borderId="0"/>
    <xf numFmtId="0" fontId="2" fillId="0" borderId="0"/>
    <xf numFmtId="0" fontId="76" fillId="0" borderId="0">
      <alignment vertical="center" wrapText="1"/>
    </xf>
    <xf numFmtId="0" fontId="2" fillId="0" borderId="0"/>
    <xf numFmtId="0" fontId="2" fillId="0" borderId="0"/>
    <xf numFmtId="0"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5" fillId="0" borderId="0"/>
    <xf numFmtId="167" fontId="2" fillId="0" borderId="0"/>
    <xf numFmtId="167" fontId="2" fillId="0" borderId="0"/>
    <xf numFmtId="167" fontId="2" fillId="0" borderId="0"/>
    <xf numFmtId="167" fontId="2" fillId="0" borderId="0"/>
    <xf numFmtId="167" fontId="2" fillId="0" borderId="0"/>
    <xf numFmtId="0" fontId="5" fillId="0" borderId="0"/>
    <xf numFmtId="0" fontId="5" fillId="0" borderId="0"/>
    <xf numFmtId="0"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5" fillId="0" borderId="0"/>
    <xf numFmtId="167" fontId="2" fillId="0" borderId="0"/>
    <xf numFmtId="167" fontId="2" fillId="0" borderId="0"/>
    <xf numFmtId="167" fontId="2" fillId="0" borderId="0"/>
    <xf numFmtId="167" fontId="2" fillId="0" borderId="0"/>
    <xf numFmtId="167" fontId="5" fillId="0" borderId="0"/>
    <xf numFmtId="167" fontId="2" fillId="0" borderId="0"/>
    <xf numFmtId="0" fontId="4" fillId="0" borderId="0"/>
    <xf numFmtId="167" fontId="2" fillId="0" borderId="0"/>
    <xf numFmtId="167" fontId="5" fillId="0" borderId="0"/>
    <xf numFmtId="167" fontId="5" fillId="0" borderId="0"/>
    <xf numFmtId="167" fontId="2" fillId="0" borderId="0"/>
    <xf numFmtId="167" fontId="2" fillId="0" borderId="0"/>
    <xf numFmtId="167" fontId="2" fillId="0" borderId="0"/>
    <xf numFmtId="167" fontId="2" fillId="0" borderId="0"/>
    <xf numFmtId="167" fontId="5" fillId="0" borderId="0"/>
    <xf numFmtId="167" fontId="2" fillId="0" borderId="0"/>
    <xf numFmtId="0" fontId="77" fillId="0" borderId="0"/>
    <xf numFmtId="167" fontId="5" fillId="0" borderId="0"/>
    <xf numFmtId="167" fontId="27" fillId="50" borderId="2" applyNumberForma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0"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5" fillId="51" borderId="17" applyNumberFormat="0" applyFont="0" applyAlignment="0" applyProtection="0"/>
    <xf numFmtId="167" fontId="2" fillId="2" borderId="1" applyNumberFormat="0" applyFont="0" applyAlignment="0" applyProtection="0"/>
    <xf numFmtId="167" fontId="2" fillId="2" borderId="1" applyNumberFormat="0" applyFont="0" applyAlignment="0" applyProtection="0"/>
    <xf numFmtId="0" fontId="5" fillId="2" borderId="1" applyNumberFormat="0" applyFont="0" applyAlignment="0" applyProtection="0"/>
    <xf numFmtId="167" fontId="78" fillId="0" borderId="0">
      <alignment horizontal="left"/>
    </xf>
    <xf numFmtId="0" fontId="79" fillId="52" borderId="18" applyNumberFormat="0" applyAlignment="0">
      <alignment vertical="center" wrapText="1"/>
      <protection locked="0"/>
    </xf>
    <xf numFmtId="0" fontId="25" fillId="53" borderId="0">
      <alignment vertical="center" wrapText="1"/>
    </xf>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0" fontId="81"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167" fontId="80" fillId="32" borderId="19" applyNumberFormat="0" applyAlignment="0" applyProtection="0"/>
    <xf numFmtId="9" fontId="27" fillId="36" borderId="2" applyFont="0" applyFill="0" applyBorder="0" applyProtection="0">
      <alignment horizontal="right"/>
    </xf>
    <xf numFmtId="10" fontId="27" fillId="36" borderId="2" applyFont="0" applyFill="0" applyBorder="0" applyProtection="0">
      <alignment horizontal="right"/>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2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7" fillId="0" borderId="0" applyFont="0" applyFill="0" applyBorder="0" applyAlignment="0" applyProtection="0"/>
    <xf numFmtId="9" fontId="5" fillId="0" borderId="0" applyFont="0" applyFill="0" applyBorder="0" applyAlignment="0" applyProtection="0"/>
    <xf numFmtId="9" fontId="7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0" fontId="27" fillId="36" borderId="2" applyFont="0" applyFill="0" applyBorder="0" applyProtection="0">
      <alignment horizontal="right"/>
    </xf>
    <xf numFmtId="0" fontId="31" fillId="54" borderId="6" applyNumberFormat="0">
      <alignment horizontal="center" wrapText="1"/>
    </xf>
    <xf numFmtId="0" fontId="82" fillId="0" borderId="6" applyNumberFormat="0" applyAlignment="0">
      <alignment vertical="center" wrapText="1"/>
    </xf>
    <xf numFmtId="167" fontId="5" fillId="0" borderId="0"/>
    <xf numFmtId="180" fontId="17" fillId="0" borderId="0" applyFill="0" applyBorder="0" applyAlignment="0"/>
    <xf numFmtId="167" fontId="5" fillId="0" borderId="0"/>
    <xf numFmtId="0" fontId="83" fillId="0" borderId="0" applyNumberFormat="0" applyFill="0" applyBorder="0" applyProtection="0">
      <alignment horizontal="left" vertical="center" indent="1"/>
    </xf>
    <xf numFmtId="181" fontId="54" fillId="0" borderId="0"/>
    <xf numFmtId="0" fontId="31" fillId="55" borderId="6" applyNumberFormat="0">
      <alignment horizontal="center" wrapText="1"/>
    </xf>
    <xf numFmtId="0" fontId="84" fillId="0" borderId="20" applyNumberFormat="0" applyFont="0" applyFill="0" applyAlignment="0">
      <alignment vertical="center" wrapText="1"/>
    </xf>
    <xf numFmtId="167" fontId="55" fillId="42" borderId="2" applyNumberFormat="0" applyProtection="0">
      <alignment vertical="top" wrapText="1"/>
    </xf>
    <xf numFmtId="0" fontId="85" fillId="54" borderId="21">
      <alignment horizontal="center" wrapText="1"/>
    </xf>
    <xf numFmtId="167" fontId="27" fillId="56" borderId="2" applyProtection="0"/>
    <xf numFmtId="167" fontId="27" fillId="56" borderId="2" applyProtection="0">
      <alignment horizontal="left" indent="1"/>
    </xf>
    <xf numFmtId="3" fontId="27" fillId="36" borderId="2" applyFont="0" applyFill="0" applyBorder="0" applyProtection="0">
      <alignment horizontal="right"/>
    </xf>
    <xf numFmtId="167" fontId="86" fillId="0" borderId="0" applyNumberFormat="0" applyFill="0" applyBorder="0" applyAlignment="0" applyProtection="0"/>
    <xf numFmtId="0" fontId="86" fillId="0" borderId="0" applyNumberFormat="0" applyFill="0" applyBorder="0" applyAlignment="0" applyProtection="0"/>
    <xf numFmtId="167" fontId="86" fillId="0" borderId="0" applyNumberFormat="0" applyFill="0" applyBorder="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0" fontId="88"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167" fontId="87" fillId="0" borderId="22" applyNumberFormat="0" applyFill="0" applyAlignment="0" applyProtection="0"/>
    <xf numFmtId="0" fontId="35" fillId="0" borderId="6" applyNumberFormat="0" applyFill="0">
      <alignment vertical="center" wrapText="1"/>
    </xf>
    <xf numFmtId="167" fontId="89" fillId="0" borderId="0" applyNumberFormat="0" applyFill="0" applyBorder="0" applyAlignment="0" applyProtection="0"/>
    <xf numFmtId="167" fontId="89" fillId="0" borderId="0" applyNumberFormat="0" applyFill="0" applyBorder="0" applyAlignment="0" applyProtection="0"/>
    <xf numFmtId="0" fontId="90" fillId="0" borderId="0" applyNumberFormat="0" applyFill="0" applyBorder="0" applyAlignment="0" applyProtection="0"/>
    <xf numFmtId="167" fontId="89" fillId="0" borderId="0" applyNumberFormat="0" applyFill="0" applyBorder="0" applyAlignment="0" applyProtection="0"/>
    <xf numFmtId="167" fontId="89" fillId="0" borderId="0" applyNumberFormat="0" applyFill="0" applyBorder="0" applyAlignment="0" applyProtection="0"/>
    <xf numFmtId="9" fontId="4" fillId="0" borderId="0" applyFont="0" applyFill="0" applyBorder="0" applyAlignment="0" applyProtection="0"/>
  </cellStyleXfs>
  <cellXfs count="526">
    <xf numFmtId="0" fontId="0" fillId="0" borderId="0" xfId="0"/>
    <xf numFmtId="0" fontId="3" fillId="49" borderId="0" xfId="2" applyFont="1" applyFill="1"/>
    <xf numFmtId="0" fontId="0" fillId="49" borderId="0" xfId="0" applyFill="1"/>
    <xf numFmtId="0" fontId="0" fillId="49" borderId="0" xfId="0" applyFill="1" applyAlignment="1">
      <alignment horizontal="center" vertical="center"/>
    </xf>
    <xf numFmtId="0" fontId="6" fillId="49" borderId="0" xfId="3" applyFont="1" applyFill="1" applyAlignment="1">
      <alignment horizontal="center" vertical="center"/>
    </xf>
    <xf numFmtId="0" fontId="0" fillId="49" borderId="0" xfId="0" applyFill="1" applyAlignment="1">
      <alignment horizontal="left" vertical="center"/>
    </xf>
    <xf numFmtId="0" fontId="3" fillId="49" borderId="0" xfId="2" applyFont="1" applyFill="1" applyAlignment="1">
      <alignment horizontal="left" vertical="center"/>
    </xf>
    <xf numFmtId="0" fontId="0" fillId="49" borderId="32" xfId="0" applyFill="1" applyBorder="1" applyAlignment="1">
      <alignment horizontal="left" vertical="center" wrapText="1"/>
    </xf>
    <xf numFmtId="0" fontId="0" fillId="49" borderId="32" xfId="0" applyFill="1" applyBorder="1" applyAlignment="1">
      <alignment horizontal="left" vertical="center"/>
    </xf>
    <xf numFmtId="0" fontId="91" fillId="49" borderId="32" xfId="0" applyFont="1" applyFill="1" applyBorder="1" applyAlignment="1">
      <alignment horizontal="left" vertical="center"/>
    </xf>
    <xf numFmtId="0" fontId="91" fillId="49" borderId="32" xfId="0" applyFont="1" applyFill="1" applyBorder="1" applyAlignment="1">
      <alignment horizontal="left" vertical="center" wrapText="1"/>
    </xf>
    <xf numFmtId="0" fontId="0" fillId="49" borderId="32" xfId="0" applyFont="1" applyFill="1" applyBorder="1" applyAlignment="1">
      <alignment horizontal="left" vertical="center"/>
    </xf>
    <xf numFmtId="0" fontId="0" fillId="49" borderId="32" xfId="0" applyFont="1" applyFill="1" applyBorder="1" applyAlignment="1">
      <alignment horizontal="left" vertical="center" wrapText="1"/>
    </xf>
    <xf numFmtId="3" fontId="0" fillId="49" borderId="32" xfId="0" applyNumberFormat="1" applyFill="1" applyBorder="1" applyAlignment="1">
      <alignment horizontal="center" vertical="center"/>
    </xf>
    <xf numFmtId="9" fontId="0" fillId="49" borderId="32" xfId="3043" applyFont="1" applyFill="1" applyBorder="1" applyAlignment="1">
      <alignment horizontal="center" vertical="center"/>
    </xf>
    <xf numFmtId="3" fontId="0" fillId="8" borderId="32" xfId="0" applyNumberFormat="1" applyFill="1" applyBorder="1" applyAlignment="1">
      <alignment horizontal="center" vertical="center"/>
    </xf>
    <xf numFmtId="9" fontId="0" fillId="8" borderId="32" xfId="3043" applyFont="1" applyFill="1" applyBorder="1" applyAlignment="1">
      <alignment horizontal="center" vertical="center"/>
    </xf>
    <xf numFmtId="3" fontId="91" fillId="49" borderId="32" xfId="0" applyNumberFormat="1" applyFont="1" applyFill="1" applyBorder="1" applyAlignment="1">
      <alignment horizontal="center" vertical="center"/>
    </xf>
    <xf numFmtId="3" fontId="91" fillId="49" borderId="32" xfId="0" applyNumberFormat="1" applyFont="1" applyFill="1" applyBorder="1" applyAlignment="1">
      <alignment horizontal="center" vertical="center" wrapText="1"/>
    </xf>
    <xf numFmtId="9" fontId="91" fillId="49" borderId="32" xfId="3043" applyFont="1" applyFill="1" applyBorder="1" applyAlignment="1">
      <alignment horizontal="center" vertical="center"/>
    </xf>
    <xf numFmtId="0" fontId="0" fillId="49" borderId="0" xfId="0" applyFill="1" applyBorder="1" applyAlignment="1">
      <alignment horizontal="left" vertical="center"/>
    </xf>
    <xf numFmtId="0" fontId="0" fillId="49" borderId="0" xfId="0" applyFill="1" applyBorder="1"/>
    <xf numFmtId="0" fontId="0" fillId="49" borderId="0" xfId="0" applyFill="1" applyBorder="1" applyAlignment="1">
      <alignment horizontal="center" vertical="center"/>
    </xf>
    <xf numFmtId="0" fontId="0" fillId="49" borderId="38" xfId="0" applyFill="1" applyBorder="1"/>
    <xf numFmtId="0" fontId="0" fillId="49" borderId="38" xfId="0" applyFill="1" applyBorder="1" applyAlignment="1">
      <alignment horizontal="left" vertical="center"/>
    </xf>
    <xf numFmtId="0" fontId="0" fillId="49" borderId="39" xfId="0" applyFill="1" applyBorder="1"/>
    <xf numFmtId="0" fontId="0" fillId="49" borderId="39" xfId="0" applyFill="1" applyBorder="1" applyAlignment="1">
      <alignment horizontal="center" vertical="center"/>
    </xf>
    <xf numFmtId="0" fontId="0" fillId="49" borderId="40" xfId="0" applyFill="1" applyBorder="1"/>
    <xf numFmtId="2" fontId="0" fillId="49" borderId="32" xfId="0" applyNumberFormat="1" applyFont="1" applyFill="1" applyBorder="1" applyAlignment="1">
      <alignment horizontal="center" vertical="center"/>
    </xf>
    <xf numFmtId="1" fontId="0" fillId="49" borderId="32" xfId="0" applyNumberFormat="1" applyFont="1" applyFill="1" applyBorder="1" applyAlignment="1">
      <alignment horizontal="center" vertical="center"/>
    </xf>
    <xf numFmtId="3" fontId="91" fillId="49" borderId="58" xfId="0" applyNumberFormat="1" applyFont="1" applyFill="1" applyBorder="1" applyAlignment="1">
      <alignment horizontal="center" vertical="center"/>
    </xf>
    <xf numFmtId="3" fontId="91" fillId="49" borderId="57" xfId="0" applyNumberFormat="1" applyFont="1" applyFill="1" applyBorder="1" applyAlignment="1">
      <alignment horizontal="center" vertical="center"/>
    </xf>
    <xf numFmtId="0" fontId="91" fillId="49" borderId="58" xfId="0" applyFont="1" applyFill="1" applyBorder="1" applyAlignment="1">
      <alignment horizontal="center" vertical="center"/>
    </xf>
    <xf numFmtId="3" fontId="91" fillId="49" borderId="59" xfId="0" applyNumberFormat="1" applyFont="1" applyFill="1" applyBorder="1" applyAlignment="1">
      <alignment horizontal="center" vertical="center"/>
    </xf>
    <xf numFmtId="0" fontId="4" fillId="49" borderId="0" xfId="2" applyFont="1" applyFill="1" applyAlignment="1">
      <alignment horizontal="left"/>
    </xf>
    <xf numFmtId="0" fontId="4" fillId="49" borderId="0" xfId="2" applyFont="1" applyFill="1" applyAlignment="1">
      <alignment vertical="center"/>
    </xf>
    <xf numFmtId="0" fontId="4" fillId="49" borderId="0" xfId="0" applyFont="1" applyFill="1"/>
    <xf numFmtId="0" fontId="4" fillId="49" borderId="0" xfId="0" applyFont="1" applyFill="1" applyAlignment="1">
      <alignment horizontal="center"/>
    </xf>
    <xf numFmtId="0" fontId="96" fillId="49" borderId="23" xfId="2" applyFont="1" applyFill="1" applyBorder="1" applyAlignment="1">
      <alignment horizontal="center" vertical="center" wrapText="1"/>
    </xf>
    <xf numFmtId="0" fontId="96" fillId="49" borderId="0" xfId="2" applyFont="1" applyFill="1" applyBorder="1" applyAlignment="1">
      <alignment horizontal="center" vertical="center" wrapText="1"/>
    </xf>
    <xf numFmtId="0" fontId="96" fillId="49" borderId="29" xfId="2" applyFont="1" applyFill="1" applyBorder="1" applyAlignment="1">
      <alignment horizontal="center" vertical="center" wrapText="1"/>
    </xf>
    <xf numFmtId="0" fontId="96" fillId="49" borderId="7" xfId="2" applyFont="1" applyFill="1" applyBorder="1" applyAlignment="1">
      <alignment horizontal="center" vertical="center" wrapText="1"/>
    </xf>
    <xf numFmtId="0" fontId="96" fillId="49" borderId="41" xfId="2" applyFont="1" applyFill="1" applyBorder="1" applyAlignment="1">
      <alignment horizontal="center" vertical="center" wrapText="1"/>
    </xf>
    <xf numFmtId="3" fontId="96" fillId="49" borderId="28" xfId="1" applyNumberFormat="1" applyFont="1" applyFill="1" applyBorder="1" applyAlignment="1">
      <alignment horizontal="center" vertical="center" wrapText="1"/>
    </xf>
    <xf numFmtId="3" fontId="96" fillId="49" borderId="28" xfId="1" applyNumberFormat="1" applyFont="1" applyFill="1" applyBorder="1" applyAlignment="1">
      <alignment horizontal="center" vertical="center"/>
    </xf>
    <xf numFmtId="3" fontId="96" fillId="49" borderId="42" xfId="1" applyNumberFormat="1" applyFont="1" applyFill="1" applyBorder="1" applyAlignment="1">
      <alignment horizontal="center" vertical="center" wrapText="1"/>
    </xf>
    <xf numFmtId="3" fontId="96" fillId="49" borderId="7" xfId="1" applyNumberFormat="1" applyFont="1" applyFill="1" applyBorder="1" applyAlignment="1">
      <alignment horizontal="center" vertical="center" wrapText="1"/>
    </xf>
    <xf numFmtId="3" fontId="96" fillId="49" borderId="0" xfId="1" applyNumberFormat="1" applyFont="1" applyFill="1" applyBorder="1" applyAlignment="1">
      <alignment horizontal="center" vertical="center" wrapText="1"/>
    </xf>
    <xf numFmtId="3" fontId="96" fillId="49" borderId="0" xfId="1" applyNumberFormat="1" applyFont="1" applyFill="1" applyBorder="1" applyAlignment="1">
      <alignment horizontal="center" vertical="center"/>
    </xf>
    <xf numFmtId="3" fontId="96" fillId="49" borderId="41" xfId="1" applyNumberFormat="1" applyFont="1" applyFill="1" applyBorder="1" applyAlignment="1">
      <alignment horizontal="center" vertical="center" wrapText="1"/>
    </xf>
    <xf numFmtId="3" fontId="96" fillId="49" borderId="24" xfId="1" applyNumberFormat="1" applyFont="1" applyFill="1" applyBorder="1" applyAlignment="1">
      <alignment horizontal="center" vertical="center" wrapText="1"/>
    </xf>
    <xf numFmtId="3" fontId="96" fillId="49" borderId="23" xfId="1" applyNumberFormat="1" applyFont="1" applyFill="1" applyBorder="1" applyAlignment="1">
      <alignment horizontal="center" vertical="center" wrapText="1"/>
    </xf>
    <xf numFmtId="3" fontId="96" fillId="49" borderId="23" xfId="1" applyNumberFormat="1" applyFont="1" applyFill="1" applyBorder="1" applyAlignment="1">
      <alignment horizontal="center" vertical="center"/>
    </xf>
    <xf numFmtId="3" fontId="96" fillId="49" borderId="53" xfId="1" applyNumberFormat="1" applyFont="1" applyFill="1" applyBorder="1" applyAlignment="1">
      <alignment horizontal="center" vertical="center" wrapText="1"/>
    </xf>
    <xf numFmtId="1" fontId="91" fillId="49" borderId="7" xfId="2" applyNumberFormat="1" applyFont="1" applyFill="1" applyBorder="1" applyAlignment="1">
      <alignment horizontal="left" vertical="center"/>
    </xf>
    <xf numFmtId="3" fontId="91" fillId="49" borderId="0" xfId="1" applyNumberFormat="1" applyFont="1" applyFill="1" applyBorder="1" applyAlignment="1">
      <alignment horizontal="center" vertical="center"/>
    </xf>
    <xf numFmtId="3" fontId="91" fillId="49" borderId="29" xfId="1" applyNumberFormat="1" applyFont="1" applyFill="1" applyBorder="1" applyAlignment="1">
      <alignment horizontal="center" vertical="center"/>
    </xf>
    <xf numFmtId="3" fontId="98" fillId="6" borderId="0" xfId="1" applyNumberFormat="1" applyFont="1" applyFill="1" applyBorder="1" applyAlignment="1">
      <alignment horizontal="center" vertical="center"/>
    </xf>
    <xf numFmtId="3" fontId="91" fillId="49" borderId="41" xfId="1" applyNumberFormat="1" applyFont="1" applyFill="1" applyBorder="1" applyAlignment="1">
      <alignment horizontal="center" vertical="center"/>
    </xf>
    <xf numFmtId="0" fontId="96" fillId="49" borderId="25" xfId="2" applyFont="1" applyFill="1" applyBorder="1" applyAlignment="1">
      <alignment horizontal="center" vertical="center" wrapText="1"/>
    </xf>
    <xf numFmtId="165" fontId="96" fillId="49" borderId="30" xfId="0" applyNumberFormat="1" applyFont="1" applyFill="1" applyBorder="1" applyAlignment="1">
      <alignment horizontal="center" vertical="center" wrapText="1"/>
    </xf>
    <xf numFmtId="165" fontId="96" fillId="49" borderId="29" xfId="0" applyNumberFormat="1" applyFont="1" applyFill="1" applyBorder="1" applyAlignment="1">
      <alignment horizontal="center" vertical="center" wrapText="1"/>
    </xf>
    <xf numFmtId="165" fontId="96" fillId="49" borderId="25" xfId="0" applyNumberFormat="1" applyFont="1" applyFill="1" applyBorder="1" applyAlignment="1">
      <alignment horizontal="center" vertical="center" wrapText="1"/>
    </xf>
    <xf numFmtId="1" fontId="91" fillId="49" borderId="24" xfId="2" applyNumberFormat="1" applyFont="1" applyFill="1" applyBorder="1" applyAlignment="1">
      <alignment horizontal="left" vertical="center"/>
    </xf>
    <xf numFmtId="3" fontId="91" fillId="49" borderId="23" xfId="1" applyNumberFormat="1" applyFont="1" applyFill="1" applyBorder="1" applyAlignment="1">
      <alignment horizontal="center" vertical="center"/>
    </xf>
    <xf numFmtId="3" fontId="91" fillId="49" borderId="52" xfId="1" applyNumberFormat="1" applyFont="1" applyFill="1" applyBorder="1" applyAlignment="1">
      <alignment horizontal="center" vertical="center"/>
    </xf>
    <xf numFmtId="3" fontId="91" fillId="49" borderId="50" xfId="1" applyNumberFormat="1" applyFont="1" applyFill="1" applyBorder="1" applyAlignment="1">
      <alignment horizontal="center" vertical="center"/>
    </xf>
    <xf numFmtId="3" fontId="91" fillId="49" borderId="53" xfId="1" applyNumberFormat="1" applyFont="1" applyFill="1" applyBorder="1" applyAlignment="1">
      <alignment horizontal="center" vertical="center"/>
    </xf>
    <xf numFmtId="165" fontId="91" fillId="49" borderId="25" xfId="2" applyNumberFormat="1" applyFont="1" applyFill="1" applyBorder="1" applyAlignment="1">
      <alignment horizontal="center" vertical="center"/>
    </xf>
    <xf numFmtId="3" fontId="98" fillId="6" borderId="58" xfId="1" applyNumberFormat="1" applyFont="1" applyFill="1" applyBorder="1" applyAlignment="1">
      <alignment horizontal="center" vertical="center"/>
    </xf>
    <xf numFmtId="165" fontId="91" fillId="49" borderId="60" xfId="2" applyNumberFormat="1" applyFont="1" applyFill="1" applyBorder="1" applyAlignment="1">
      <alignment horizontal="center" vertical="center"/>
    </xf>
    <xf numFmtId="0" fontId="91" fillId="49" borderId="0" xfId="2" applyFont="1" applyFill="1" applyBorder="1" applyAlignment="1">
      <alignment horizontal="left" vertical="center"/>
    </xf>
    <xf numFmtId="166" fontId="4" fillId="49" borderId="0" xfId="2" applyNumberFormat="1" applyFont="1" applyFill="1" applyBorder="1" applyAlignment="1">
      <alignment vertical="center"/>
    </xf>
    <xf numFmtId="0" fontId="4" fillId="49" borderId="0" xfId="2" applyFont="1" applyFill="1" applyBorder="1" applyAlignment="1">
      <alignment vertical="center"/>
    </xf>
    <xf numFmtId="9" fontId="4" fillId="49" borderId="0" xfId="3043" applyFont="1" applyFill="1" applyBorder="1" applyAlignment="1">
      <alignment vertical="center"/>
    </xf>
    <xf numFmtId="0" fontId="92" fillId="49" borderId="0" xfId="2" applyFont="1" applyFill="1" applyAlignment="1">
      <alignment horizontal="left"/>
    </xf>
    <xf numFmtId="0" fontId="92" fillId="49" borderId="0" xfId="2" applyFont="1" applyFill="1" applyAlignment="1">
      <alignment vertical="center"/>
    </xf>
    <xf numFmtId="0" fontId="101" fillId="49" borderId="0" xfId="0" applyFont="1" applyFill="1" applyAlignment="1">
      <alignment horizontal="center"/>
    </xf>
    <xf numFmtId="0" fontId="4" fillId="49" borderId="0" xfId="0" applyFont="1" applyFill="1" applyBorder="1"/>
    <xf numFmtId="0" fontId="91" fillId="49" borderId="0" xfId="2" applyFont="1" applyFill="1" applyBorder="1" applyAlignment="1">
      <alignment vertical="center"/>
    </xf>
    <xf numFmtId="0" fontId="4" fillId="49" borderId="0" xfId="0" applyFont="1" applyFill="1" applyAlignment="1">
      <alignment horizontal="left"/>
    </xf>
    <xf numFmtId="3" fontId="91" fillId="49" borderId="60" xfId="0" applyNumberFormat="1" applyFont="1" applyFill="1" applyBorder="1" applyAlignment="1">
      <alignment horizontal="center" vertical="center"/>
    </xf>
    <xf numFmtId="3" fontId="91" fillId="59" borderId="23" xfId="1" applyNumberFormat="1" applyFont="1" applyFill="1" applyBorder="1" applyAlignment="1">
      <alignment horizontal="center" vertical="center"/>
    </xf>
    <xf numFmtId="3" fontId="91" fillId="59" borderId="0" xfId="1" applyNumberFormat="1" applyFont="1" applyFill="1" applyBorder="1" applyAlignment="1">
      <alignment horizontal="center" vertical="center"/>
    </xf>
    <xf numFmtId="0" fontId="92" fillId="49" borderId="0" xfId="2" applyFont="1" applyFill="1" applyBorder="1" applyAlignment="1">
      <alignment vertical="center"/>
    </xf>
    <xf numFmtId="0" fontId="91" fillId="49" borderId="57" xfId="0" applyFont="1" applyFill="1" applyBorder="1" applyAlignment="1">
      <alignment horizontal="left" vertical="center"/>
    </xf>
    <xf numFmtId="0" fontId="96" fillId="49" borderId="46" xfId="2" applyFont="1" applyFill="1" applyBorder="1" applyAlignment="1">
      <alignment horizontal="center" vertical="center" wrapText="1"/>
    </xf>
    <xf numFmtId="1" fontId="91" fillId="49" borderId="47" xfId="2" applyNumberFormat="1" applyFont="1" applyFill="1" applyBorder="1" applyAlignment="1">
      <alignment horizontal="center" vertical="center"/>
    </xf>
    <xf numFmtId="165" fontId="96" fillId="49" borderId="7" xfId="0" applyNumberFormat="1" applyFont="1" applyFill="1" applyBorder="1" applyAlignment="1">
      <alignment horizontal="center" vertical="center" wrapText="1"/>
    </xf>
    <xf numFmtId="165" fontId="96" fillId="49" borderId="24" xfId="0" applyNumberFormat="1" applyFont="1" applyFill="1" applyBorder="1" applyAlignment="1">
      <alignment horizontal="center" vertical="center" wrapText="1"/>
    </xf>
    <xf numFmtId="165" fontId="91" fillId="49" borderId="24" xfId="2" applyNumberFormat="1" applyFont="1" applyFill="1" applyBorder="1" applyAlignment="1">
      <alignment horizontal="center" vertical="center"/>
    </xf>
    <xf numFmtId="165" fontId="91" fillId="49" borderId="62" xfId="2" applyNumberFormat="1" applyFont="1" applyFill="1" applyBorder="1" applyAlignment="1">
      <alignment horizontal="center" vertical="center"/>
    </xf>
    <xf numFmtId="165" fontId="91" fillId="49" borderId="57" xfId="2" applyNumberFormat="1" applyFont="1" applyFill="1" applyBorder="1" applyAlignment="1">
      <alignment horizontal="center" vertical="center"/>
    </xf>
    <xf numFmtId="0" fontId="96" fillId="49" borderId="54" xfId="2" applyFont="1" applyFill="1" applyBorder="1" applyAlignment="1">
      <alignment horizontal="center" vertical="center" wrapText="1"/>
    </xf>
    <xf numFmtId="165" fontId="91" fillId="49" borderId="65" xfId="2" applyNumberFormat="1" applyFont="1" applyFill="1" applyBorder="1" applyAlignment="1">
      <alignment horizontal="center" vertical="center"/>
    </xf>
    <xf numFmtId="0" fontId="91" fillId="49" borderId="66" xfId="0" applyFont="1" applyFill="1" applyBorder="1" applyAlignment="1">
      <alignment horizontal="center" vertical="center"/>
    </xf>
    <xf numFmtId="165" fontId="96" fillId="49" borderId="0" xfId="0" applyNumberFormat="1" applyFont="1" applyFill="1" applyBorder="1" applyAlignment="1">
      <alignment horizontal="center" vertical="center" wrapText="1"/>
    </xf>
    <xf numFmtId="165" fontId="96" fillId="49" borderId="23" xfId="0" applyNumberFormat="1" applyFont="1" applyFill="1" applyBorder="1" applyAlignment="1">
      <alignment horizontal="center" vertical="center" wrapText="1"/>
    </xf>
    <xf numFmtId="3" fontId="4" fillId="49" borderId="0" xfId="0" applyNumberFormat="1" applyFont="1" applyFill="1"/>
    <xf numFmtId="1" fontId="91" fillId="45" borderId="7" xfId="2" applyNumberFormat="1" applyFont="1" applyFill="1" applyBorder="1" applyAlignment="1" applyProtection="1">
      <alignment horizontal="left" vertical="center"/>
      <protection locked="0"/>
    </xf>
    <xf numFmtId="0" fontId="97" fillId="45" borderId="0" xfId="25" applyFont="1" applyFill="1" applyBorder="1" applyAlignment="1" applyProtection="1">
      <alignment horizontal="center" vertical="center"/>
      <protection locked="0"/>
    </xf>
    <xf numFmtId="0" fontId="97" fillId="45" borderId="29" xfId="25" applyFont="1" applyFill="1" applyBorder="1" applyAlignment="1" applyProtection="1">
      <alignment horizontal="center" vertical="center"/>
      <protection locked="0"/>
    </xf>
    <xf numFmtId="0" fontId="97" fillId="45" borderId="28" xfId="25" applyFont="1" applyFill="1" applyBorder="1" applyAlignment="1" applyProtection="1">
      <alignment horizontal="center" vertical="center"/>
      <protection locked="0"/>
    </xf>
    <xf numFmtId="1" fontId="91" fillId="45" borderId="24" xfId="2" applyNumberFormat="1" applyFont="1" applyFill="1" applyBorder="1" applyAlignment="1" applyProtection="1">
      <alignment horizontal="left" vertical="center"/>
      <protection locked="0"/>
    </xf>
    <xf numFmtId="0" fontId="97" fillId="45" borderId="23" xfId="25" applyFont="1" applyFill="1" applyBorder="1" applyAlignment="1" applyProtection="1">
      <alignment horizontal="center" vertical="center"/>
      <protection locked="0"/>
    </xf>
    <xf numFmtId="0" fontId="97" fillId="45" borderId="25" xfId="25" applyFont="1" applyFill="1" applyBorder="1" applyAlignment="1" applyProtection="1">
      <alignment horizontal="center" vertical="center"/>
      <protection locked="0"/>
    </xf>
    <xf numFmtId="0" fontId="97" fillId="45" borderId="23" xfId="25" applyFont="1" applyFill="1" applyBorder="1" applyProtection="1">
      <protection locked="0"/>
    </xf>
    <xf numFmtId="0" fontId="97" fillId="45" borderId="25" xfId="25" applyFont="1" applyFill="1" applyBorder="1" applyProtection="1">
      <protection locked="0"/>
    </xf>
    <xf numFmtId="165" fontId="96" fillId="45" borderId="51" xfId="0" applyNumberFormat="1" applyFont="1" applyFill="1" applyBorder="1" applyAlignment="1" applyProtection="1">
      <alignment horizontal="center" vertical="center" wrapText="1"/>
      <protection locked="0"/>
    </xf>
    <xf numFmtId="165" fontId="96" fillId="45" borderId="38" xfId="0" applyNumberFormat="1" applyFont="1" applyFill="1" applyBorder="1" applyAlignment="1" applyProtection="1">
      <alignment horizontal="center" vertical="center" wrapText="1"/>
      <protection locked="0"/>
    </xf>
    <xf numFmtId="165" fontId="96" fillId="45" borderId="47" xfId="0" applyNumberFormat="1" applyFont="1" applyFill="1" applyBorder="1" applyAlignment="1" applyProtection="1">
      <alignment horizontal="center" vertical="center" wrapText="1"/>
      <protection locked="0"/>
    </xf>
    <xf numFmtId="0" fontId="97" fillId="45" borderId="27" xfId="25" applyFont="1" applyFill="1" applyBorder="1" applyAlignment="1" applyProtection="1">
      <alignment horizontal="center" vertical="center"/>
      <protection locked="0"/>
    </xf>
    <xf numFmtId="3" fontId="4" fillId="45" borderId="7" xfId="0" applyNumberFormat="1" applyFont="1" applyFill="1" applyBorder="1" applyAlignment="1" applyProtection="1">
      <alignment horizontal="center" vertical="center"/>
      <protection locked="0"/>
    </xf>
    <xf numFmtId="3" fontId="4" fillId="45" borderId="0" xfId="0" applyNumberFormat="1" applyFont="1" applyFill="1" applyBorder="1" applyAlignment="1" applyProtection="1">
      <alignment horizontal="center" vertical="center"/>
      <protection locked="0"/>
    </xf>
    <xf numFmtId="3" fontId="4" fillId="45" borderId="29" xfId="0" applyNumberFormat="1" applyFont="1" applyFill="1" applyBorder="1" applyAlignment="1" applyProtection="1">
      <alignment horizontal="center" vertical="center"/>
      <protection locked="0"/>
    </xf>
    <xf numFmtId="3" fontId="4" fillId="45" borderId="24" xfId="0" applyNumberFormat="1" applyFont="1" applyFill="1" applyBorder="1" applyAlignment="1" applyProtection="1">
      <alignment horizontal="center" vertical="center"/>
      <protection locked="0"/>
    </xf>
    <xf numFmtId="3" fontId="0" fillId="45" borderId="32" xfId="0" applyNumberFormat="1" applyFill="1" applyBorder="1" applyAlignment="1" applyProtection="1">
      <alignment horizontal="center" vertical="center"/>
      <protection locked="0"/>
    </xf>
    <xf numFmtId="0" fontId="0" fillId="45" borderId="32" xfId="0" applyFont="1" applyFill="1" applyBorder="1" applyAlignment="1" applyProtection="1">
      <alignment horizontal="left" vertical="center"/>
      <protection locked="0"/>
    </xf>
    <xf numFmtId="0" fontId="96" fillId="49" borderId="0" xfId="2" applyFont="1" applyFill="1" applyBorder="1" applyAlignment="1">
      <alignment horizontal="center" vertical="center" wrapText="1"/>
    </xf>
    <xf numFmtId="3" fontId="96" fillId="49" borderId="7" xfId="1" applyNumberFormat="1" applyFont="1" applyFill="1" applyBorder="1" applyAlignment="1">
      <alignment horizontal="center" wrapText="1"/>
    </xf>
    <xf numFmtId="3" fontId="96" fillId="49" borderId="0" xfId="1" applyNumberFormat="1" applyFont="1" applyFill="1" applyBorder="1" applyAlignment="1">
      <alignment horizontal="center" wrapText="1"/>
    </xf>
    <xf numFmtId="3" fontId="96" fillId="49" borderId="0" xfId="1" applyNumberFormat="1" applyFont="1" applyFill="1" applyBorder="1" applyAlignment="1">
      <alignment horizontal="center"/>
    </xf>
    <xf numFmtId="3" fontId="96" fillId="49" borderId="24" xfId="1" applyNumberFormat="1" applyFont="1" applyFill="1" applyBorder="1" applyAlignment="1">
      <alignment horizontal="center" wrapText="1"/>
    </xf>
    <xf numFmtId="3" fontId="96" fillId="49" borderId="23" xfId="1" applyNumberFormat="1" applyFont="1" applyFill="1" applyBorder="1" applyAlignment="1">
      <alignment horizontal="center" wrapText="1"/>
    </xf>
    <xf numFmtId="3" fontId="96" fillId="49" borderId="23" xfId="1" applyNumberFormat="1" applyFont="1" applyFill="1" applyBorder="1" applyAlignment="1">
      <alignment horizontal="center"/>
    </xf>
    <xf numFmtId="3" fontId="96" fillId="49" borderId="41" xfId="1" applyNumberFormat="1" applyFont="1" applyFill="1" applyBorder="1" applyAlignment="1">
      <alignment horizontal="center" wrapText="1"/>
    </xf>
    <xf numFmtId="3" fontId="96" fillId="49" borderId="53" xfId="1" applyNumberFormat="1" applyFont="1" applyFill="1" applyBorder="1" applyAlignment="1">
      <alignment horizontal="center" wrapText="1"/>
    </xf>
    <xf numFmtId="165" fontId="96" fillId="49" borderId="54" xfId="0" applyNumberFormat="1" applyFont="1" applyFill="1" applyBorder="1" applyAlignment="1">
      <alignment horizontal="center" wrapText="1"/>
    </xf>
    <xf numFmtId="165" fontId="96" fillId="49" borderId="63" xfId="0" applyNumberFormat="1" applyFont="1" applyFill="1" applyBorder="1" applyAlignment="1">
      <alignment horizontal="center" wrapText="1"/>
    </xf>
    <xf numFmtId="165" fontId="96" fillId="49" borderId="64" xfId="0" applyNumberFormat="1" applyFont="1" applyFill="1" applyBorder="1" applyAlignment="1">
      <alignment horizontal="center" wrapText="1"/>
    </xf>
    <xf numFmtId="165" fontId="96" fillId="49" borderId="29" xfId="0" applyNumberFormat="1" applyFont="1" applyFill="1" applyBorder="1" applyAlignment="1">
      <alignment horizontal="center" wrapText="1"/>
    </xf>
    <xf numFmtId="165" fontId="96" fillId="49" borderId="25" xfId="0" applyNumberFormat="1" applyFont="1" applyFill="1" applyBorder="1" applyAlignment="1">
      <alignment horizontal="center" wrapText="1"/>
    </xf>
    <xf numFmtId="165" fontId="96" fillId="49" borderId="0" xfId="0" applyNumberFormat="1" applyFont="1" applyFill="1" applyBorder="1" applyAlignment="1">
      <alignment horizontal="center" wrapText="1"/>
    </xf>
    <xf numFmtId="165" fontId="96" fillId="45" borderId="38" xfId="0" applyNumberFormat="1" applyFont="1" applyFill="1" applyBorder="1" applyAlignment="1" applyProtection="1">
      <alignment horizontal="center" wrapText="1"/>
      <protection locked="0"/>
    </xf>
    <xf numFmtId="165" fontId="96" fillId="49" borderId="7" xfId="0" applyNumberFormat="1" applyFont="1" applyFill="1" applyBorder="1" applyAlignment="1">
      <alignment horizontal="center" wrapText="1"/>
    </xf>
    <xf numFmtId="165" fontId="96" fillId="49" borderId="24" xfId="0" applyNumberFormat="1" applyFont="1" applyFill="1" applyBorder="1" applyAlignment="1">
      <alignment horizontal="center" wrapText="1"/>
    </xf>
    <xf numFmtId="165" fontId="96" fillId="45" borderId="47" xfId="0" applyNumberFormat="1" applyFont="1" applyFill="1" applyBorder="1" applyAlignment="1" applyProtection="1">
      <alignment horizontal="center" wrapText="1"/>
      <protection locked="0"/>
    </xf>
    <xf numFmtId="0" fontId="96" fillId="49" borderId="0" xfId="2" applyFont="1" applyFill="1" applyBorder="1" applyAlignment="1">
      <alignment horizontal="center" vertical="center" wrapText="1"/>
    </xf>
    <xf numFmtId="0" fontId="96" fillId="49" borderId="0" xfId="2" applyFont="1" applyFill="1" applyBorder="1" applyAlignment="1">
      <alignment horizontal="center" vertical="center" wrapText="1"/>
    </xf>
    <xf numFmtId="0" fontId="96" fillId="49" borderId="0" xfId="2" applyFont="1" applyFill="1" applyBorder="1" applyAlignment="1">
      <alignment horizontal="center" vertical="center" wrapText="1"/>
    </xf>
    <xf numFmtId="0" fontId="96" fillId="49" borderId="0" xfId="2" applyFont="1" applyFill="1" applyBorder="1" applyAlignment="1">
      <alignment horizontal="center" vertical="center" wrapText="1"/>
    </xf>
    <xf numFmtId="0" fontId="97" fillId="49" borderId="0" xfId="25" applyFont="1" applyFill="1" applyBorder="1" applyAlignment="1" applyProtection="1">
      <alignment horizontal="center" vertical="center"/>
    </xf>
    <xf numFmtId="0" fontId="96" fillId="49" borderId="52" xfId="2" applyFont="1" applyFill="1" applyBorder="1" applyAlignment="1">
      <alignment horizontal="center" vertical="center"/>
    </xf>
    <xf numFmtId="0" fontId="96" fillId="49" borderId="50" xfId="2" applyFont="1" applyFill="1" applyBorder="1" applyAlignment="1">
      <alignment horizontal="center" vertical="center" wrapText="1"/>
    </xf>
    <xf numFmtId="0" fontId="96" fillId="49" borderId="49" xfId="2" applyFont="1" applyFill="1" applyBorder="1" applyAlignment="1">
      <alignment horizontal="center" vertical="center" wrapText="1"/>
    </xf>
    <xf numFmtId="0" fontId="96" fillId="49" borderId="52" xfId="2" applyFont="1" applyFill="1" applyBorder="1" applyAlignment="1">
      <alignment horizontal="center" vertical="center" wrapText="1"/>
    </xf>
    <xf numFmtId="0" fontId="96" fillId="49" borderId="55" xfId="2" applyFont="1" applyFill="1" applyBorder="1" applyAlignment="1">
      <alignment horizontal="center" vertical="center" wrapText="1"/>
    </xf>
    <xf numFmtId="0" fontId="97" fillId="45" borderId="7" xfId="25" applyFont="1" applyFill="1" applyBorder="1" applyAlignment="1" applyProtection="1">
      <alignment horizontal="center" vertical="center"/>
      <protection locked="0"/>
    </xf>
    <xf numFmtId="0" fontId="96" fillId="49" borderId="52" xfId="2" applyFont="1" applyFill="1" applyBorder="1" applyAlignment="1">
      <alignment horizontal="center" vertical="top" wrapText="1"/>
    </xf>
    <xf numFmtId="0" fontId="96" fillId="49" borderId="50" xfId="2" applyFont="1" applyFill="1" applyBorder="1" applyAlignment="1">
      <alignment horizontal="center" vertical="top" wrapText="1"/>
    </xf>
    <xf numFmtId="0" fontId="103" fillId="49" borderId="50" xfId="2" applyFont="1" applyFill="1" applyBorder="1" applyAlignment="1">
      <alignment horizontal="center" vertical="top" wrapText="1"/>
    </xf>
    <xf numFmtId="0" fontId="96" fillId="49" borderId="0" xfId="2" applyFont="1" applyFill="1" applyBorder="1" applyAlignment="1">
      <alignment horizontal="center" vertical="center" wrapText="1"/>
    </xf>
    <xf numFmtId="0" fontId="22" fillId="49" borderId="0" xfId="0" applyFont="1" applyFill="1"/>
    <xf numFmtId="0" fontId="104" fillId="49" borderId="0" xfId="0" applyFont="1" applyFill="1" applyAlignment="1">
      <alignment vertical="center"/>
    </xf>
    <xf numFmtId="0" fontId="22" fillId="45" borderId="0" xfId="0" applyFont="1" applyFill="1" applyAlignment="1">
      <alignment vertical="center" wrapText="1"/>
    </xf>
    <xf numFmtId="0" fontId="22" fillId="49" borderId="0" xfId="0" applyFont="1" applyFill="1" applyAlignment="1">
      <alignment vertical="center" wrapText="1"/>
    </xf>
    <xf numFmtId="0" fontId="96" fillId="49" borderId="7" xfId="2" applyFont="1" applyFill="1" applyBorder="1" applyAlignment="1">
      <alignment horizontal="center" vertical="top" wrapText="1"/>
    </xf>
    <xf numFmtId="0" fontId="96" fillId="49" borderId="0" xfId="2" applyFont="1" applyFill="1" applyBorder="1" applyAlignment="1">
      <alignment horizontal="center" vertical="top" wrapText="1"/>
    </xf>
    <xf numFmtId="0" fontId="96" fillId="49" borderId="29" xfId="2" applyFont="1" applyFill="1" applyBorder="1" applyAlignment="1">
      <alignment horizontal="center" vertical="top" wrapText="1"/>
    </xf>
    <xf numFmtId="0" fontId="0" fillId="61" borderId="70" xfId="0" applyFill="1" applyBorder="1"/>
    <xf numFmtId="0" fontId="92" fillId="61" borderId="78" xfId="0" applyFont="1" applyFill="1" applyBorder="1"/>
    <xf numFmtId="0" fontId="7" fillId="61" borderId="88" xfId="2" applyFont="1" applyFill="1" applyBorder="1" applyAlignment="1">
      <alignment horizontal="center" vertical="center"/>
    </xf>
    <xf numFmtId="0" fontId="7" fillId="61" borderId="89" xfId="2" applyFont="1" applyFill="1" applyBorder="1" applyAlignment="1">
      <alignment vertical="center"/>
    </xf>
    <xf numFmtId="1" fontId="3" fillId="49" borderId="90" xfId="2" applyNumberFormat="1" applyFont="1" applyFill="1" applyBorder="1" applyAlignment="1">
      <alignment horizontal="left" vertical="center"/>
    </xf>
    <xf numFmtId="1" fontId="3" fillId="49" borderId="91" xfId="2" applyNumberFormat="1" applyFont="1" applyFill="1" applyBorder="1" applyAlignment="1">
      <alignment horizontal="left" vertical="center"/>
    </xf>
    <xf numFmtId="1" fontId="3" fillId="45" borderId="90" xfId="2" applyNumberFormat="1" applyFont="1" applyFill="1" applyBorder="1" applyAlignment="1" applyProtection="1">
      <alignment horizontal="left" vertical="center"/>
      <protection locked="0"/>
    </xf>
    <xf numFmtId="0" fontId="3" fillId="45" borderId="92" xfId="2" applyFont="1" applyFill="1" applyBorder="1" applyAlignment="1" applyProtection="1">
      <alignment horizontal="left" vertical="center"/>
      <protection locked="0"/>
    </xf>
    <xf numFmtId="1" fontId="3" fillId="45" borderId="92" xfId="2" applyNumberFormat="1" applyFont="1" applyFill="1" applyBorder="1" applyAlignment="1" applyProtection="1">
      <alignment horizontal="left" vertical="center"/>
      <protection locked="0"/>
    </xf>
    <xf numFmtId="1" fontId="3" fillId="45" borderId="91" xfId="2" applyNumberFormat="1" applyFont="1" applyFill="1" applyBorder="1" applyAlignment="1" applyProtection="1">
      <alignment horizontal="left" vertical="center"/>
      <protection locked="0"/>
    </xf>
    <xf numFmtId="0" fontId="0" fillId="61" borderId="93" xfId="0" applyFill="1" applyBorder="1"/>
    <xf numFmtId="0" fontId="0" fillId="61" borderId="94" xfId="0" applyFill="1" applyBorder="1"/>
    <xf numFmtId="0" fontId="0" fillId="49" borderId="98" xfId="0" applyFill="1" applyBorder="1" applyAlignment="1">
      <alignment wrapText="1"/>
    </xf>
    <xf numFmtId="0" fontId="7" fillId="61" borderId="99" xfId="2" applyFont="1" applyFill="1" applyBorder="1" applyAlignment="1">
      <alignment horizontal="center" vertical="center"/>
    </xf>
    <xf numFmtId="0" fontId="7" fillId="61" borderId="100" xfId="2" applyFont="1" applyFill="1" applyBorder="1" applyAlignment="1">
      <alignment horizontal="center" vertical="center"/>
    </xf>
    <xf numFmtId="164" fontId="6" fillId="49" borderId="80" xfId="0" applyNumberFormat="1" applyFont="1" applyFill="1" applyBorder="1" applyAlignment="1">
      <alignment horizontal="center" vertical="center" wrapText="1"/>
    </xf>
    <xf numFmtId="164" fontId="6" fillId="49" borderId="81" xfId="0" applyNumberFormat="1" applyFont="1" applyFill="1" applyBorder="1" applyAlignment="1">
      <alignment horizontal="center" vertical="center" wrapText="1"/>
    </xf>
    <xf numFmtId="164" fontId="6" fillId="49" borderId="84" xfId="0" applyNumberFormat="1" applyFont="1" applyFill="1" applyBorder="1" applyAlignment="1">
      <alignment horizontal="center" vertical="center" wrapText="1"/>
    </xf>
    <xf numFmtId="164" fontId="3" fillId="49" borderId="85" xfId="2" applyNumberFormat="1" applyFont="1" applyFill="1" applyBorder="1" applyAlignment="1">
      <alignment horizontal="center" vertical="center"/>
    </xf>
    <xf numFmtId="0" fontId="96" fillId="49" borderId="41" xfId="2" applyFont="1" applyFill="1" applyBorder="1" applyAlignment="1">
      <alignment horizontal="center" vertical="top" wrapText="1"/>
    </xf>
    <xf numFmtId="0" fontId="96" fillId="49" borderId="38" xfId="2" applyFont="1" applyFill="1" applyBorder="1" applyAlignment="1">
      <alignment horizontal="center" vertical="top" wrapText="1"/>
    </xf>
    <xf numFmtId="0" fontId="103" fillId="49" borderId="0" xfId="2" applyFont="1" applyFill="1" applyBorder="1" applyAlignment="1">
      <alignment horizontal="center" vertical="top" wrapText="1"/>
    </xf>
    <xf numFmtId="0" fontId="4" fillId="49" borderId="0" xfId="0" applyFont="1" applyFill="1" applyAlignment="1">
      <alignment vertical="top"/>
    </xf>
    <xf numFmtId="0" fontId="96" fillId="49" borderId="28" xfId="2" applyFont="1" applyFill="1" applyBorder="1" applyAlignment="1">
      <alignment vertical="top" wrapText="1"/>
    </xf>
    <xf numFmtId="0" fontId="96" fillId="59" borderId="0" xfId="2" applyFont="1" applyFill="1" applyBorder="1" applyAlignment="1">
      <alignment horizontal="center" vertical="center" wrapText="1"/>
    </xf>
    <xf numFmtId="0" fontId="96" fillId="59" borderId="29" xfId="2" applyFont="1" applyFill="1" applyBorder="1" applyAlignment="1">
      <alignment horizontal="center" vertical="center" wrapText="1"/>
    </xf>
    <xf numFmtId="0" fontId="91" fillId="49" borderId="41" xfId="2" applyFont="1" applyFill="1" applyBorder="1" applyAlignment="1">
      <alignment horizontal="center" vertical="center" wrapText="1"/>
    </xf>
    <xf numFmtId="0" fontId="111" fillId="61" borderId="78" xfId="2" applyFont="1" applyFill="1" applyBorder="1" applyAlignment="1">
      <alignment horizontal="left" vertical="center"/>
    </xf>
    <xf numFmtId="0" fontId="92" fillId="61" borderId="32" xfId="0" applyFont="1" applyFill="1" applyBorder="1" applyAlignment="1">
      <alignment horizontal="center" vertical="center"/>
    </xf>
    <xf numFmtId="0" fontId="113" fillId="49" borderId="0" xfId="0" applyFont="1" applyFill="1"/>
    <xf numFmtId="0" fontId="100" fillId="49" borderId="0" xfId="2" applyFont="1" applyFill="1" applyBorder="1" applyAlignment="1">
      <alignment vertical="center"/>
    </xf>
    <xf numFmtId="0" fontId="114" fillId="49" borderId="0" xfId="0" applyFont="1" applyFill="1" applyBorder="1"/>
    <xf numFmtId="0" fontId="114" fillId="49" borderId="0" xfId="0" applyFont="1" applyFill="1"/>
    <xf numFmtId="0" fontId="92" fillId="61" borderId="33" xfId="0" applyFont="1" applyFill="1" applyBorder="1" applyAlignment="1">
      <alignment horizontal="center"/>
    </xf>
    <xf numFmtId="0" fontId="92" fillId="61" borderId="32" xfId="0" applyFont="1" applyFill="1" applyBorder="1" applyAlignment="1">
      <alignment horizontal="center" vertical="center" wrapText="1"/>
    </xf>
    <xf numFmtId="0" fontId="92" fillId="61" borderId="32" xfId="0" applyFont="1" applyFill="1" applyBorder="1" applyAlignment="1">
      <alignment horizontal="center"/>
    </xf>
    <xf numFmtId="0" fontId="92" fillId="61" borderId="34" xfId="0" applyFont="1" applyFill="1" applyBorder="1" applyAlignment="1">
      <alignment horizontal="center"/>
    </xf>
    <xf numFmtId="0" fontId="92" fillId="61" borderId="36" xfId="0" applyFont="1" applyFill="1" applyBorder="1" applyAlignment="1">
      <alignment horizontal="center" vertical="center" wrapText="1"/>
    </xf>
    <xf numFmtId="0" fontId="92" fillId="61" borderId="33" xfId="0" applyFont="1" applyFill="1" applyBorder="1" applyAlignment="1">
      <alignment vertical="center" wrapText="1"/>
    </xf>
    <xf numFmtId="3" fontId="91" fillId="49" borderId="7" xfId="1" applyNumberFormat="1" applyFont="1" applyFill="1" applyBorder="1" applyAlignment="1">
      <alignment horizontal="center" vertical="center"/>
    </xf>
    <xf numFmtId="3" fontId="91" fillId="49" borderId="28" xfId="1" applyNumberFormat="1" applyFont="1" applyFill="1" applyBorder="1" applyAlignment="1">
      <alignment horizontal="center" vertical="center"/>
    </xf>
    <xf numFmtId="165" fontId="91" fillId="49" borderId="7" xfId="2" applyNumberFormat="1" applyFont="1" applyFill="1" applyBorder="1" applyAlignment="1">
      <alignment horizontal="center" vertical="center"/>
    </xf>
    <xf numFmtId="1" fontId="91" fillId="49" borderId="38" xfId="2" applyNumberFormat="1" applyFont="1" applyFill="1" applyBorder="1" applyAlignment="1">
      <alignment horizontal="center" vertical="center"/>
    </xf>
    <xf numFmtId="165" fontId="91" fillId="49" borderId="27" xfId="2" applyNumberFormat="1" applyFont="1" applyFill="1" applyBorder="1" applyAlignment="1">
      <alignment horizontal="center" vertical="center"/>
    </xf>
    <xf numFmtId="165" fontId="91" fillId="49" borderId="29" xfId="2" applyNumberFormat="1" applyFont="1" applyFill="1" applyBorder="1" applyAlignment="1">
      <alignment horizontal="center" vertical="center"/>
    </xf>
    <xf numFmtId="3" fontId="96" fillId="59" borderId="0" xfId="1" applyNumberFormat="1" applyFont="1" applyFill="1" applyBorder="1" applyAlignment="1">
      <alignment horizontal="center" vertical="center" wrapText="1"/>
    </xf>
    <xf numFmtId="3" fontId="96" fillId="45" borderId="7" xfId="1" applyNumberFormat="1" applyFont="1" applyFill="1" applyBorder="1" applyAlignment="1" applyProtection="1">
      <alignment horizontal="center" vertical="center" wrapText="1"/>
      <protection locked="0"/>
    </xf>
    <xf numFmtId="3" fontId="96" fillId="45" borderId="0" xfId="1" applyNumberFormat="1" applyFont="1" applyFill="1" applyBorder="1" applyAlignment="1" applyProtection="1">
      <alignment horizontal="center" vertical="center" wrapText="1"/>
      <protection locked="0"/>
    </xf>
    <xf numFmtId="1" fontId="96" fillId="49" borderId="27" xfId="2" applyNumberFormat="1" applyFont="1" applyFill="1" applyBorder="1" applyAlignment="1">
      <alignment horizontal="center" vertical="center" wrapText="1"/>
    </xf>
    <xf numFmtId="1" fontId="96" fillId="49" borderId="28" xfId="2" applyNumberFormat="1" applyFont="1" applyFill="1" applyBorder="1" applyAlignment="1">
      <alignment horizontal="center" vertical="center" wrapText="1"/>
    </xf>
    <xf numFmtId="0" fontId="96" fillId="59" borderId="28" xfId="2" applyFont="1" applyFill="1" applyBorder="1" applyAlignment="1">
      <alignment horizontal="center" vertical="center" wrapText="1"/>
    </xf>
    <xf numFmtId="1" fontId="96" fillId="49" borderId="0" xfId="2" applyNumberFormat="1" applyFont="1" applyFill="1" applyBorder="1" applyAlignment="1">
      <alignment horizontal="center" vertical="center" wrapText="1"/>
    </xf>
    <xf numFmtId="3" fontId="96" fillId="45" borderId="0" xfId="1" applyNumberFormat="1" applyFont="1" applyFill="1" applyBorder="1" applyAlignment="1" applyProtection="1">
      <alignment horizontal="center" wrapText="1"/>
      <protection locked="0"/>
    </xf>
    <xf numFmtId="0" fontId="91" fillId="0" borderId="50" xfId="2" applyFont="1" applyBorder="1" applyAlignment="1">
      <alignment vertical="center"/>
    </xf>
    <xf numFmtId="0" fontId="91" fillId="59" borderId="50" xfId="2" applyFont="1" applyFill="1" applyBorder="1" applyAlignment="1">
      <alignment vertical="center"/>
    </xf>
    <xf numFmtId="0" fontId="96" fillId="59" borderId="7" xfId="2" applyFont="1" applyFill="1" applyBorder="1" applyAlignment="1">
      <alignment horizontal="center" vertical="center" wrapText="1"/>
    </xf>
    <xf numFmtId="3" fontId="91" fillId="59" borderId="57" xfId="0" applyNumberFormat="1" applyFont="1" applyFill="1" applyBorder="1" applyAlignment="1">
      <alignment horizontal="center" vertical="center"/>
    </xf>
    <xf numFmtId="3" fontId="91" fillId="59" borderId="58" xfId="0" applyNumberFormat="1" applyFont="1" applyFill="1" applyBorder="1" applyAlignment="1">
      <alignment horizontal="center" vertical="center"/>
    </xf>
    <xf numFmtId="3" fontId="91" fillId="59" borderId="60" xfId="0" applyNumberFormat="1" applyFont="1" applyFill="1" applyBorder="1" applyAlignment="1">
      <alignment horizontal="center" vertical="center"/>
    </xf>
    <xf numFmtId="0" fontId="91" fillId="59" borderId="52" xfId="2" applyFont="1" applyFill="1" applyBorder="1" applyAlignment="1">
      <alignment vertical="center"/>
    </xf>
    <xf numFmtId="0" fontId="4" fillId="59" borderId="49" xfId="2" applyFont="1" applyFill="1" applyBorder="1" applyAlignment="1">
      <alignment vertical="center"/>
    </xf>
    <xf numFmtId="1" fontId="96" fillId="49" borderId="41" xfId="2" applyNumberFormat="1" applyFont="1" applyFill="1" applyBorder="1" applyAlignment="1">
      <alignment horizontal="center" vertical="center" wrapText="1"/>
    </xf>
    <xf numFmtId="3" fontId="96" fillId="49" borderId="7" xfId="1" applyNumberFormat="1" applyFont="1" applyFill="1" applyBorder="1" applyAlignment="1">
      <alignment horizontal="center"/>
    </xf>
    <xf numFmtId="3" fontId="96" fillId="49" borderId="7" xfId="1" applyNumberFormat="1" applyFont="1" applyFill="1" applyBorder="1" applyAlignment="1">
      <alignment horizontal="center" vertical="center"/>
    </xf>
    <xf numFmtId="3" fontId="96" fillId="49" borderId="24" xfId="1" applyNumberFormat="1" applyFont="1" applyFill="1" applyBorder="1" applyAlignment="1">
      <alignment horizontal="center" vertical="center"/>
    </xf>
    <xf numFmtId="3" fontId="98" fillId="6" borderId="24" xfId="1" applyNumberFormat="1" applyFont="1" applyFill="1" applyBorder="1" applyAlignment="1">
      <alignment horizontal="center" vertical="center"/>
    </xf>
    <xf numFmtId="0" fontId="96" fillId="49" borderId="28" xfId="2" applyFont="1" applyFill="1" applyBorder="1" applyAlignment="1">
      <alignment horizontal="center" vertical="top" wrapText="1"/>
    </xf>
    <xf numFmtId="1" fontId="96" fillId="49" borderId="0" xfId="2" applyNumberFormat="1" applyFont="1" applyFill="1" applyBorder="1" applyAlignment="1">
      <alignment horizontal="center" vertical="top" wrapText="1"/>
    </xf>
    <xf numFmtId="1" fontId="96" fillId="49" borderId="41" xfId="2" applyNumberFormat="1" applyFont="1" applyFill="1" applyBorder="1" applyAlignment="1">
      <alignment horizontal="center" vertical="top" wrapText="1"/>
    </xf>
    <xf numFmtId="0" fontId="96" fillId="49" borderId="56" xfId="2" applyFont="1" applyFill="1" applyBorder="1" applyAlignment="1">
      <alignment horizontal="center" vertical="top" wrapText="1"/>
    </xf>
    <xf numFmtId="0" fontId="96" fillId="49" borderId="49" xfId="2" applyFont="1" applyFill="1" applyBorder="1" applyAlignment="1">
      <alignment horizontal="center" vertical="top" wrapText="1"/>
    </xf>
    <xf numFmtId="0" fontId="103" fillId="49" borderId="23" xfId="2" applyFont="1" applyFill="1" applyBorder="1" applyAlignment="1">
      <alignment horizontal="center" vertical="top" wrapText="1"/>
    </xf>
    <xf numFmtId="0" fontId="91" fillId="59" borderId="50" xfId="2" applyFont="1" applyFill="1" applyBorder="1" applyAlignment="1">
      <alignment vertical="center" wrapText="1"/>
    </xf>
    <xf numFmtId="0" fontId="96" fillId="59" borderId="41" xfId="2" applyFont="1" applyFill="1" applyBorder="1" applyAlignment="1">
      <alignment horizontal="center" vertical="center" wrapText="1"/>
    </xf>
    <xf numFmtId="3" fontId="91" fillId="59" borderId="59" xfId="0" applyNumberFormat="1" applyFont="1" applyFill="1" applyBorder="1" applyAlignment="1">
      <alignment horizontal="center" vertical="center"/>
    </xf>
    <xf numFmtId="3" fontId="96" fillId="59" borderId="28" xfId="1" applyNumberFormat="1" applyFont="1" applyFill="1" applyBorder="1" applyAlignment="1">
      <alignment horizontal="center" vertical="center" wrapText="1"/>
    </xf>
    <xf numFmtId="3" fontId="96" fillId="59" borderId="23" xfId="1" applyNumberFormat="1" applyFont="1" applyFill="1" applyBorder="1" applyAlignment="1">
      <alignment horizontal="center" vertical="center" wrapText="1"/>
    </xf>
    <xf numFmtId="0" fontId="4" fillId="59" borderId="50" xfId="0" applyFont="1" applyFill="1" applyBorder="1"/>
    <xf numFmtId="3" fontId="91" fillId="49" borderId="110" xfId="1" applyNumberFormat="1" applyFont="1" applyFill="1" applyBorder="1" applyAlignment="1">
      <alignment horizontal="center" vertical="center"/>
    </xf>
    <xf numFmtId="3" fontId="91" fillId="49" borderId="111" xfId="1" applyNumberFormat="1" applyFont="1" applyFill="1" applyBorder="1" applyAlignment="1">
      <alignment horizontal="center" vertical="center"/>
    </xf>
    <xf numFmtId="1" fontId="96" fillId="49" borderId="27" xfId="2" applyNumberFormat="1" applyFont="1" applyFill="1" applyBorder="1" applyAlignment="1">
      <alignment horizontal="center" vertical="top" wrapText="1"/>
    </xf>
    <xf numFmtId="1" fontId="96" fillId="49" borderId="28" xfId="2" applyNumberFormat="1" applyFont="1" applyFill="1" applyBorder="1" applyAlignment="1">
      <alignment horizontal="center" vertical="top" wrapText="1"/>
    </xf>
    <xf numFmtId="0" fontId="96" fillId="49" borderId="30" xfId="2" applyFont="1" applyFill="1" applyBorder="1" applyAlignment="1">
      <alignment horizontal="center" vertical="top" wrapText="1"/>
    </xf>
    <xf numFmtId="0" fontId="96" fillId="49" borderId="25" xfId="2" applyFont="1" applyFill="1" applyBorder="1" applyAlignment="1">
      <alignment horizontal="center" vertical="top" wrapText="1"/>
    </xf>
    <xf numFmtId="0" fontId="96" fillId="49" borderId="28" xfId="2" applyFont="1" applyFill="1" applyBorder="1" applyAlignment="1">
      <alignment horizontal="center" vertical="top" wrapText="1"/>
    </xf>
    <xf numFmtId="0" fontId="96" fillId="49" borderId="23" xfId="2" applyFont="1" applyFill="1" applyBorder="1" applyAlignment="1">
      <alignment horizontal="center" vertical="top" wrapText="1"/>
    </xf>
    <xf numFmtId="0" fontId="96" fillId="49" borderId="27" xfId="2" applyFont="1" applyFill="1" applyBorder="1" applyAlignment="1">
      <alignment horizontal="center" vertical="top" wrapText="1"/>
    </xf>
    <xf numFmtId="0" fontId="96" fillId="49" borderId="24" xfId="2" applyFont="1" applyFill="1" applyBorder="1" applyAlignment="1">
      <alignment horizontal="center" vertical="top" wrapText="1"/>
    </xf>
    <xf numFmtId="0" fontId="96" fillId="49" borderId="24" xfId="2" applyFont="1" applyFill="1" applyBorder="1" applyAlignment="1">
      <alignment horizontal="center" vertical="center"/>
    </xf>
    <xf numFmtId="0" fontId="91" fillId="45" borderId="0" xfId="2" applyFont="1" applyFill="1" applyBorder="1" applyAlignment="1">
      <alignment horizontal="left" vertical="center" wrapText="1"/>
    </xf>
    <xf numFmtId="0" fontId="96" fillId="49" borderId="25" xfId="2" applyFont="1" applyFill="1" applyBorder="1" applyAlignment="1">
      <alignment horizontal="center" vertical="center" wrapText="1"/>
    </xf>
    <xf numFmtId="0" fontId="96" fillId="49" borderId="51" xfId="2" applyFont="1" applyFill="1" applyBorder="1" applyAlignment="1">
      <alignment horizontal="center" vertical="top" wrapText="1"/>
    </xf>
    <xf numFmtId="0" fontId="96" fillId="49" borderId="0" xfId="2" applyFont="1" applyFill="1" applyBorder="1" applyAlignment="1">
      <alignment horizontal="center" vertical="top" wrapText="1"/>
    </xf>
    <xf numFmtId="182" fontId="96" fillId="49" borderId="52" xfId="2" applyNumberFormat="1" applyFont="1" applyFill="1" applyBorder="1" applyAlignment="1">
      <alignment horizontal="center" vertical="center" wrapText="1"/>
    </xf>
    <xf numFmtId="182" fontId="96" fillId="49" borderId="50" xfId="2" applyNumberFormat="1" applyFont="1" applyFill="1" applyBorder="1" applyAlignment="1">
      <alignment horizontal="center" vertical="center" wrapText="1"/>
    </xf>
    <xf numFmtId="182" fontId="96" fillId="49" borderId="50" xfId="2" applyNumberFormat="1" applyFont="1" applyFill="1" applyBorder="1" applyAlignment="1">
      <alignment horizontal="center" vertical="top" wrapText="1"/>
    </xf>
    <xf numFmtId="0" fontId="91" fillId="0" borderId="52" xfId="2" applyFont="1" applyBorder="1" applyAlignment="1">
      <alignment vertical="center"/>
    </xf>
    <xf numFmtId="182" fontId="96" fillId="49" borderId="24" xfId="2" applyNumberFormat="1" applyFont="1" applyFill="1" applyBorder="1" applyAlignment="1">
      <alignment horizontal="center" vertical="top" wrapText="1"/>
    </xf>
    <xf numFmtId="182" fontId="96" fillId="49" borderId="23" xfId="2" applyNumberFormat="1" applyFont="1" applyFill="1" applyBorder="1" applyAlignment="1">
      <alignment horizontal="center" vertical="top" wrapText="1"/>
    </xf>
    <xf numFmtId="1" fontId="96" fillId="49" borderId="52" xfId="2" applyNumberFormat="1" applyFont="1" applyFill="1" applyBorder="1" applyAlignment="1">
      <alignment horizontal="center" vertical="top" wrapText="1"/>
    </xf>
    <xf numFmtId="1" fontId="96" fillId="49" borderId="50" xfId="2" applyNumberFormat="1" applyFont="1" applyFill="1" applyBorder="1" applyAlignment="1">
      <alignment horizontal="center" vertical="top" wrapText="1"/>
    </xf>
    <xf numFmtId="1" fontId="96" fillId="49" borderId="7" xfId="2" applyNumberFormat="1" applyFont="1" applyFill="1" applyBorder="1" applyAlignment="1">
      <alignment horizontal="center" vertical="center" wrapText="1"/>
    </xf>
    <xf numFmtId="0" fontId="91" fillId="0" borderId="101" xfId="2" applyFont="1" applyBorder="1" applyAlignment="1">
      <alignment horizontal="center" vertical="center" wrapText="1"/>
    </xf>
    <xf numFmtId="0" fontId="96" fillId="59" borderId="23" xfId="2" applyFont="1" applyFill="1" applyBorder="1" applyAlignment="1">
      <alignment horizontal="center" vertical="center" wrapText="1"/>
    </xf>
    <xf numFmtId="3" fontId="96" fillId="49" borderId="119" xfId="1" applyNumberFormat="1" applyFont="1" applyFill="1" applyBorder="1" applyAlignment="1">
      <alignment horizontal="center"/>
    </xf>
    <xf numFmtId="3" fontId="96" fillId="49" borderId="118" xfId="1" applyNumberFormat="1" applyFont="1" applyFill="1" applyBorder="1" applyAlignment="1">
      <alignment horizontal="center"/>
    </xf>
    <xf numFmtId="3" fontId="98" fillId="6" borderId="118" xfId="1" applyNumberFormat="1" applyFont="1" applyFill="1" applyBorder="1" applyAlignment="1">
      <alignment horizontal="center" vertical="center"/>
    </xf>
    <xf numFmtId="0" fontId="96" fillId="49" borderId="116" xfId="2" applyFont="1" applyFill="1" applyBorder="1" applyAlignment="1">
      <alignment horizontal="center" vertical="center" wrapText="1"/>
    </xf>
    <xf numFmtId="3" fontId="96" fillId="49" borderId="119" xfId="1" applyNumberFormat="1" applyFont="1" applyFill="1" applyBorder="1" applyAlignment="1">
      <alignment horizontal="center" vertical="center"/>
    </xf>
    <xf numFmtId="3" fontId="96" fillId="49" borderId="118" xfId="1" applyNumberFormat="1" applyFont="1" applyFill="1" applyBorder="1" applyAlignment="1">
      <alignment horizontal="center" vertical="center"/>
    </xf>
    <xf numFmtId="0" fontId="96" fillId="49" borderId="117" xfId="2" applyFont="1" applyFill="1" applyBorder="1" applyAlignment="1">
      <alignment horizontal="center" vertical="top" wrapText="1"/>
    </xf>
    <xf numFmtId="0" fontId="96" fillId="49" borderId="119" xfId="2" applyFont="1" applyFill="1" applyBorder="1" applyAlignment="1">
      <alignment horizontal="center" vertical="top" wrapText="1"/>
    </xf>
    <xf numFmtId="3" fontId="98" fillId="6" borderId="120" xfId="1" applyNumberFormat="1" applyFont="1" applyFill="1" applyBorder="1" applyAlignment="1">
      <alignment horizontal="center" vertical="center"/>
    </xf>
    <xf numFmtId="0" fontId="111" fillId="61" borderId="88" xfId="2" applyFont="1" applyFill="1" applyBorder="1" applyAlignment="1">
      <alignment vertical="center"/>
    </xf>
    <xf numFmtId="0" fontId="111" fillId="61" borderId="121" xfId="2" applyFont="1" applyFill="1" applyBorder="1" applyAlignment="1">
      <alignment vertical="center"/>
    </xf>
    <xf numFmtId="0" fontId="111" fillId="61" borderId="93" xfId="2" applyFont="1" applyFill="1" applyBorder="1" applyAlignment="1">
      <alignment vertical="center"/>
    </xf>
    <xf numFmtId="0" fontId="97" fillId="49" borderId="30" xfId="25" applyFont="1" applyFill="1" applyBorder="1" applyAlignment="1" applyProtection="1">
      <alignment horizontal="center" vertical="center"/>
    </xf>
    <xf numFmtId="165" fontId="91" fillId="49" borderId="0" xfId="2" applyNumberFormat="1" applyFont="1" applyFill="1" applyBorder="1" applyAlignment="1">
      <alignment horizontal="center" vertical="center"/>
    </xf>
    <xf numFmtId="3" fontId="98" fillId="6" borderId="119" xfId="1" applyNumberFormat="1" applyFont="1" applyFill="1" applyBorder="1" applyAlignment="1">
      <alignment horizontal="center" vertical="center"/>
    </xf>
    <xf numFmtId="165" fontId="91" fillId="49" borderId="63" xfId="2" applyNumberFormat="1" applyFont="1" applyFill="1" applyBorder="1" applyAlignment="1">
      <alignment horizontal="center" vertical="center"/>
    </xf>
    <xf numFmtId="3" fontId="91" fillId="49" borderId="30" xfId="1" applyNumberFormat="1" applyFont="1" applyFill="1" applyBorder="1" applyAlignment="1">
      <alignment horizontal="center" vertical="center"/>
    </xf>
    <xf numFmtId="0" fontId="91" fillId="0" borderId="25" xfId="2" applyFont="1" applyBorder="1" applyAlignment="1">
      <alignment vertical="center" wrapText="1"/>
    </xf>
    <xf numFmtId="0" fontId="4" fillId="45" borderId="29" xfId="0" applyFont="1" applyFill="1" applyBorder="1" applyProtection="1">
      <protection locked="0"/>
    </xf>
    <xf numFmtId="4" fontId="91" fillId="49" borderId="49" xfId="1" applyNumberFormat="1" applyFont="1" applyFill="1" applyBorder="1" applyAlignment="1">
      <alignment horizontal="center" vertical="center"/>
    </xf>
    <xf numFmtId="0" fontId="91" fillId="49" borderId="29" xfId="2" applyFont="1" applyFill="1" applyBorder="1" applyAlignment="1">
      <alignment horizontal="center" vertical="center" wrapText="1"/>
    </xf>
    <xf numFmtId="3" fontId="98" fillId="6" borderId="52" xfId="1" applyNumberFormat="1" applyFont="1" applyFill="1" applyBorder="1" applyAlignment="1">
      <alignment horizontal="center" vertical="center"/>
    </xf>
    <xf numFmtId="165" fontId="91" fillId="49" borderId="49" xfId="2" applyNumberFormat="1" applyFont="1" applyFill="1" applyBorder="1" applyAlignment="1">
      <alignment horizontal="center" vertical="center"/>
    </xf>
    <xf numFmtId="4" fontId="91" fillId="49" borderId="30" xfId="1" applyNumberFormat="1" applyFont="1" applyFill="1" applyBorder="1" applyAlignment="1">
      <alignment horizontal="center" vertical="center"/>
    </xf>
    <xf numFmtId="1" fontId="91" fillId="49" borderId="7" xfId="2" applyNumberFormat="1" applyFont="1" applyFill="1" applyBorder="1" applyAlignment="1" applyProtection="1">
      <alignment horizontal="left" vertical="center"/>
    </xf>
    <xf numFmtId="0" fontId="97" fillId="49" borderId="29" xfId="25" applyFont="1" applyFill="1" applyBorder="1" applyAlignment="1" applyProtection="1">
      <alignment horizontal="center" vertical="center"/>
    </xf>
    <xf numFmtId="1" fontId="91" fillId="49" borderId="24" xfId="2" applyNumberFormat="1" applyFont="1" applyFill="1" applyBorder="1" applyAlignment="1" applyProtection="1">
      <alignment horizontal="left" vertical="center"/>
    </xf>
    <xf numFmtId="0" fontId="97" fillId="49" borderId="23" xfId="25" applyFont="1" applyFill="1" applyBorder="1" applyAlignment="1" applyProtection="1">
      <alignment horizontal="center" vertical="center"/>
    </xf>
    <xf numFmtId="0" fontId="97" fillId="49" borderId="25" xfId="25" applyFont="1" applyFill="1" applyBorder="1" applyAlignment="1" applyProtection="1">
      <alignment horizontal="center" vertical="center"/>
    </xf>
    <xf numFmtId="0" fontId="4" fillId="49" borderId="50" xfId="2" applyFont="1" applyFill="1" applyBorder="1" applyAlignment="1">
      <alignment vertical="top"/>
    </xf>
    <xf numFmtId="0" fontId="0" fillId="49" borderId="0" xfId="0" applyFill="1" applyAlignment="1">
      <alignment vertical="top"/>
    </xf>
    <xf numFmtId="0" fontId="96" fillId="49" borderId="52" xfId="2" applyFont="1" applyFill="1" applyBorder="1" applyAlignment="1">
      <alignment horizontal="center" vertical="top"/>
    </xf>
    <xf numFmtId="0" fontId="96" fillId="49" borderId="116" xfId="2" applyFont="1" applyFill="1" applyBorder="1" applyAlignment="1">
      <alignment horizontal="center" vertical="top" wrapText="1"/>
    </xf>
    <xf numFmtId="0" fontId="96" fillId="49" borderId="55" xfId="2" applyFont="1" applyFill="1" applyBorder="1" applyAlignment="1">
      <alignment horizontal="center" vertical="top" wrapText="1"/>
    </xf>
    <xf numFmtId="165" fontId="96" fillId="49" borderId="28" xfId="0" applyNumberFormat="1" applyFont="1" applyFill="1" applyBorder="1" applyAlignment="1">
      <alignment horizontal="center" wrapText="1"/>
    </xf>
    <xf numFmtId="3" fontId="91" fillId="49" borderId="27" xfId="1" applyNumberFormat="1" applyFont="1" applyFill="1" applyBorder="1" applyAlignment="1">
      <alignment horizontal="center" vertical="center"/>
    </xf>
    <xf numFmtId="3" fontId="91" fillId="59" borderId="28" xfId="1" applyNumberFormat="1" applyFont="1" applyFill="1" applyBorder="1" applyAlignment="1">
      <alignment horizontal="center" vertical="center"/>
    </xf>
    <xf numFmtId="3" fontId="91" fillId="59" borderId="30" xfId="1" applyNumberFormat="1" applyFont="1" applyFill="1" applyBorder="1" applyAlignment="1">
      <alignment horizontal="center" vertical="center"/>
    </xf>
    <xf numFmtId="0" fontId="4" fillId="59" borderId="23" xfId="0" applyFont="1" applyFill="1" applyBorder="1"/>
    <xf numFmtId="0" fontId="91" fillId="59" borderId="23" xfId="2" applyFont="1" applyFill="1" applyBorder="1" applyAlignment="1">
      <alignment vertical="center" wrapText="1"/>
    </xf>
    <xf numFmtId="0" fontId="91" fillId="0" borderId="23" xfId="2" applyFont="1" applyBorder="1" applyAlignment="1">
      <alignment vertical="center" wrapText="1"/>
    </xf>
    <xf numFmtId="0" fontId="97" fillId="49" borderId="28" xfId="25" applyFont="1" applyFill="1" applyBorder="1" applyAlignment="1" applyProtection="1">
      <alignment horizontal="center" vertical="center"/>
    </xf>
    <xf numFmtId="0" fontId="4" fillId="59" borderId="24" xfId="0" applyFont="1" applyFill="1" applyBorder="1"/>
    <xf numFmtId="0" fontId="91" fillId="59" borderId="23" xfId="2" applyFont="1" applyFill="1" applyBorder="1" applyAlignment="1">
      <alignment vertical="center"/>
    </xf>
    <xf numFmtId="0" fontId="91" fillId="59" borderId="25" xfId="2" applyFont="1" applyFill="1" applyBorder="1" applyAlignment="1">
      <alignment vertical="center"/>
    </xf>
    <xf numFmtId="0" fontId="4" fillId="59" borderId="53" xfId="0" applyFont="1" applyFill="1" applyBorder="1"/>
    <xf numFmtId="165" fontId="96" fillId="49" borderId="23" xfId="0" applyNumberFormat="1" applyFont="1" applyFill="1" applyBorder="1" applyAlignment="1">
      <alignment horizontal="center" wrapText="1"/>
    </xf>
    <xf numFmtId="3" fontId="91" fillId="49" borderId="112" xfId="1" applyNumberFormat="1" applyFont="1" applyFill="1" applyBorder="1" applyAlignment="1">
      <alignment horizontal="center" vertical="center"/>
    </xf>
    <xf numFmtId="182" fontId="96" fillId="49" borderId="55" xfId="2" applyNumberFormat="1" applyFont="1" applyFill="1" applyBorder="1" applyAlignment="1">
      <alignment horizontal="center" vertical="top" wrapText="1"/>
    </xf>
    <xf numFmtId="182" fontId="96" fillId="49" borderId="49" xfId="2" applyNumberFormat="1" applyFont="1" applyFill="1" applyBorder="1" applyAlignment="1">
      <alignment horizontal="center" vertical="top" wrapText="1"/>
    </xf>
    <xf numFmtId="1" fontId="91" fillId="49" borderId="27" xfId="2" applyNumberFormat="1" applyFont="1" applyFill="1" applyBorder="1" applyAlignment="1" applyProtection="1">
      <alignment horizontal="left" vertical="center"/>
    </xf>
    <xf numFmtId="3" fontId="4" fillId="45" borderId="27" xfId="0" applyNumberFormat="1" applyFont="1" applyFill="1" applyBorder="1" applyAlignment="1" applyProtection="1">
      <alignment horizontal="center" vertical="center"/>
      <protection locked="0"/>
    </xf>
    <xf numFmtId="3" fontId="4" fillId="45" borderId="28" xfId="0" applyNumberFormat="1" applyFont="1" applyFill="1" applyBorder="1" applyAlignment="1" applyProtection="1">
      <alignment horizontal="center" vertical="center"/>
      <protection locked="0"/>
    </xf>
    <xf numFmtId="3" fontId="4" fillId="45" borderId="30" xfId="0" applyNumberFormat="1" applyFont="1" applyFill="1" applyBorder="1" applyAlignment="1" applyProtection="1">
      <alignment horizontal="center" vertical="center"/>
      <protection locked="0"/>
    </xf>
    <xf numFmtId="3" fontId="4" fillId="45" borderId="23" xfId="0" applyNumberFormat="1" applyFont="1" applyFill="1" applyBorder="1" applyAlignment="1" applyProtection="1">
      <alignment horizontal="center" vertical="center"/>
      <protection locked="0"/>
    </xf>
    <xf numFmtId="3" fontId="4" fillId="45" borderId="25" xfId="0" applyNumberFormat="1" applyFont="1" applyFill="1" applyBorder="1" applyAlignment="1" applyProtection="1">
      <alignment horizontal="center" vertical="center"/>
      <protection locked="0"/>
    </xf>
    <xf numFmtId="0" fontId="22" fillId="49" borderId="0" xfId="0" applyFont="1" applyFill="1" applyAlignment="1">
      <alignment horizontal="left" vertical="center" wrapText="1"/>
    </xf>
    <xf numFmtId="0" fontId="97" fillId="45" borderId="0" xfId="25" applyFont="1" applyFill="1" applyBorder="1" applyAlignment="1" applyProtection="1">
      <alignment horizontal="center"/>
      <protection locked="0"/>
    </xf>
    <xf numFmtId="0" fontId="97" fillId="49" borderId="0" xfId="25" applyFont="1" applyFill="1" applyBorder="1" applyAlignment="1" applyProtection="1">
      <alignment horizontal="center"/>
    </xf>
    <xf numFmtId="0" fontId="97" fillId="45" borderId="23" xfId="25" applyFont="1" applyFill="1" applyBorder="1" applyAlignment="1" applyProtection="1">
      <alignment horizontal="center"/>
      <protection locked="0"/>
    </xf>
    <xf numFmtId="0" fontId="97" fillId="49" borderId="23" xfId="25" applyFont="1" applyFill="1" applyBorder="1" applyAlignment="1" applyProtection="1">
      <alignment horizontal="center"/>
    </xf>
    <xf numFmtId="0" fontId="97" fillId="49" borderId="25" xfId="25" applyFont="1" applyFill="1" applyBorder="1" applyAlignment="1" applyProtection="1">
      <alignment horizontal="center"/>
    </xf>
    <xf numFmtId="0" fontId="97" fillId="45" borderId="25" xfId="25" applyFont="1" applyFill="1" applyBorder="1" applyAlignment="1" applyProtection="1">
      <alignment horizontal="center"/>
      <protection locked="0"/>
    </xf>
    <xf numFmtId="0" fontId="118" fillId="49" borderId="2" xfId="0" applyFont="1" applyFill="1" applyBorder="1"/>
    <xf numFmtId="0" fontId="5" fillId="49" borderId="2" xfId="0" applyFont="1" applyFill="1" applyBorder="1" applyAlignment="1">
      <alignment horizontal="left"/>
    </xf>
    <xf numFmtId="14" fontId="5" fillId="49" borderId="2" xfId="0" applyNumberFormat="1" applyFont="1" applyFill="1" applyBorder="1" applyAlignment="1">
      <alignment horizontal="left"/>
    </xf>
    <xf numFmtId="0" fontId="118" fillId="49" borderId="52" xfId="0" applyFont="1" applyFill="1" applyBorder="1" applyAlignment="1"/>
    <xf numFmtId="0" fontId="118" fillId="49" borderId="50" xfId="0" applyFont="1" applyFill="1" applyBorder="1" applyAlignment="1"/>
    <xf numFmtId="0" fontId="118" fillId="49" borderId="49" xfId="0" applyFont="1" applyFill="1" applyBorder="1" applyAlignment="1"/>
    <xf numFmtId="0" fontId="22" fillId="49" borderId="2" xfId="0" applyFont="1" applyFill="1" applyBorder="1"/>
    <xf numFmtId="3" fontId="96" fillId="45" borderId="27" xfId="1" applyNumberFormat="1" applyFont="1" applyFill="1" applyBorder="1" applyAlignment="1" applyProtection="1">
      <alignment horizontal="center" wrapText="1"/>
      <protection locked="0"/>
    </xf>
    <xf numFmtId="3" fontId="96" fillId="45" borderId="7" xfId="1" applyNumberFormat="1" applyFont="1" applyFill="1" applyBorder="1" applyAlignment="1" applyProtection="1">
      <alignment horizontal="center" wrapText="1"/>
      <protection locked="0"/>
    </xf>
    <xf numFmtId="3" fontId="96" fillId="45" borderId="28" xfId="1" applyNumberFormat="1" applyFont="1" applyFill="1" applyBorder="1" applyAlignment="1" applyProtection="1">
      <alignment horizontal="center" wrapText="1"/>
      <protection locked="0"/>
    </xf>
    <xf numFmtId="3" fontId="91" fillId="59" borderId="111" xfId="1" applyNumberFormat="1" applyFont="1" applyFill="1" applyBorder="1" applyAlignment="1">
      <alignment horizontal="center" vertical="center"/>
    </xf>
    <xf numFmtId="1" fontId="3" fillId="0" borderId="77" xfId="2" applyNumberFormat="1" applyFont="1" applyFill="1" applyBorder="1" applyAlignment="1" applyProtection="1">
      <alignment horizontal="left" vertical="center" wrapText="1"/>
    </xf>
    <xf numFmtId="0" fontId="12" fillId="45" borderId="80" xfId="25" applyFill="1" applyBorder="1" applyAlignment="1" applyProtection="1">
      <alignment horizontal="center"/>
      <protection locked="0"/>
    </xf>
    <xf numFmtId="0" fontId="12" fillId="45" borderId="81" xfId="25" applyFill="1" applyBorder="1" applyAlignment="1" applyProtection="1">
      <alignment horizontal="center"/>
      <protection locked="0"/>
    </xf>
    <xf numFmtId="0" fontId="12" fillId="45" borderId="82" xfId="25" applyFill="1" applyBorder="1" applyAlignment="1" applyProtection="1">
      <alignment horizontal="center"/>
      <protection locked="0"/>
    </xf>
    <xf numFmtId="0" fontId="12" fillId="45" borderId="83" xfId="25" applyFill="1" applyBorder="1" applyAlignment="1" applyProtection="1">
      <alignment horizontal="center"/>
      <protection locked="0"/>
    </xf>
    <xf numFmtId="0" fontId="12" fillId="45" borderId="84" xfId="25" applyFill="1" applyBorder="1" applyAlignment="1" applyProtection="1">
      <alignment horizontal="center"/>
      <protection locked="0"/>
    </xf>
    <xf numFmtId="0" fontId="12" fillId="45" borderId="85" xfId="25" applyFill="1" applyBorder="1" applyAlignment="1" applyProtection="1">
      <alignment horizontal="center"/>
      <protection locked="0"/>
    </xf>
    <xf numFmtId="0" fontId="12" fillId="45" borderId="86" xfId="25" applyFill="1" applyBorder="1" applyAlignment="1" applyProtection="1">
      <alignment horizontal="center"/>
      <protection locked="0"/>
    </xf>
    <xf numFmtId="0" fontId="12" fillId="45" borderId="87" xfId="25" applyFill="1" applyBorder="1" applyAlignment="1" applyProtection="1">
      <alignment horizontal="center"/>
      <protection locked="0"/>
    </xf>
    <xf numFmtId="0" fontId="96" fillId="49" borderId="28" xfId="2" applyFont="1" applyFill="1" applyBorder="1" applyAlignment="1">
      <alignment horizontal="center" vertical="top" wrapText="1"/>
    </xf>
    <xf numFmtId="0" fontId="97" fillId="45" borderId="53" xfId="25" applyFont="1" applyFill="1" applyBorder="1" applyAlignment="1" applyProtection="1">
      <alignment horizontal="center" vertical="center"/>
      <protection locked="0"/>
    </xf>
    <xf numFmtId="0" fontId="22" fillId="49" borderId="0" xfId="0" applyFont="1" applyFill="1" applyAlignment="1">
      <alignment horizontal="left" vertical="center" wrapText="1"/>
    </xf>
    <xf numFmtId="0" fontId="94" fillId="49" borderId="0" xfId="0" applyFont="1" applyFill="1" applyAlignment="1">
      <alignment horizontal="left" vertical="center" wrapText="1"/>
    </xf>
    <xf numFmtId="0" fontId="108" fillId="61" borderId="0" xfId="0" applyFont="1" applyFill="1" applyAlignment="1">
      <alignment horizontal="left" vertical="center"/>
    </xf>
    <xf numFmtId="0" fontId="109" fillId="49" borderId="0" xfId="0" applyFont="1" applyFill="1" applyAlignment="1">
      <alignment horizontal="left" vertical="center"/>
    </xf>
    <xf numFmtId="0" fontId="106" fillId="49" borderId="0" xfId="0" applyFont="1" applyFill="1" applyAlignment="1">
      <alignment horizontal="left" vertical="center" wrapText="1"/>
    </xf>
    <xf numFmtId="0" fontId="7" fillId="61" borderId="80" xfId="2" applyFont="1" applyFill="1" applyBorder="1" applyAlignment="1">
      <alignment horizontal="center" vertical="center"/>
    </xf>
    <xf numFmtId="0" fontId="7" fillId="61" borderId="81" xfId="2" applyFont="1" applyFill="1" applyBorder="1" applyAlignment="1">
      <alignment horizontal="center" vertical="center"/>
    </xf>
    <xf numFmtId="0" fontId="7" fillId="61" borderId="78" xfId="2" applyFont="1" applyFill="1" applyBorder="1" applyAlignment="1">
      <alignment horizontal="left" vertical="center"/>
    </xf>
    <xf numFmtId="0" fontId="7" fillId="61" borderId="79" xfId="2" applyFont="1" applyFill="1" applyBorder="1" applyAlignment="1">
      <alignment horizontal="left" vertical="center"/>
    </xf>
    <xf numFmtId="0" fontId="92" fillId="61" borderId="72" xfId="0" applyFont="1" applyFill="1" applyBorder="1" applyAlignment="1">
      <alignment horizontal="left" vertical="center"/>
    </xf>
    <xf numFmtId="0" fontId="92" fillId="61" borderId="73" xfId="0" applyFont="1" applyFill="1" applyBorder="1" applyAlignment="1">
      <alignment horizontal="left" vertical="center"/>
    </xf>
    <xf numFmtId="0" fontId="92" fillId="61" borderId="67" xfId="0" applyFont="1" applyFill="1" applyBorder="1" applyAlignment="1">
      <alignment horizontal="left" vertical="center"/>
    </xf>
    <xf numFmtId="0" fontId="0" fillId="49" borderId="70" xfId="0" applyFill="1" applyBorder="1" applyAlignment="1">
      <alignment horizontal="left" vertical="top"/>
    </xf>
    <xf numFmtId="0" fontId="0" fillId="49" borderId="71" xfId="0" applyFill="1" applyBorder="1" applyAlignment="1">
      <alignment horizontal="left" vertical="top"/>
    </xf>
    <xf numFmtId="0" fontId="0" fillId="45" borderId="74" xfId="0" applyFill="1" applyBorder="1" applyAlignment="1" applyProtection="1">
      <alignment horizontal="center" vertical="center" wrapText="1"/>
      <protection locked="0"/>
    </xf>
    <xf numFmtId="0" fontId="0" fillId="45" borderId="0" xfId="0" applyFill="1" applyBorder="1" applyAlignment="1" applyProtection="1">
      <alignment horizontal="center" vertical="center" wrapText="1"/>
      <protection locked="0"/>
    </xf>
    <xf numFmtId="0" fontId="0" fillId="45" borderId="68" xfId="0" applyFill="1" applyBorder="1" applyAlignment="1" applyProtection="1">
      <alignment horizontal="center" vertical="center" wrapText="1"/>
      <protection locked="0"/>
    </xf>
    <xf numFmtId="0" fontId="0" fillId="45" borderId="75" xfId="0" applyFill="1" applyBorder="1" applyAlignment="1" applyProtection="1">
      <alignment horizontal="center" vertical="center" wrapText="1"/>
      <protection locked="0"/>
    </xf>
    <xf numFmtId="0" fontId="0" fillId="45" borderId="76" xfId="0" applyFill="1" applyBorder="1" applyAlignment="1" applyProtection="1">
      <alignment horizontal="center" vertical="center" wrapText="1"/>
      <protection locked="0"/>
    </xf>
    <xf numFmtId="0" fontId="0" fillId="45" borderId="69" xfId="0" applyFill="1" applyBorder="1" applyAlignment="1" applyProtection="1">
      <alignment horizontal="center" vertical="center" wrapText="1"/>
      <protection locked="0"/>
    </xf>
    <xf numFmtId="0" fontId="0" fillId="49" borderId="95" xfId="0" applyFill="1" applyBorder="1" applyAlignment="1">
      <alignment horizontal="left" wrapText="1"/>
    </xf>
    <xf numFmtId="0" fontId="0" fillId="49" borderId="97" xfId="0" applyFill="1" applyBorder="1" applyAlignment="1">
      <alignment horizontal="left"/>
    </xf>
    <xf numFmtId="0" fontId="0" fillId="49" borderId="96" xfId="0" applyFill="1" applyBorder="1" applyAlignment="1">
      <alignment horizontal="left"/>
    </xf>
    <xf numFmtId="0" fontId="91" fillId="0" borderId="24" xfId="2" applyFont="1" applyBorder="1" applyAlignment="1">
      <alignment horizontal="center" vertical="center"/>
    </xf>
    <xf numFmtId="0" fontId="91" fillId="0" borderId="23" xfId="2" applyFont="1" applyBorder="1" applyAlignment="1">
      <alignment horizontal="center" vertical="center"/>
    </xf>
    <xf numFmtId="0" fontId="91" fillId="0" borderId="25" xfId="2" applyFont="1" applyBorder="1" applyAlignment="1">
      <alignment horizontal="center" vertical="center"/>
    </xf>
    <xf numFmtId="0" fontId="96" fillId="49" borderId="51" xfId="2" applyFont="1" applyFill="1" applyBorder="1" applyAlignment="1">
      <alignment horizontal="center" vertical="top" wrapText="1"/>
    </xf>
    <xf numFmtId="0" fontId="96" fillId="49" borderId="47" xfId="2" applyFont="1" applyFill="1" applyBorder="1" applyAlignment="1">
      <alignment horizontal="center" vertical="top" wrapText="1"/>
    </xf>
    <xf numFmtId="0" fontId="111" fillId="61" borderId="89" xfId="2" applyFont="1" applyFill="1" applyBorder="1" applyAlignment="1">
      <alignment horizontal="left" vertical="center"/>
    </xf>
    <xf numFmtId="0" fontId="111" fillId="61" borderId="104" xfId="2" applyFont="1" applyFill="1" applyBorder="1" applyAlignment="1">
      <alignment horizontal="left" vertical="center"/>
    </xf>
    <xf numFmtId="0" fontId="111" fillId="61" borderId="0" xfId="2" applyFont="1" applyFill="1" applyBorder="1" applyAlignment="1">
      <alignment horizontal="left" vertical="center"/>
    </xf>
    <xf numFmtId="0" fontId="111" fillId="61" borderId="126" xfId="2" applyFont="1" applyFill="1" applyBorder="1" applyAlignment="1">
      <alignment horizontal="left" vertical="center"/>
    </xf>
    <xf numFmtId="0" fontId="96" fillId="49" borderId="27" xfId="2" applyFont="1" applyFill="1" applyBorder="1" applyAlignment="1">
      <alignment horizontal="center" vertical="center" wrapText="1"/>
    </xf>
    <xf numFmtId="0" fontId="96" fillId="49" borderId="24" xfId="2" applyFont="1" applyFill="1" applyBorder="1" applyAlignment="1">
      <alignment horizontal="center" vertical="center" wrapText="1"/>
    </xf>
    <xf numFmtId="0" fontId="96" fillId="49" borderId="30" xfId="2" applyFont="1" applyFill="1" applyBorder="1" applyAlignment="1">
      <alignment horizontal="center" vertical="center" wrapText="1"/>
    </xf>
    <xf numFmtId="0" fontId="96" fillId="49" borderId="25" xfId="2" applyFont="1" applyFill="1" applyBorder="1" applyAlignment="1">
      <alignment horizontal="center" vertical="center" wrapText="1"/>
    </xf>
    <xf numFmtId="0" fontId="96" fillId="49" borderId="104" xfId="2" applyFont="1" applyFill="1" applyBorder="1" applyAlignment="1">
      <alignment horizontal="center" vertical="center" wrapText="1"/>
    </xf>
    <xf numFmtId="0" fontId="96" fillId="49" borderId="0" xfId="2" applyFont="1" applyFill="1" applyBorder="1" applyAlignment="1">
      <alignment horizontal="center" vertical="center" wrapText="1"/>
    </xf>
    <xf numFmtId="0" fontId="96" fillId="49" borderId="23" xfId="2" applyFont="1" applyFill="1" applyBorder="1" applyAlignment="1">
      <alignment horizontal="center" vertical="center" wrapText="1"/>
    </xf>
    <xf numFmtId="0" fontId="96" fillId="49" borderId="30" xfId="2" applyFont="1" applyFill="1" applyBorder="1" applyAlignment="1">
      <alignment horizontal="center" vertical="top" wrapText="1"/>
    </xf>
    <xf numFmtId="0" fontId="96" fillId="49" borderId="25" xfId="2" applyFont="1" applyFill="1" applyBorder="1" applyAlignment="1">
      <alignment horizontal="center" vertical="top" wrapText="1"/>
    </xf>
    <xf numFmtId="0" fontId="96" fillId="49" borderId="28" xfId="2" applyFont="1" applyFill="1" applyBorder="1" applyAlignment="1">
      <alignment horizontal="center" vertical="top" wrapText="1"/>
    </xf>
    <xf numFmtId="0" fontId="96" fillId="49" borderId="23" xfId="2" applyFont="1" applyFill="1" applyBorder="1" applyAlignment="1">
      <alignment horizontal="center" vertical="top" wrapText="1"/>
    </xf>
    <xf numFmtId="0" fontId="96" fillId="49" borderId="51" xfId="2" applyFont="1" applyFill="1" applyBorder="1" applyAlignment="1">
      <alignment horizontal="center" vertical="center" wrapText="1"/>
    </xf>
    <xf numFmtId="0" fontId="96" fillId="49" borderId="47" xfId="2" applyFont="1" applyFill="1" applyBorder="1" applyAlignment="1">
      <alignment horizontal="center" vertical="center" wrapText="1"/>
    </xf>
    <xf numFmtId="0" fontId="96" fillId="49" borderId="103" xfId="2" applyFont="1" applyFill="1" applyBorder="1" applyAlignment="1">
      <alignment horizontal="center" vertical="center"/>
    </xf>
    <xf numFmtId="0" fontId="96" fillId="49" borderId="7" xfId="2" applyFont="1" applyFill="1" applyBorder="1" applyAlignment="1">
      <alignment horizontal="center" vertical="center"/>
    </xf>
    <xf numFmtId="0" fontId="96" fillId="49" borderId="24" xfId="2" applyFont="1" applyFill="1" applyBorder="1" applyAlignment="1">
      <alignment horizontal="center" vertical="center"/>
    </xf>
    <xf numFmtId="0" fontId="91" fillId="0" borderId="101" xfId="2" applyFont="1" applyBorder="1" applyAlignment="1">
      <alignment horizontal="center" vertical="center"/>
    </xf>
    <xf numFmtId="0" fontId="91" fillId="0" borderId="113" xfId="2" applyFont="1" applyBorder="1" applyAlignment="1">
      <alignment horizontal="center" vertical="center"/>
    </xf>
    <xf numFmtId="0" fontId="91" fillId="0" borderId="102" xfId="2" applyFont="1" applyBorder="1" applyAlignment="1">
      <alignment horizontal="center" vertical="center" wrapText="1"/>
    </xf>
    <xf numFmtId="0" fontId="91" fillId="0" borderId="109" xfId="2" applyFont="1" applyBorder="1" applyAlignment="1">
      <alignment horizontal="center" vertical="center" wrapText="1"/>
    </xf>
    <xf numFmtId="0" fontId="91" fillId="0" borderId="7" xfId="2" applyFont="1" applyBorder="1" applyAlignment="1">
      <alignment horizontal="center" vertical="center"/>
    </xf>
    <xf numFmtId="0" fontId="91" fillId="0" borderId="61" xfId="2" applyFont="1" applyBorder="1" applyAlignment="1">
      <alignment horizontal="center" vertical="center"/>
    </xf>
    <xf numFmtId="0" fontId="96" fillId="59" borderId="26" xfId="2" applyFont="1" applyFill="1" applyBorder="1" applyAlignment="1">
      <alignment horizontal="center" vertical="center" textRotation="45" wrapText="1"/>
    </xf>
    <xf numFmtId="0" fontId="96" fillId="59" borderId="31" xfId="2" applyFont="1" applyFill="1" applyBorder="1" applyAlignment="1">
      <alignment horizontal="center" vertical="center" textRotation="45" wrapText="1"/>
    </xf>
    <xf numFmtId="0" fontId="111" fillId="61" borderId="78" xfId="2" applyFont="1" applyFill="1" applyBorder="1" applyAlignment="1">
      <alignment horizontal="left" vertical="center"/>
    </xf>
    <xf numFmtId="0" fontId="111" fillId="61" borderId="107" xfId="2" applyFont="1" applyFill="1" applyBorder="1" applyAlignment="1">
      <alignment horizontal="left" vertical="center"/>
    </xf>
    <xf numFmtId="0" fontId="111" fillId="61" borderId="79" xfId="2" applyFont="1" applyFill="1" applyBorder="1" applyAlignment="1">
      <alignment horizontal="left" vertical="center"/>
    </xf>
    <xf numFmtId="0" fontId="96" fillId="49" borderId="27" xfId="2" applyFont="1" applyFill="1" applyBorder="1" applyAlignment="1">
      <alignment horizontal="center" vertical="top" wrapText="1"/>
    </xf>
    <xf numFmtId="0" fontId="96" fillId="49" borderId="24" xfId="2" applyFont="1" applyFill="1" applyBorder="1" applyAlignment="1">
      <alignment horizontal="center" vertical="top" wrapText="1"/>
    </xf>
    <xf numFmtId="0" fontId="91" fillId="0" borderId="103" xfId="2" applyFont="1" applyBorder="1" applyAlignment="1">
      <alignment horizontal="center" vertical="center"/>
    </xf>
    <xf numFmtId="0" fontId="91" fillId="0" borderId="104" xfId="2" applyFont="1" applyBorder="1" applyAlignment="1">
      <alignment horizontal="center" vertical="center"/>
    </xf>
    <xf numFmtId="0" fontId="91" fillId="0" borderId="122" xfId="2" applyFont="1" applyBorder="1" applyAlignment="1">
      <alignment horizontal="center" vertical="center"/>
    </xf>
    <xf numFmtId="0" fontId="91" fillId="0" borderId="128" xfId="2" applyFont="1" applyBorder="1" applyAlignment="1">
      <alignment horizontal="center" vertical="center"/>
    </xf>
    <xf numFmtId="0" fontId="91" fillId="0" borderId="48" xfId="2" applyFont="1" applyBorder="1" applyAlignment="1">
      <alignment horizontal="center" vertical="center"/>
    </xf>
    <xf numFmtId="3" fontId="91" fillId="49" borderId="23" xfId="0" applyNumberFormat="1" applyFont="1" applyFill="1" applyBorder="1" applyAlignment="1">
      <alignment horizontal="center" vertical="center"/>
    </xf>
    <xf numFmtId="3" fontId="91" fillId="49" borderId="25" xfId="0" applyNumberFormat="1" applyFont="1" applyFill="1" applyBorder="1" applyAlignment="1">
      <alignment horizontal="center" vertical="center"/>
    </xf>
    <xf numFmtId="0" fontId="96" fillId="49" borderId="61" xfId="2" applyFont="1" applyFill="1" applyBorder="1" applyAlignment="1">
      <alignment horizontal="center" vertical="center" wrapText="1"/>
    </xf>
    <xf numFmtId="0" fontId="96" fillId="49" borderId="129" xfId="2" applyFont="1" applyFill="1" applyBorder="1" applyAlignment="1">
      <alignment horizontal="center" vertical="center" wrapText="1"/>
    </xf>
    <xf numFmtId="0" fontId="91" fillId="0" borderId="108" xfId="2" applyFont="1" applyBorder="1" applyAlignment="1">
      <alignment horizontal="center" vertical="center" wrapText="1"/>
    </xf>
    <xf numFmtId="0" fontId="91" fillId="55" borderId="41" xfId="2" applyFont="1" applyFill="1" applyBorder="1" applyAlignment="1">
      <alignment horizontal="center" vertical="center" wrapText="1"/>
    </xf>
    <xf numFmtId="0" fontId="91" fillId="55" borderId="0" xfId="2" applyFont="1" applyFill="1" applyBorder="1" applyAlignment="1">
      <alignment horizontal="center" vertical="center" wrapText="1"/>
    </xf>
    <xf numFmtId="0" fontId="96" fillId="49" borderId="103" xfId="2" applyFont="1" applyFill="1" applyBorder="1" applyAlignment="1">
      <alignment horizontal="center" vertical="center" wrapText="1"/>
    </xf>
    <xf numFmtId="0" fontId="91" fillId="57" borderId="114" xfId="2" applyFont="1" applyFill="1" applyBorder="1" applyAlignment="1">
      <alignment horizontal="center" vertical="center"/>
    </xf>
    <xf numFmtId="0" fontId="91" fillId="57" borderId="115" xfId="2" applyFont="1" applyFill="1" applyBorder="1" applyAlignment="1">
      <alignment horizontal="center" vertical="center"/>
    </xf>
    <xf numFmtId="0" fontId="111" fillId="61" borderId="88" xfId="2" applyFont="1" applyFill="1" applyBorder="1" applyAlignment="1">
      <alignment horizontal="left" vertical="center"/>
    </xf>
    <xf numFmtId="0" fontId="111" fillId="61" borderId="121" xfId="2" applyFont="1" applyFill="1" applyBorder="1" applyAlignment="1">
      <alignment horizontal="left" vertical="center"/>
    </xf>
    <xf numFmtId="0" fontId="111" fillId="61" borderId="93" xfId="2" applyFont="1" applyFill="1" applyBorder="1" applyAlignment="1">
      <alignment horizontal="left" vertical="center"/>
    </xf>
    <xf numFmtId="0" fontId="91" fillId="45" borderId="114" xfId="2" applyFont="1" applyFill="1" applyBorder="1" applyAlignment="1">
      <alignment horizontal="left" vertical="center" wrapText="1"/>
    </xf>
    <xf numFmtId="0" fontId="91" fillId="0" borderId="102" xfId="2" applyFont="1" applyBorder="1" applyAlignment="1">
      <alignment horizontal="center" vertical="center"/>
    </xf>
    <xf numFmtId="0" fontId="96" fillId="49" borderId="122" xfId="2" applyFont="1" applyFill="1" applyBorder="1" applyAlignment="1">
      <alignment horizontal="center" vertical="center" wrapText="1"/>
    </xf>
    <xf numFmtId="0" fontId="96" fillId="49" borderId="29" xfId="2" applyFont="1" applyFill="1" applyBorder="1" applyAlignment="1">
      <alignment horizontal="center" vertical="center" wrapText="1"/>
    </xf>
    <xf numFmtId="0" fontId="91" fillId="0" borderId="88" xfId="2" applyFont="1" applyBorder="1" applyAlignment="1">
      <alignment horizontal="center" vertical="center" wrapText="1"/>
    </xf>
    <xf numFmtId="0" fontId="91" fillId="0" borderId="121" xfId="2" applyFont="1" applyBorder="1" applyAlignment="1">
      <alignment horizontal="center" vertical="center" wrapText="1"/>
    </xf>
    <xf numFmtId="0" fontId="91" fillId="0" borderId="104" xfId="2" applyFont="1" applyBorder="1" applyAlignment="1">
      <alignment horizontal="center" vertical="center" wrapText="1"/>
    </xf>
    <xf numFmtId="0" fontId="91" fillId="0" borderId="94" xfId="2" applyFont="1" applyBorder="1" applyAlignment="1">
      <alignment horizontal="center" vertical="center" wrapText="1"/>
    </xf>
    <xf numFmtId="0" fontId="91" fillId="0" borderId="0" xfId="2" applyFont="1" applyBorder="1" applyAlignment="1">
      <alignment horizontal="center" vertical="center"/>
    </xf>
    <xf numFmtId="0" fontId="91" fillId="0" borderId="29" xfId="2" applyFont="1" applyBorder="1" applyAlignment="1">
      <alignment horizontal="center" vertical="center"/>
    </xf>
    <xf numFmtId="0" fontId="96" fillId="49" borderId="128" xfId="2" applyFont="1" applyFill="1" applyBorder="1" applyAlignment="1">
      <alignment horizontal="center" vertical="center" wrapText="1"/>
    </xf>
    <xf numFmtId="0" fontId="96" fillId="49" borderId="28" xfId="2" applyFont="1" applyFill="1" applyBorder="1" applyAlignment="1">
      <alignment horizontal="center" vertical="center" wrapText="1"/>
    </xf>
    <xf numFmtId="0" fontId="91" fillId="0" borderId="47" xfId="2" applyFont="1" applyBorder="1" applyAlignment="1">
      <alignment horizontal="center" vertical="center"/>
    </xf>
    <xf numFmtId="0" fontId="96" fillId="59" borderId="28" xfId="2" applyFont="1" applyFill="1" applyBorder="1" applyAlignment="1">
      <alignment horizontal="center" vertical="center" wrapText="1"/>
    </xf>
    <xf numFmtId="0" fontId="96" fillId="59" borderId="30" xfId="2" applyFont="1" applyFill="1" applyBorder="1" applyAlignment="1">
      <alignment horizontal="center" vertical="center" wrapText="1"/>
    </xf>
    <xf numFmtId="0" fontId="96" fillId="59" borderId="0" xfId="2" applyFont="1" applyFill="1" applyBorder="1" applyAlignment="1">
      <alignment horizontal="center" vertical="center" wrapText="1"/>
    </xf>
    <xf numFmtId="0" fontId="96" fillId="59" borderId="29" xfId="2" applyFont="1" applyFill="1" applyBorder="1" applyAlignment="1">
      <alignment horizontal="center" vertical="center" wrapText="1"/>
    </xf>
    <xf numFmtId="0" fontId="96" fillId="59" borderId="23" xfId="2" applyFont="1" applyFill="1" applyBorder="1" applyAlignment="1">
      <alignment horizontal="center" vertical="center" wrapText="1"/>
    </xf>
    <xf numFmtId="0" fontId="96" fillId="59" borderId="25" xfId="2" applyFont="1" applyFill="1" applyBorder="1" applyAlignment="1">
      <alignment horizontal="center" vertical="center" wrapText="1"/>
    </xf>
    <xf numFmtId="0" fontId="98" fillId="58" borderId="43" xfId="2" applyFont="1" applyFill="1" applyBorder="1" applyAlignment="1">
      <alignment horizontal="center" vertical="center" textRotation="45" wrapText="1"/>
    </xf>
    <xf numFmtId="0" fontId="98" fillId="58" borderId="45" xfId="2" applyFont="1" applyFill="1" applyBorder="1" applyAlignment="1">
      <alignment horizontal="center" vertical="center" textRotation="45" wrapText="1"/>
    </xf>
    <xf numFmtId="0" fontId="91" fillId="0" borderId="53" xfId="2" applyFont="1" applyBorder="1" applyAlignment="1">
      <alignment horizontal="center" vertical="center" wrapText="1"/>
    </xf>
    <xf numFmtId="0" fontId="91" fillId="0" borderId="23" xfId="2" applyFont="1" applyBorder="1" applyAlignment="1">
      <alignment horizontal="center" vertical="center" wrapText="1"/>
    </xf>
    <xf numFmtId="0" fontId="91" fillId="0" borderId="47" xfId="2" applyFont="1" applyBorder="1" applyAlignment="1">
      <alignment horizontal="center" vertical="center" wrapText="1"/>
    </xf>
    <xf numFmtId="0" fontId="96" fillId="59" borderId="44" xfId="2" applyFont="1" applyFill="1" applyBorder="1" applyAlignment="1">
      <alignment horizontal="center" vertical="center" textRotation="45" wrapText="1"/>
    </xf>
    <xf numFmtId="0" fontId="98" fillId="58" borderId="41" xfId="2" applyFont="1" applyFill="1" applyBorder="1" applyAlignment="1">
      <alignment horizontal="center" vertical="center" textRotation="45" wrapText="1"/>
    </xf>
    <xf numFmtId="0" fontId="96" fillId="49" borderId="7" xfId="2" applyFont="1" applyFill="1" applyBorder="1" applyAlignment="1">
      <alignment horizontal="center" vertical="center" wrapText="1"/>
    </xf>
    <xf numFmtId="0" fontId="96" fillId="49" borderId="54" xfId="2" applyFont="1" applyFill="1" applyBorder="1" applyAlignment="1">
      <alignment horizontal="center" vertical="center" wrapText="1"/>
    </xf>
    <xf numFmtId="0" fontId="96" fillId="49" borderId="64" xfId="2" applyFont="1" applyFill="1" applyBorder="1" applyAlignment="1">
      <alignment horizontal="center" vertical="center" wrapText="1"/>
    </xf>
    <xf numFmtId="0" fontId="91" fillId="55" borderId="42" xfId="2" applyFont="1" applyFill="1" applyBorder="1" applyAlignment="1">
      <alignment horizontal="center" vertical="center" wrapText="1"/>
    </xf>
    <xf numFmtId="0" fontId="91" fillId="55" borderId="28" xfId="2" applyFont="1" applyFill="1" applyBorder="1" applyAlignment="1">
      <alignment horizontal="center" vertical="center" wrapText="1"/>
    </xf>
    <xf numFmtId="0" fontId="91" fillId="57" borderId="114" xfId="2" applyFont="1" applyFill="1" applyBorder="1" applyAlignment="1">
      <alignment horizontal="center" vertical="center" wrapText="1"/>
    </xf>
    <xf numFmtId="0" fontId="91" fillId="57" borderId="115" xfId="2" applyFont="1" applyFill="1" applyBorder="1" applyAlignment="1">
      <alignment horizontal="center" vertical="center" wrapText="1"/>
    </xf>
    <xf numFmtId="0" fontId="111" fillId="61" borderId="121" xfId="2" applyFont="1" applyFill="1" applyBorder="1" applyAlignment="1">
      <alignment horizontal="center" vertical="center"/>
    </xf>
    <xf numFmtId="0" fontId="111" fillId="61" borderId="93" xfId="2" applyFont="1" applyFill="1" applyBorder="1" applyAlignment="1">
      <alignment horizontal="center" vertical="center"/>
    </xf>
    <xf numFmtId="0" fontId="111" fillId="61" borderId="114" xfId="2" applyFont="1" applyFill="1" applyBorder="1" applyAlignment="1">
      <alignment horizontal="left" vertical="center"/>
    </xf>
    <xf numFmtId="0" fontId="91" fillId="0" borderId="0" xfId="2" applyFont="1" applyBorder="1" applyAlignment="1">
      <alignment horizontal="center" vertical="center" wrapText="1"/>
    </xf>
    <xf numFmtId="0" fontId="91" fillId="0" borderId="38" xfId="2" applyFont="1" applyBorder="1" applyAlignment="1">
      <alignment horizontal="center" vertical="center" wrapText="1"/>
    </xf>
    <xf numFmtId="0" fontId="96" fillId="49" borderId="89" xfId="2" applyFont="1" applyFill="1" applyBorder="1" applyAlignment="1">
      <alignment horizontal="center" vertical="center" wrapText="1"/>
    </xf>
    <xf numFmtId="0" fontId="96" fillId="49" borderId="123" xfId="2" applyFont="1" applyFill="1" applyBorder="1" applyAlignment="1">
      <alignment horizontal="center" vertical="center" wrapText="1"/>
    </xf>
    <xf numFmtId="0" fontId="96" fillId="49" borderId="124" xfId="2" applyFont="1" applyFill="1" applyBorder="1" applyAlignment="1">
      <alignment horizontal="center" vertical="center" wrapText="1"/>
    </xf>
    <xf numFmtId="0" fontId="91" fillId="0" borderId="49" xfId="2" applyFont="1" applyBorder="1" applyAlignment="1">
      <alignment horizontal="center" vertical="center" wrapText="1"/>
    </xf>
    <xf numFmtId="0" fontId="91" fillId="55" borderId="23" xfId="2" applyFont="1" applyFill="1" applyBorder="1" applyAlignment="1">
      <alignment horizontal="center" vertical="center" wrapText="1"/>
    </xf>
    <xf numFmtId="0" fontId="91" fillId="57" borderId="0" xfId="2" applyFont="1" applyFill="1" applyBorder="1" applyAlignment="1">
      <alignment horizontal="center" vertical="center"/>
    </xf>
    <xf numFmtId="0" fontId="91" fillId="57" borderId="38" xfId="2" applyFont="1" applyFill="1" applyBorder="1" applyAlignment="1">
      <alignment horizontal="center" vertical="center"/>
    </xf>
    <xf numFmtId="0" fontId="96" fillId="49" borderId="117" xfId="2" applyFont="1" applyFill="1" applyBorder="1" applyAlignment="1">
      <alignment horizontal="center" vertical="top" wrapText="1"/>
    </xf>
    <xf numFmtId="0" fontId="96" fillId="49" borderId="118" xfId="2" applyFont="1" applyFill="1" applyBorder="1" applyAlignment="1">
      <alignment horizontal="center" vertical="top" wrapText="1"/>
    </xf>
    <xf numFmtId="0" fontId="98" fillId="58" borderId="28" xfId="2" applyFont="1" applyFill="1" applyBorder="1" applyAlignment="1">
      <alignment horizontal="center" vertical="center" textRotation="45" wrapText="1"/>
    </xf>
    <xf numFmtId="0" fontId="98" fillId="58" borderId="0" xfId="2" applyFont="1" applyFill="1" applyBorder="1" applyAlignment="1">
      <alignment horizontal="center" vertical="center" textRotation="45" wrapText="1"/>
    </xf>
    <xf numFmtId="0" fontId="98" fillId="58" borderId="27" xfId="2" applyFont="1" applyFill="1" applyBorder="1" applyAlignment="1">
      <alignment horizontal="center" vertical="center" textRotation="45" wrapText="1"/>
    </xf>
    <xf numFmtId="0" fontId="98" fillId="58" borderId="7" xfId="2" applyFont="1" applyFill="1" applyBorder="1" applyAlignment="1">
      <alignment horizontal="center" vertical="center" textRotation="45" wrapText="1"/>
    </xf>
    <xf numFmtId="0" fontId="111" fillId="61" borderId="125" xfId="2" applyFont="1" applyFill="1" applyBorder="1" applyAlignment="1">
      <alignment vertical="center"/>
    </xf>
    <xf numFmtId="0" fontId="111" fillId="61" borderId="114" xfId="2" applyFont="1" applyFill="1" applyBorder="1" applyAlignment="1">
      <alignment vertical="center"/>
    </xf>
    <xf numFmtId="0" fontId="111" fillId="61" borderId="127" xfId="2" applyFont="1" applyFill="1" applyBorder="1" applyAlignment="1">
      <alignment vertical="center"/>
    </xf>
    <xf numFmtId="0" fontId="91" fillId="0" borderId="25" xfId="2" applyFont="1" applyBorder="1" applyAlignment="1">
      <alignment horizontal="center" vertical="center" wrapText="1"/>
    </xf>
    <xf numFmtId="0" fontId="96" fillId="49" borderId="105" xfId="2" applyFont="1" applyFill="1" applyBorder="1" applyAlignment="1">
      <alignment horizontal="center" vertical="center" wrapText="1"/>
    </xf>
    <xf numFmtId="0" fontId="91" fillId="0" borderId="44" xfId="2" applyFont="1" applyBorder="1" applyAlignment="1">
      <alignment horizontal="center" vertical="center"/>
    </xf>
    <xf numFmtId="0" fontId="91" fillId="0" borderId="106" xfId="2" applyFont="1" applyBorder="1" applyAlignment="1">
      <alignment horizontal="center" vertical="center"/>
    </xf>
    <xf numFmtId="0" fontId="111" fillId="61" borderId="127" xfId="2" applyFont="1" applyFill="1" applyBorder="1" applyAlignment="1">
      <alignment horizontal="left" vertical="center"/>
    </xf>
    <xf numFmtId="0" fontId="91" fillId="0" borderId="31" xfId="2" applyFont="1" applyBorder="1" applyAlignment="1">
      <alignment horizontal="center" vertical="center"/>
    </xf>
    <xf numFmtId="0" fontId="98" fillId="58" borderId="23" xfId="2" applyFont="1" applyFill="1" applyBorder="1" applyAlignment="1">
      <alignment horizontal="center" vertical="center" textRotation="45" wrapText="1"/>
    </xf>
    <xf numFmtId="0" fontId="98" fillId="58" borderId="30" xfId="2" applyFont="1" applyFill="1" applyBorder="1" applyAlignment="1">
      <alignment horizontal="center" vertical="center" textRotation="45" wrapText="1"/>
    </xf>
    <xf numFmtId="0" fontId="98" fillId="58" borderId="29" xfId="2" applyFont="1" applyFill="1" applyBorder="1" applyAlignment="1">
      <alignment horizontal="center" vertical="center" textRotation="45" wrapText="1"/>
    </xf>
    <xf numFmtId="0" fontId="98" fillId="58" borderId="25" xfId="2" applyFont="1" applyFill="1" applyBorder="1" applyAlignment="1">
      <alignment horizontal="center" vertical="center" textRotation="45" wrapText="1"/>
    </xf>
    <xf numFmtId="0" fontId="98" fillId="58" borderId="24" xfId="2" applyFont="1" applyFill="1" applyBorder="1" applyAlignment="1">
      <alignment horizontal="center" vertical="center" textRotation="45" wrapText="1"/>
    </xf>
    <xf numFmtId="0" fontId="91" fillId="0" borderId="50" xfId="2" applyFont="1" applyBorder="1" applyAlignment="1">
      <alignment horizontal="center" vertical="center" wrapText="1"/>
    </xf>
    <xf numFmtId="0" fontId="96" fillId="49" borderId="42" xfId="2" applyFont="1" applyFill="1" applyBorder="1" applyAlignment="1">
      <alignment horizontal="center" vertical="top" wrapText="1"/>
    </xf>
    <xf numFmtId="0" fontId="96" fillId="49" borderId="53" xfId="2" applyFont="1" applyFill="1" applyBorder="1" applyAlignment="1">
      <alignment horizontal="center" vertical="top" wrapText="1"/>
    </xf>
    <xf numFmtId="0" fontId="91" fillId="45" borderId="0" xfId="2" applyFont="1" applyFill="1" applyBorder="1" applyAlignment="1">
      <alignment horizontal="left" vertical="center" wrapText="1"/>
    </xf>
    <xf numFmtId="0" fontId="96" fillId="49" borderId="0" xfId="2" applyFont="1" applyFill="1" applyBorder="1" applyAlignment="1">
      <alignment horizontal="center" vertical="top" wrapText="1"/>
    </xf>
    <xf numFmtId="0" fontId="91" fillId="57" borderId="0" xfId="2" applyFont="1" applyFill="1" applyBorder="1" applyAlignment="1">
      <alignment horizontal="center" vertical="center" wrapText="1"/>
    </xf>
    <xf numFmtId="0" fontId="91" fillId="57" borderId="38" xfId="2" applyFont="1" applyFill="1" applyBorder="1" applyAlignment="1">
      <alignment horizontal="center" vertical="center" wrapText="1"/>
    </xf>
    <xf numFmtId="0" fontId="91" fillId="0" borderId="55" xfId="2" applyFont="1" applyBorder="1" applyAlignment="1">
      <alignment horizontal="center" vertical="center" wrapText="1"/>
    </xf>
    <xf numFmtId="0" fontId="100" fillId="60" borderId="52" xfId="2" applyFont="1" applyFill="1" applyBorder="1" applyAlignment="1">
      <alignment horizontal="left" vertical="center"/>
    </xf>
    <xf numFmtId="0" fontId="100" fillId="60" borderId="50" xfId="2" applyFont="1" applyFill="1" applyBorder="1" applyAlignment="1">
      <alignment horizontal="left" vertical="center"/>
    </xf>
    <xf numFmtId="0" fontId="100" fillId="60" borderId="49" xfId="2" applyFont="1" applyFill="1" applyBorder="1" applyAlignment="1">
      <alignment horizontal="left" vertical="center"/>
    </xf>
    <xf numFmtId="0" fontId="91" fillId="0" borderId="27" xfId="2" applyFont="1" applyBorder="1" applyAlignment="1">
      <alignment horizontal="center" vertical="center"/>
    </xf>
    <xf numFmtId="0" fontId="91" fillId="0" borderId="52" xfId="2" applyFont="1" applyBorder="1" applyAlignment="1">
      <alignment horizontal="center" vertical="center"/>
    </xf>
    <xf numFmtId="0" fontId="91" fillId="0" borderId="50" xfId="2" applyFont="1" applyBorder="1" applyAlignment="1">
      <alignment horizontal="center" vertical="center"/>
    </xf>
    <xf numFmtId="0" fontId="91" fillId="0" borderId="49" xfId="2" applyFont="1" applyBorder="1" applyAlignment="1">
      <alignment horizontal="center" vertical="center"/>
    </xf>
    <xf numFmtId="0" fontId="92" fillId="61" borderId="35" xfId="0" applyFont="1" applyFill="1" applyBorder="1" applyAlignment="1">
      <alignment horizontal="center" vertical="center" wrapText="1"/>
    </xf>
    <xf numFmtId="0" fontId="92" fillId="61" borderId="37" xfId="0" applyFont="1" applyFill="1" applyBorder="1" applyAlignment="1">
      <alignment horizontal="center" vertical="center" wrapText="1"/>
    </xf>
    <xf numFmtId="0" fontId="92" fillId="61" borderId="36" xfId="0" applyFont="1" applyFill="1" applyBorder="1" applyAlignment="1">
      <alignment horizontal="center" vertical="center" wrapText="1"/>
    </xf>
    <xf numFmtId="0" fontId="92" fillId="61" borderId="33" xfId="0" applyFont="1" applyFill="1" applyBorder="1" applyAlignment="1">
      <alignment horizontal="center" vertical="center" wrapText="1"/>
    </xf>
    <xf numFmtId="0" fontId="92" fillId="61" borderId="34" xfId="0" applyFont="1" applyFill="1" applyBorder="1" applyAlignment="1">
      <alignment horizontal="center" vertical="center" wrapText="1"/>
    </xf>
    <xf numFmtId="0" fontId="92" fillId="61" borderId="33" xfId="0" applyFont="1" applyFill="1" applyBorder="1" applyAlignment="1">
      <alignment horizontal="center"/>
    </xf>
    <xf numFmtId="0" fontId="92" fillId="61" borderId="34" xfId="0" applyFont="1" applyFill="1" applyBorder="1" applyAlignment="1">
      <alignment horizontal="center"/>
    </xf>
    <xf numFmtId="0" fontId="92" fillId="61" borderId="32" xfId="0" applyFont="1" applyFill="1" applyBorder="1" applyAlignment="1">
      <alignment horizontal="center" vertical="center" wrapText="1"/>
    </xf>
    <xf numFmtId="0" fontId="112" fillId="61" borderId="0" xfId="2" applyFont="1" applyFill="1" applyBorder="1" applyAlignment="1">
      <alignment horizontal="left" vertical="center"/>
    </xf>
    <xf numFmtId="0" fontId="112" fillId="57" borderId="0" xfId="0" applyFont="1" applyFill="1" applyBorder="1" applyAlignment="1">
      <alignment horizontal="center"/>
    </xf>
    <xf numFmtId="0" fontId="112" fillId="55" borderId="41" xfId="0" applyFont="1" applyFill="1" applyBorder="1" applyAlignment="1">
      <alignment horizontal="center"/>
    </xf>
    <xf numFmtId="0" fontId="112" fillId="55" borderId="0" xfId="0" applyFont="1" applyFill="1" applyBorder="1" applyAlignment="1">
      <alignment horizontal="center"/>
    </xf>
    <xf numFmtId="0" fontId="22" fillId="49" borderId="52" xfId="0" applyFont="1" applyFill="1" applyBorder="1" applyAlignment="1">
      <alignment horizontal="left" wrapText="1"/>
    </xf>
    <xf numFmtId="0" fontId="22" fillId="49" borderId="50" xfId="0" applyFont="1" applyFill="1" applyBorder="1" applyAlignment="1">
      <alignment horizontal="left" wrapText="1"/>
    </xf>
    <xf numFmtId="0" fontId="22" fillId="49" borderId="49" xfId="0" applyFont="1" applyFill="1" applyBorder="1" applyAlignment="1">
      <alignment horizontal="left" wrapText="1"/>
    </xf>
    <xf numFmtId="0" fontId="22" fillId="49" borderId="26" xfId="0" applyFont="1" applyFill="1" applyBorder="1" applyAlignment="1">
      <alignment horizontal="left" vertical="top" wrapText="1"/>
    </xf>
    <xf numFmtId="0" fontId="22" fillId="49" borderId="44" xfId="0" applyFont="1" applyFill="1" applyBorder="1" applyAlignment="1">
      <alignment horizontal="left" vertical="top" wrapText="1"/>
    </xf>
    <xf numFmtId="0" fontId="22" fillId="49" borderId="31" xfId="0" applyFont="1" applyFill="1" applyBorder="1" applyAlignment="1">
      <alignment horizontal="left" vertical="top" wrapText="1"/>
    </xf>
    <xf numFmtId="3" fontId="0" fillId="45" borderId="32" xfId="0" applyNumberFormat="1" applyFont="1" applyFill="1" applyBorder="1" applyAlignment="1" applyProtection="1">
      <alignment horizontal="left" vertical="center"/>
      <protection locked="0"/>
    </xf>
  </cellXfs>
  <cellStyles count="3044">
    <cellStyle name=" 1" xfId="10" xr:uid="{00000000-0005-0000-0000-000000000000}"/>
    <cellStyle name="##" xfId="11" xr:uid="{00000000-0005-0000-0000-000001000000}"/>
    <cellStyle name="%" xfId="12" xr:uid="{00000000-0005-0000-0000-000002000000}"/>
    <cellStyle name="]_x000d__x000a_Zoomed=1_x000d__x000a_Row=0_x000d__x000a_Column=0_x000d__x000a_Height=0_x000d__x000a_Width=0_x000d__x000a_FontName=FoxFont_x000d__x000a_FontStyle=0_x000d__x000a_FontSize=9_x000d__x000a_PrtFontName=FoxPrin" xfId="13" xr:uid="{00000000-0005-0000-0000-000003000000}"/>
    <cellStyle name="]_x000d__x000a_Zoomed=1_x000d__x000a_Row=0_x000d__x000a_Column=0_x000d__x000a_Height=0_x000d__x000a_Width=0_x000d__x000a_FontName=FoxFont_x000d__x000a_FontStyle=0_x000d__x000a_FontSize=9_x000d__x000a_PrtFontName=FoxPrin 2" xfId="14" xr:uid="{00000000-0005-0000-0000-000004000000}"/>
    <cellStyle name="_Column1" xfId="15" xr:uid="{00000000-0005-0000-0000-000005000000}"/>
    <cellStyle name="_Column1 2" xfId="16" xr:uid="{00000000-0005-0000-0000-000006000000}"/>
    <cellStyle name="_Column2" xfId="17" xr:uid="{00000000-0005-0000-0000-000007000000}"/>
    <cellStyle name="_Column3" xfId="18" xr:uid="{00000000-0005-0000-0000-000008000000}"/>
    <cellStyle name="_Column4" xfId="19" xr:uid="{00000000-0005-0000-0000-000009000000}"/>
    <cellStyle name="_Column5" xfId="20" xr:uid="{00000000-0005-0000-0000-00000A000000}"/>
    <cellStyle name="_Column6" xfId="21" xr:uid="{00000000-0005-0000-0000-00000B000000}"/>
    <cellStyle name="_Column7" xfId="22" xr:uid="{00000000-0005-0000-0000-00000C000000}"/>
    <cellStyle name="_Data" xfId="23" xr:uid="{00000000-0005-0000-0000-00000D000000}"/>
    <cellStyle name="_Data 2" xfId="24" xr:uid="{00000000-0005-0000-0000-00000E000000}"/>
    <cellStyle name="_Header" xfId="25" xr:uid="{00000000-0005-0000-0000-00000F000000}"/>
    <cellStyle name="_Row1" xfId="26" xr:uid="{00000000-0005-0000-0000-000010000000}"/>
    <cellStyle name="_Row1 2" xfId="27" xr:uid="{00000000-0005-0000-0000-000011000000}"/>
    <cellStyle name="_Row2" xfId="28" xr:uid="{00000000-0005-0000-0000-000012000000}"/>
    <cellStyle name="_Row3" xfId="29" xr:uid="{00000000-0005-0000-0000-000013000000}"/>
    <cellStyle name="_Row4" xfId="30" xr:uid="{00000000-0005-0000-0000-000014000000}"/>
    <cellStyle name="_Row4 2" xfId="31" xr:uid="{00000000-0005-0000-0000-000015000000}"/>
    <cellStyle name="_Row5" xfId="32" xr:uid="{00000000-0005-0000-0000-000016000000}"/>
    <cellStyle name="_Row6" xfId="33" xr:uid="{00000000-0005-0000-0000-000017000000}"/>
    <cellStyle name="_Row7" xfId="34" xr:uid="{00000000-0005-0000-0000-000018000000}"/>
    <cellStyle name="20% - Accent1 2" xfId="35" xr:uid="{00000000-0005-0000-0000-000019000000}"/>
    <cellStyle name="20% - Accent1 2 2" xfId="36" xr:uid="{00000000-0005-0000-0000-00001A000000}"/>
    <cellStyle name="20% - Accent1 2 3" xfId="37" xr:uid="{00000000-0005-0000-0000-00001B000000}"/>
    <cellStyle name="20% - Accent1 3" xfId="38" xr:uid="{00000000-0005-0000-0000-00001C000000}"/>
    <cellStyle name="20% - Accent1 3 2" xfId="39" xr:uid="{00000000-0005-0000-0000-00001D000000}"/>
    <cellStyle name="20% - Accent1 4" xfId="40" xr:uid="{00000000-0005-0000-0000-00001E000000}"/>
    <cellStyle name="20% - Accent2 2" xfId="41" xr:uid="{00000000-0005-0000-0000-00001F000000}"/>
    <cellStyle name="20% - Accent2 2 2" xfId="42" xr:uid="{00000000-0005-0000-0000-000020000000}"/>
    <cellStyle name="20% - Accent2 2 3" xfId="43" xr:uid="{00000000-0005-0000-0000-000021000000}"/>
    <cellStyle name="20% - Accent2 3" xfId="44" xr:uid="{00000000-0005-0000-0000-000022000000}"/>
    <cellStyle name="20% - Accent2 3 2" xfId="45" xr:uid="{00000000-0005-0000-0000-000023000000}"/>
    <cellStyle name="20% - Accent3 2" xfId="46" xr:uid="{00000000-0005-0000-0000-000024000000}"/>
    <cellStyle name="20% - Accent3 2 2" xfId="47" xr:uid="{00000000-0005-0000-0000-000025000000}"/>
    <cellStyle name="20% - Accent3 2 3" xfId="48" xr:uid="{00000000-0005-0000-0000-000026000000}"/>
    <cellStyle name="20% - Accent3 3" xfId="49" xr:uid="{00000000-0005-0000-0000-000027000000}"/>
    <cellStyle name="20% - Accent3 3 2" xfId="50" xr:uid="{00000000-0005-0000-0000-000028000000}"/>
    <cellStyle name="20% - Accent4 2" xfId="51" xr:uid="{00000000-0005-0000-0000-000029000000}"/>
    <cellStyle name="20% - Accent4 2 2" xfId="52" xr:uid="{00000000-0005-0000-0000-00002A000000}"/>
    <cellStyle name="20% - Accent4 2 3" xfId="53" xr:uid="{00000000-0005-0000-0000-00002B000000}"/>
    <cellStyle name="20% - Accent4 3" xfId="54" xr:uid="{00000000-0005-0000-0000-00002C000000}"/>
    <cellStyle name="20% - Accent4 3 2" xfId="55" xr:uid="{00000000-0005-0000-0000-00002D000000}"/>
    <cellStyle name="20% - Accent5 2" xfId="56" xr:uid="{00000000-0005-0000-0000-00002E000000}"/>
    <cellStyle name="20% - Accent5 2 2" xfId="57" xr:uid="{00000000-0005-0000-0000-00002F000000}"/>
    <cellStyle name="20% - Accent5 2 3" xfId="58" xr:uid="{00000000-0005-0000-0000-000030000000}"/>
    <cellStyle name="20% - Accent5 3" xfId="59" xr:uid="{00000000-0005-0000-0000-000031000000}"/>
    <cellStyle name="20% - Accent5 3 2" xfId="60" xr:uid="{00000000-0005-0000-0000-000032000000}"/>
    <cellStyle name="20% - Accent6 2" xfId="61" xr:uid="{00000000-0005-0000-0000-000033000000}"/>
    <cellStyle name="20% - Accent6 2 2" xfId="62" xr:uid="{00000000-0005-0000-0000-000034000000}"/>
    <cellStyle name="20% - Accent6 2 3" xfId="63" xr:uid="{00000000-0005-0000-0000-000035000000}"/>
    <cellStyle name="20% - Accent6 3" xfId="64" xr:uid="{00000000-0005-0000-0000-000036000000}"/>
    <cellStyle name="20% - Accent6 3 2" xfId="65" xr:uid="{00000000-0005-0000-0000-000037000000}"/>
    <cellStyle name="40% - Accent1 2" xfId="66" xr:uid="{00000000-0005-0000-0000-000038000000}"/>
    <cellStyle name="40% - Accent1 2 2" xfId="67" xr:uid="{00000000-0005-0000-0000-000039000000}"/>
    <cellStyle name="40% - Accent1 2 3" xfId="68" xr:uid="{00000000-0005-0000-0000-00003A000000}"/>
    <cellStyle name="40% - Accent1 3" xfId="69" xr:uid="{00000000-0005-0000-0000-00003B000000}"/>
    <cellStyle name="40% - Accent1 3 2" xfId="70" xr:uid="{00000000-0005-0000-0000-00003C000000}"/>
    <cellStyle name="40% - Accent1 4" xfId="71" xr:uid="{00000000-0005-0000-0000-00003D000000}"/>
    <cellStyle name="40% - Accent1 5" xfId="72" xr:uid="{00000000-0005-0000-0000-00003E000000}"/>
    <cellStyle name="40% - Accent1 6" xfId="73" xr:uid="{00000000-0005-0000-0000-00003F000000}"/>
    <cellStyle name="40% - Accent1 7" xfId="74" xr:uid="{00000000-0005-0000-0000-000040000000}"/>
    <cellStyle name="40% - Accent2 2" xfId="75" xr:uid="{00000000-0005-0000-0000-000041000000}"/>
    <cellStyle name="40% - Accent2 2 2" xfId="76" xr:uid="{00000000-0005-0000-0000-000042000000}"/>
    <cellStyle name="40% - Accent2 2 3" xfId="77" xr:uid="{00000000-0005-0000-0000-000043000000}"/>
    <cellStyle name="40% - Accent2 3" xfId="78" xr:uid="{00000000-0005-0000-0000-000044000000}"/>
    <cellStyle name="40% - Accent2 3 2" xfId="79" xr:uid="{00000000-0005-0000-0000-000045000000}"/>
    <cellStyle name="40% - Accent3 2" xfId="80" xr:uid="{00000000-0005-0000-0000-000046000000}"/>
    <cellStyle name="40% - Accent3 2 2" xfId="81" xr:uid="{00000000-0005-0000-0000-000047000000}"/>
    <cellStyle name="40% - Accent3 2 3" xfId="82" xr:uid="{00000000-0005-0000-0000-000048000000}"/>
    <cellStyle name="40% - Accent3 3" xfId="83" xr:uid="{00000000-0005-0000-0000-000049000000}"/>
    <cellStyle name="40% - Accent3 3 2" xfId="84" xr:uid="{00000000-0005-0000-0000-00004A000000}"/>
    <cellStyle name="40% - Accent4 2" xfId="85" xr:uid="{00000000-0005-0000-0000-00004B000000}"/>
    <cellStyle name="40% - Accent4 2 2" xfId="86" xr:uid="{00000000-0005-0000-0000-00004C000000}"/>
    <cellStyle name="40% - Accent4 2 3" xfId="87" xr:uid="{00000000-0005-0000-0000-00004D000000}"/>
    <cellStyle name="40% - Accent4 3" xfId="88" xr:uid="{00000000-0005-0000-0000-00004E000000}"/>
    <cellStyle name="40% - Accent4 3 2" xfId="89" xr:uid="{00000000-0005-0000-0000-00004F000000}"/>
    <cellStyle name="40% - Accent5 2" xfId="90" xr:uid="{00000000-0005-0000-0000-000050000000}"/>
    <cellStyle name="40% - Accent5 2 2" xfId="91" xr:uid="{00000000-0005-0000-0000-000051000000}"/>
    <cellStyle name="40% - Accent5 2 3" xfId="92" xr:uid="{00000000-0005-0000-0000-000052000000}"/>
    <cellStyle name="40% - Accent5 3" xfId="93" xr:uid="{00000000-0005-0000-0000-000053000000}"/>
    <cellStyle name="40% - Accent5 3 2" xfId="94" xr:uid="{00000000-0005-0000-0000-000054000000}"/>
    <cellStyle name="40% - Accent6 2" xfId="95" xr:uid="{00000000-0005-0000-0000-000055000000}"/>
    <cellStyle name="40% - Accent6 2 2" xfId="96" xr:uid="{00000000-0005-0000-0000-000056000000}"/>
    <cellStyle name="40% - Accent6 2 3" xfId="97" xr:uid="{00000000-0005-0000-0000-000057000000}"/>
    <cellStyle name="40% - Accent6 3" xfId="98" xr:uid="{00000000-0005-0000-0000-000058000000}"/>
    <cellStyle name="40% - Accent6 3 2" xfId="99" xr:uid="{00000000-0005-0000-0000-000059000000}"/>
    <cellStyle name="60% - Accent1 2" xfId="100" xr:uid="{00000000-0005-0000-0000-00005A000000}"/>
    <cellStyle name="60% - Accent1 2 2" xfId="101" xr:uid="{00000000-0005-0000-0000-00005B000000}"/>
    <cellStyle name="60% - Accent1 3" xfId="102" xr:uid="{00000000-0005-0000-0000-00005C000000}"/>
    <cellStyle name="60% - Accent1 4" xfId="103" xr:uid="{00000000-0005-0000-0000-00005D000000}"/>
    <cellStyle name="60% - Accent2 2" xfId="104" xr:uid="{00000000-0005-0000-0000-00005E000000}"/>
    <cellStyle name="60% - Accent2 2 2" xfId="105" xr:uid="{00000000-0005-0000-0000-00005F000000}"/>
    <cellStyle name="60% - Accent2 3" xfId="106" xr:uid="{00000000-0005-0000-0000-000060000000}"/>
    <cellStyle name="60% - Accent3 2" xfId="107" xr:uid="{00000000-0005-0000-0000-000061000000}"/>
    <cellStyle name="60% - Accent3 2 2" xfId="108" xr:uid="{00000000-0005-0000-0000-000062000000}"/>
    <cellStyle name="60% - Accent3 3" xfId="109" xr:uid="{00000000-0005-0000-0000-000063000000}"/>
    <cellStyle name="60% - Accent4 2" xfId="110" xr:uid="{00000000-0005-0000-0000-000064000000}"/>
    <cellStyle name="60% - Accent4 2 2" xfId="111" xr:uid="{00000000-0005-0000-0000-000065000000}"/>
    <cellStyle name="60% - Accent4 3" xfId="112" xr:uid="{00000000-0005-0000-0000-000066000000}"/>
    <cellStyle name="60% - Accent5 2" xfId="113" xr:uid="{00000000-0005-0000-0000-000067000000}"/>
    <cellStyle name="60% - Accent5 2 2" xfId="114" xr:uid="{00000000-0005-0000-0000-000068000000}"/>
    <cellStyle name="60% - Accent5 3" xfId="115" xr:uid="{00000000-0005-0000-0000-000069000000}"/>
    <cellStyle name="60% - Accent6 2" xfId="116" xr:uid="{00000000-0005-0000-0000-00006A000000}"/>
    <cellStyle name="60% - Accent6 2 2" xfId="117" xr:uid="{00000000-0005-0000-0000-00006B000000}"/>
    <cellStyle name="60% - Accent6 3" xfId="118" xr:uid="{00000000-0005-0000-0000-00006C000000}"/>
    <cellStyle name="Accent1 2" xfId="119" xr:uid="{00000000-0005-0000-0000-00006D000000}"/>
    <cellStyle name="Accent1 2 2" xfId="120" xr:uid="{00000000-0005-0000-0000-00006E000000}"/>
    <cellStyle name="Accent1 3" xfId="121" xr:uid="{00000000-0005-0000-0000-00006F000000}"/>
    <cellStyle name="Accent2 2" xfId="122" xr:uid="{00000000-0005-0000-0000-000070000000}"/>
    <cellStyle name="Accent2 2 2" xfId="123" xr:uid="{00000000-0005-0000-0000-000071000000}"/>
    <cellStyle name="Accent2 3" xfId="124" xr:uid="{00000000-0005-0000-0000-000072000000}"/>
    <cellStyle name="Accent3 2" xfId="125" xr:uid="{00000000-0005-0000-0000-000073000000}"/>
    <cellStyle name="Accent3 2 2" xfId="126" xr:uid="{00000000-0005-0000-0000-000074000000}"/>
    <cellStyle name="Accent3 3" xfId="127" xr:uid="{00000000-0005-0000-0000-000075000000}"/>
    <cellStyle name="Accent4 2" xfId="128" xr:uid="{00000000-0005-0000-0000-000076000000}"/>
    <cellStyle name="Accent4 2 2" xfId="129" xr:uid="{00000000-0005-0000-0000-000077000000}"/>
    <cellStyle name="Accent4 3" xfId="130" xr:uid="{00000000-0005-0000-0000-000078000000}"/>
    <cellStyle name="Accent5 2" xfId="131" xr:uid="{00000000-0005-0000-0000-000079000000}"/>
    <cellStyle name="Accent5 2 2" xfId="132" xr:uid="{00000000-0005-0000-0000-00007A000000}"/>
    <cellStyle name="Accent5 3" xfId="133" xr:uid="{00000000-0005-0000-0000-00007B000000}"/>
    <cellStyle name="Accent6 2" xfId="134" xr:uid="{00000000-0005-0000-0000-00007C000000}"/>
    <cellStyle name="Accent6 2 2" xfId="135" xr:uid="{00000000-0005-0000-0000-00007D000000}"/>
    <cellStyle name="Accent6 3" xfId="136" xr:uid="{00000000-0005-0000-0000-00007E000000}"/>
    <cellStyle name="Act_%1" xfId="137" xr:uid="{00000000-0005-0000-0000-00007F000000}"/>
    <cellStyle name="Auto fill" xfId="138" xr:uid="{00000000-0005-0000-0000-000080000000}"/>
    <cellStyle name="Bad 2" xfId="139" xr:uid="{00000000-0005-0000-0000-000081000000}"/>
    <cellStyle name="Bad 2 2" xfId="140" xr:uid="{00000000-0005-0000-0000-000082000000}"/>
    <cellStyle name="Bad 3" xfId="141" xr:uid="{00000000-0005-0000-0000-000083000000}"/>
    <cellStyle name="Bl-Gr Spectrum" xfId="142" xr:uid="{00000000-0005-0000-0000-000084000000}"/>
    <cellStyle name="Bold" xfId="143" xr:uid="{00000000-0005-0000-0000-000085000000}"/>
    <cellStyle name="BoldCentered" xfId="144" xr:uid="{00000000-0005-0000-0000-000086000000}"/>
    <cellStyle name="Calculation 2" xfId="145" xr:uid="{00000000-0005-0000-0000-000087000000}"/>
    <cellStyle name="Calculation 2 2" xfId="146" xr:uid="{00000000-0005-0000-0000-000088000000}"/>
    <cellStyle name="Calculation 2 2 2" xfId="147" xr:uid="{00000000-0005-0000-0000-000089000000}"/>
    <cellStyle name="Calculation 2 2 2 2" xfId="148" xr:uid="{00000000-0005-0000-0000-00008A000000}"/>
    <cellStyle name="Calculation 2 2 2 2 2" xfId="149" xr:uid="{00000000-0005-0000-0000-00008B000000}"/>
    <cellStyle name="Calculation 2 2 2 2 2 2" xfId="150" xr:uid="{00000000-0005-0000-0000-00008C000000}"/>
    <cellStyle name="Calculation 2 2 2 2 2 3" xfId="151" xr:uid="{00000000-0005-0000-0000-00008D000000}"/>
    <cellStyle name="Calculation 2 2 2 2 2 4" xfId="152" xr:uid="{00000000-0005-0000-0000-00008E000000}"/>
    <cellStyle name="Calculation 2 2 2 2 3" xfId="153" xr:uid="{00000000-0005-0000-0000-00008F000000}"/>
    <cellStyle name="Calculation 2 2 2 2 4" xfId="154" xr:uid="{00000000-0005-0000-0000-000090000000}"/>
    <cellStyle name="Calculation 2 2 2 2 5" xfId="155" xr:uid="{00000000-0005-0000-0000-000091000000}"/>
    <cellStyle name="Calculation 2 2 2 3" xfId="156" xr:uid="{00000000-0005-0000-0000-000092000000}"/>
    <cellStyle name="Calculation 2 2 2 3 2" xfId="157" xr:uid="{00000000-0005-0000-0000-000093000000}"/>
    <cellStyle name="Calculation 2 2 2 3 2 2" xfId="158" xr:uid="{00000000-0005-0000-0000-000094000000}"/>
    <cellStyle name="Calculation 2 2 2 3 2 3" xfId="159" xr:uid="{00000000-0005-0000-0000-000095000000}"/>
    <cellStyle name="Calculation 2 2 2 3 2 4" xfId="160" xr:uid="{00000000-0005-0000-0000-000096000000}"/>
    <cellStyle name="Calculation 2 2 2 3 3" xfId="161" xr:uid="{00000000-0005-0000-0000-000097000000}"/>
    <cellStyle name="Calculation 2 2 2 3 4" xfId="162" xr:uid="{00000000-0005-0000-0000-000098000000}"/>
    <cellStyle name="Calculation 2 2 2 3 5" xfId="163" xr:uid="{00000000-0005-0000-0000-000099000000}"/>
    <cellStyle name="Calculation 2 2 2 4" xfId="164" xr:uid="{00000000-0005-0000-0000-00009A000000}"/>
    <cellStyle name="Calculation 2 2 2 4 2" xfId="165" xr:uid="{00000000-0005-0000-0000-00009B000000}"/>
    <cellStyle name="Calculation 2 2 2 4 3" xfId="166" xr:uid="{00000000-0005-0000-0000-00009C000000}"/>
    <cellStyle name="Calculation 2 2 2 4 4" xfId="167" xr:uid="{00000000-0005-0000-0000-00009D000000}"/>
    <cellStyle name="Calculation 2 2 2 5" xfId="168" xr:uid="{00000000-0005-0000-0000-00009E000000}"/>
    <cellStyle name="Calculation 2 2 2 6" xfId="169" xr:uid="{00000000-0005-0000-0000-00009F000000}"/>
    <cellStyle name="Calculation 2 2 2 7" xfId="170" xr:uid="{00000000-0005-0000-0000-0000A0000000}"/>
    <cellStyle name="Calculation 2 2 3" xfId="171" xr:uid="{00000000-0005-0000-0000-0000A1000000}"/>
    <cellStyle name="Calculation 2 2 3 2" xfId="172" xr:uid="{00000000-0005-0000-0000-0000A2000000}"/>
    <cellStyle name="Calculation 2 2 3 2 2" xfId="173" xr:uid="{00000000-0005-0000-0000-0000A3000000}"/>
    <cellStyle name="Calculation 2 2 3 2 2 2" xfId="174" xr:uid="{00000000-0005-0000-0000-0000A4000000}"/>
    <cellStyle name="Calculation 2 2 3 2 2 3" xfId="175" xr:uid="{00000000-0005-0000-0000-0000A5000000}"/>
    <cellStyle name="Calculation 2 2 3 2 2 4" xfId="176" xr:uid="{00000000-0005-0000-0000-0000A6000000}"/>
    <cellStyle name="Calculation 2 2 3 2 3" xfId="177" xr:uid="{00000000-0005-0000-0000-0000A7000000}"/>
    <cellStyle name="Calculation 2 2 3 2 4" xfId="178" xr:uid="{00000000-0005-0000-0000-0000A8000000}"/>
    <cellStyle name="Calculation 2 2 3 2 5" xfId="179" xr:uid="{00000000-0005-0000-0000-0000A9000000}"/>
    <cellStyle name="Calculation 2 2 3 3" xfId="180" xr:uid="{00000000-0005-0000-0000-0000AA000000}"/>
    <cellStyle name="Calculation 2 2 3 3 2" xfId="181" xr:uid="{00000000-0005-0000-0000-0000AB000000}"/>
    <cellStyle name="Calculation 2 2 3 3 2 2" xfId="182" xr:uid="{00000000-0005-0000-0000-0000AC000000}"/>
    <cellStyle name="Calculation 2 2 3 3 2 3" xfId="183" xr:uid="{00000000-0005-0000-0000-0000AD000000}"/>
    <cellStyle name="Calculation 2 2 3 3 2 4" xfId="184" xr:uid="{00000000-0005-0000-0000-0000AE000000}"/>
    <cellStyle name="Calculation 2 2 3 3 3" xfId="185" xr:uid="{00000000-0005-0000-0000-0000AF000000}"/>
    <cellStyle name="Calculation 2 2 3 3 4" xfId="186" xr:uid="{00000000-0005-0000-0000-0000B0000000}"/>
    <cellStyle name="Calculation 2 2 3 3 5" xfId="187" xr:uid="{00000000-0005-0000-0000-0000B1000000}"/>
    <cellStyle name="Calculation 2 2 3 4" xfId="188" xr:uid="{00000000-0005-0000-0000-0000B2000000}"/>
    <cellStyle name="Calculation 2 2 3 4 2" xfId="189" xr:uid="{00000000-0005-0000-0000-0000B3000000}"/>
    <cellStyle name="Calculation 2 2 3 4 3" xfId="190" xr:uid="{00000000-0005-0000-0000-0000B4000000}"/>
    <cellStyle name="Calculation 2 2 3 4 4" xfId="191" xr:uid="{00000000-0005-0000-0000-0000B5000000}"/>
    <cellStyle name="Calculation 2 2 3 5" xfId="192" xr:uid="{00000000-0005-0000-0000-0000B6000000}"/>
    <cellStyle name="Calculation 2 2 3 6" xfId="193" xr:uid="{00000000-0005-0000-0000-0000B7000000}"/>
    <cellStyle name="Calculation 2 2 3 7" xfId="194" xr:uid="{00000000-0005-0000-0000-0000B8000000}"/>
    <cellStyle name="Calculation 2 2 4" xfId="195" xr:uid="{00000000-0005-0000-0000-0000B9000000}"/>
    <cellStyle name="Calculation 2 2 4 2" xfId="196" xr:uid="{00000000-0005-0000-0000-0000BA000000}"/>
    <cellStyle name="Calculation 2 2 4 2 2" xfId="197" xr:uid="{00000000-0005-0000-0000-0000BB000000}"/>
    <cellStyle name="Calculation 2 2 4 2 2 2" xfId="198" xr:uid="{00000000-0005-0000-0000-0000BC000000}"/>
    <cellStyle name="Calculation 2 2 4 2 2 3" xfId="199" xr:uid="{00000000-0005-0000-0000-0000BD000000}"/>
    <cellStyle name="Calculation 2 2 4 2 2 4" xfId="200" xr:uid="{00000000-0005-0000-0000-0000BE000000}"/>
    <cellStyle name="Calculation 2 2 4 2 3" xfId="201" xr:uid="{00000000-0005-0000-0000-0000BF000000}"/>
    <cellStyle name="Calculation 2 2 4 2 4" xfId="202" xr:uid="{00000000-0005-0000-0000-0000C0000000}"/>
    <cellStyle name="Calculation 2 2 4 2 5" xfId="203" xr:uid="{00000000-0005-0000-0000-0000C1000000}"/>
    <cellStyle name="Calculation 2 2 4 3" xfId="204" xr:uid="{00000000-0005-0000-0000-0000C2000000}"/>
    <cellStyle name="Calculation 2 2 4 3 2" xfId="205" xr:uid="{00000000-0005-0000-0000-0000C3000000}"/>
    <cellStyle name="Calculation 2 2 4 3 2 2" xfId="206" xr:uid="{00000000-0005-0000-0000-0000C4000000}"/>
    <cellStyle name="Calculation 2 2 4 3 2 3" xfId="207" xr:uid="{00000000-0005-0000-0000-0000C5000000}"/>
    <cellStyle name="Calculation 2 2 4 3 2 4" xfId="208" xr:uid="{00000000-0005-0000-0000-0000C6000000}"/>
    <cellStyle name="Calculation 2 2 4 3 3" xfId="209" xr:uid="{00000000-0005-0000-0000-0000C7000000}"/>
    <cellStyle name="Calculation 2 2 4 3 4" xfId="210" xr:uid="{00000000-0005-0000-0000-0000C8000000}"/>
    <cellStyle name="Calculation 2 2 4 3 5" xfId="211" xr:uid="{00000000-0005-0000-0000-0000C9000000}"/>
    <cellStyle name="Calculation 2 2 4 4" xfId="212" xr:uid="{00000000-0005-0000-0000-0000CA000000}"/>
    <cellStyle name="Calculation 2 2 4 4 2" xfId="213" xr:uid="{00000000-0005-0000-0000-0000CB000000}"/>
    <cellStyle name="Calculation 2 2 4 4 3" xfId="214" xr:uid="{00000000-0005-0000-0000-0000CC000000}"/>
    <cellStyle name="Calculation 2 2 4 4 4" xfId="215" xr:uid="{00000000-0005-0000-0000-0000CD000000}"/>
    <cellStyle name="Calculation 2 2 4 5" xfId="216" xr:uid="{00000000-0005-0000-0000-0000CE000000}"/>
    <cellStyle name="Calculation 2 2 4 6" xfId="217" xr:uid="{00000000-0005-0000-0000-0000CF000000}"/>
    <cellStyle name="Calculation 2 2 4 7" xfId="218" xr:uid="{00000000-0005-0000-0000-0000D0000000}"/>
    <cellStyle name="Calculation 2 2 5" xfId="219" xr:uid="{00000000-0005-0000-0000-0000D1000000}"/>
    <cellStyle name="Calculation 2 2 5 2" xfId="220" xr:uid="{00000000-0005-0000-0000-0000D2000000}"/>
    <cellStyle name="Calculation 2 2 5 2 2" xfId="221" xr:uid="{00000000-0005-0000-0000-0000D3000000}"/>
    <cellStyle name="Calculation 2 2 5 2 3" xfId="222" xr:uid="{00000000-0005-0000-0000-0000D4000000}"/>
    <cellStyle name="Calculation 2 2 5 2 4" xfId="223" xr:uid="{00000000-0005-0000-0000-0000D5000000}"/>
    <cellStyle name="Calculation 2 2 5 3" xfId="224" xr:uid="{00000000-0005-0000-0000-0000D6000000}"/>
    <cellStyle name="Calculation 2 2 5 4" xfId="225" xr:uid="{00000000-0005-0000-0000-0000D7000000}"/>
    <cellStyle name="Calculation 2 2 5 5" xfId="226" xr:uid="{00000000-0005-0000-0000-0000D8000000}"/>
    <cellStyle name="Calculation 2 2 6" xfId="227" xr:uid="{00000000-0005-0000-0000-0000D9000000}"/>
    <cellStyle name="Calculation 2 2 6 2" xfId="228" xr:uid="{00000000-0005-0000-0000-0000DA000000}"/>
    <cellStyle name="Calculation 2 2 6 2 2" xfId="229" xr:uid="{00000000-0005-0000-0000-0000DB000000}"/>
    <cellStyle name="Calculation 2 2 6 2 3" xfId="230" xr:uid="{00000000-0005-0000-0000-0000DC000000}"/>
    <cellStyle name="Calculation 2 2 6 2 4" xfId="231" xr:uid="{00000000-0005-0000-0000-0000DD000000}"/>
    <cellStyle name="Calculation 2 2 6 3" xfId="232" xr:uid="{00000000-0005-0000-0000-0000DE000000}"/>
    <cellStyle name="Calculation 2 2 6 4" xfId="233" xr:uid="{00000000-0005-0000-0000-0000DF000000}"/>
    <cellStyle name="Calculation 2 2 6 5" xfId="234" xr:uid="{00000000-0005-0000-0000-0000E0000000}"/>
    <cellStyle name="Calculation 2 2 7" xfId="235" xr:uid="{00000000-0005-0000-0000-0000E1000000}"/>
    <cellStyle name="Calculation 2 3" xfId="236" xr:uid="{00000000-0005-0000-0000-0000E2000000}"/>
    <cellStyle name="Calculation 2 3 2" xfId="237" xr:uid="{00000000-0005-0000-0000-0000E3000000}"/>
    <cellStyle name="Calculation 2 3 2 2" xfId="238" xr:uid="{00000000-0005-0000-0000-0000E4000000}"/>
    <cellStyle name="Calculation 2 3 2 2 2" xfId="239" xr:uid="{00000000-0005-0000-0000-0000E5000000}"/>
    <cellStyle name="Calculation 2 3 2 2 3" xfId="240" xr:uid="{00000000-0005-0000-0000-0000E6000000}"/>
    <cellStyle name="Calculation 2 3 2 2 4" xfId="241" xr:uid="{00000000-0005-0000-0000-0000E7000000}"/>
    <cellStyle name="Calculation 2 3 2 3" xfId="242" xr:uid="{00000000-0005-0000-0000-0000E8000000}"/>
    <cellStyle name="Calculation 2 3 2 4" xfId="243" xr:uid="{00000000-0005-0000-0000-0000E9000000}"/>
    <cellStyle name="Calculation 2 3 2 5" xfId="244" xr:uid="{00000000-0005-0000-0000-0000EA000000}"/>
    <cellStyle name="Calculation 2 3 3" xfId="245" xr:uid="{00000000-0005-0000-0000-0000EB000000}"/>
    <cellStyle name="Calculation 2 3 3 2" xfId="246" xr:uid="{00000000-0005-0000-0000-0000EC000000}"/>
    <cellStyle name="Calculation 2 3 3 2 2" xfId="247" xr:uid="{00000000-0005-0000-0000-0000ED000000}"/>
    <cellStyle name="Calculation 2 3 3 2 3" xfId="248" xr:uid="{00000000-0005-0000-0000-0000EE000000}"/>
    <cellStyle name="Calculation 2 3 3 2 4" xfId="249" xr:uid="{00000000-0005-0000-0000-0000EF000000}"/>
    <cellStyle name="Calculation 2 3 3 3" xfId="250" xr:uid="{00000000-0005-0000-0000-0000F0000000}"/>
    <cellStyle name="Calculation 2 3 3 4" xfId="251" xr:uid="{00000000-0005-0000-0000-0000F1000000}"/>
    <cellStyle name="Calculation 2 3 3 5" xfId="252" xr:uid="{00000000-0005-0000-0000-0000F2000000}"/>
    <cellStyle name="Calculation 2 3 4" xfId="253" xr:uid="{00000000-0005-0000-0000-0000F3000000}"/>
    <cellStyle name="Calculation 2 3 4 2" xfId="254" xr:uid="{00000000-0005-0000-0000-0000F4000000}"/>
    <cellStyle name="Calculation 2 3 4 3" xfId="255" xr:uid="{00000000-0005-0000-0000-0000F5000000}"/>
    <cellStyle name="Calculation 2 3 4 4" xfId="256" xr:uid="{00000000-0005-0000-0000-0000F6000000}"/>
    <cellStyle name="Calculation 2 3 5" xfId="257" xr:uid="{00000000-0005-0000-0000-0000F7000000}"/>
    <cellStyle name="Calculation 2 3 6" xfId="258" xr:uid="{00000000-0005-0000-0000-0000F8000000}"/>
    <cellStyle name="Calculation 2 3 7" xfId="259" xr:uid="{00000000-0005-0000-0000-0000F9000000}"/>
    <cellStyle name="Calculation 2 4" xfId="260" xr:uid="{00000000-0005-0000-0000-0000FA000000}"/>
    <cellStyle name="Calculation 2 4 2" xfId="261" xr:uid="{00000000-0005-0000-0000-0000FB000000}"/>
    <cellStyle name="Calculation 2 4 2 2" xfId="262" xr:uid="{00000000-0005-0000-0000-0000FC000000}"/>
    <cellStyle name="Calculation 2 4 2 2 2" xfId="263" xr:uid="{00000000-0005-0000-0000-0000FD000000}"/>
    <cellStyle name="Calculation 2 4 2 2 3" xfId="264" xr:uid="{00000000-0005-0000-0000-0000FE000000}"/>
    <cellStyle name="Calculation 2 4 2 2 4" xfId="265" xr:uid="{00000000-0005-0000-0000-0000FF000000}"/>
    <cellStyle name="Calculation 2 4 2 3" xfId="266" xr:uid="{00000000-0005-0000-0000-000000010000}"/>
    <cellStyle name="Calculation 2 4 2 4" xfId="267" xr:uid="{00000000-0005-0000-0000-000001010000}"/>
    <cellStyle name="Calculation 2 4 2 5" xfId="268" xr:uid="{00000000-0005-0000-0000-000002010000}"/>
    <cellStyle name="Calculation 2 4 3" xfId="269" xr:uid="{00000000-0005-0000-0000-000003010000}"/>
    <cellStyle name="Calculation 2 4 3 2" xfId="270" xr:uid="{00000000-0005-0000-0000-000004010000}"/>
    <cellStyle name="Calculation 2 4 3 2 2" xfId="271" xr:uid="{00000000-0005-0000-0000-000005010000}"/>
    <cellStyle name="Calculation 2 4 3 2 3" xfId="272" xr:uid="{00000000-0005-0000-0000-000006010000}"/>
    <cellStyle name="Calculation 2 4 3 2 4" xfId="273" xr:uid="{00000000-0005-0000-0000-000007010000}"/>
    <cellStyle name="Calculation 2 4 3 3" xfId="274" xr:uid="{00000000-0005-0000-0000-000008010000}"/>
    <cellStyle name="Calculation 2 4 3 4" xfId="275" xr:uid="{00000000-0005-0000-0000-000009010000}"/>
    <cellStyle name="Calculation 2 4 3 5" xfId="276" xr:uid="{00000000-0005-0000-0000-00000A010000}"/>
    <cellStyle name="Calculation 2 4 4" xfId="277" xr:uid="{00000000-0005-0000-0000-00000B010000}"/>
    <cellStyle name="Calculation 2 4 4 2" xfId="278" xr:uid="{00000000-0005-0000-0000-00000C010000}"/>
    <cellStyle name="Calculation 2 4 4 3" xfId="279" xr:uid="{00000000-0005-0000-0000-00000D010000}"/>
    <cellStyle name="Calculation 2 4 4 4" xfId="280" xr:uid="{00000000-0005-0000-0000-00000E010000}"/>
    <cellStyle name="Calculation 2 4 5" xfId="281" xr:uid="{00000000-0005-0000-0000-00000F010000}"/>
    <cellStyle name="Calculation 2 4 6" xfId="282" xr:uid="{00000000-0005-0000-0000-000010010000}"/>
    <cellStyle name="Calculation 2 4 7" xfId="283" xr:uid="{00000000-0005-0000-0000-000011010000}"/>
    <cellStyle name="Calculation 2 5" xfId="284" xr:uid="{00000000-0005-0000-0000-000012010000}"/>
    <cellStyle name="Calculation 2 5 2" xfId="285" xr:uid="{00000000-0005-0000-0000-000013010000}"/>
    <cellStyle name="Calculation 2 5 2 2" xfId="286" xr:uid="{00000000-0005-0000-0000-000014010000}"/>
    <cellStyle name="Calculation 2 5 2 2 2" xfId="287" xr:uid="{00000000-0005-0000-0000-000015010000}"/>
    <cellStyle name="Calculation 2 5 2 2 3" xfId="288" xr:uid="{00000000-0005-0000-0000-000016010000}"/>
    <cellStyle name="Calculation 2 5 2 2 4" xfId="289" xr:uid="{00000000-0005-0000-0000-000017010000}"/>
    <cellStyle name="Calculation 2 5 2 3" xfId="290" xr:uid="{00000000-0005-0000-0000-000018010000}"/>
    <cellStyle name="Calculation 2 5 2 4" xfId="291" xr:uid="{00000000-0005-0000-0000-000019010000}"/>
    <cellStyle name="Calculation 2 5 2 5" xfId="292" xr:uid="{00000000-0005-0000-0000-00001A010000}"/>
    <cellStyle name="Calculation 2 5 3" xfId="293" xr:uid="{00000000-0005-0000-0000-00001B010000}"/>
    <cellStyle name="Calculation 2 5 3 2" xfId="294" xr:uid="{00000000-0005-0000-0000-00001C010000}"/>
    <cellStyle name="Calculation 2 5 3 2 2" xfId="295" xr:uid="{00000000-0005-0000-0000-00001D010000}"/>
    <cellStyle name="Calculation 2 5 3 2 3" xfId="296" xr:uid="{00000000-0005-0000-0000-00001E010000}"/>
    <cellStyle name="Calculation 2 5 3 2 4" xfId="297" xr:uid="{00000000-0005-0000-0000-00001F010000}"/>
    <cellStyle name="Calculation 2 5 3 3" xfId="298" xr:uid="{00000000-0005-0000-0000-000020010000}"/>
    <cellStyle name="Calculation 2 5 3 4" xfId="299" xr:uid="{00000000-0005-0000-0000-000021010000}"/>
    <cellStyle name="Calculation 2 5 3 5" xfId="300" xr:uid="{00000000-0005-0000-0000-000022010000}"/>
    <cellStyle name="Calculation 2 5 4" xfId="301" xr:uid="{00000000-0005-0000-0000-000023010000}"/>
    <cellStyle name="Calculation 2 5 4 2" xfId="302" xr:uid="{00000000-0005-0000-0000-000024010000}"/>
    <cellStyle name="Calculation 2 5 4 3" xfId="303" xr:uid="{00000000-0005-0000-0000-000025010000}"/>
    <cellStyle name="Calculation 2 5 4 4" xfId="304" xr:uid="{00000000-0005-0000-0000-000026010000}"/>
    <cellStyle name="Calculation 2 5 5" xfId="305" xr:uid="{00000000-0005-0000-0000-000027010000}"/>
    <cellStyle name="Calculation 2 5 6" xfId="306" xr:uid="{00000000-0005-0000-0000-000028010000}"/>
    <cellStyle name="Calculation 2 5 7" xfId="307" xr:uid="{00000000-0005-0000-0000-000029010000}"/>
    <cellStyle name="Calculation 2 6" xfId="308" xr:uid="{00000000-0005-0000-0000-00002A010000}"/>
    <cellStyle name="Calculation 2 7" xfId="309" xr:uid="{00000000-0005-0000-0000-00002B010000}"/>
    <cellStyle name="Calculation 2 8" xfId="310" xr:uid="{00000000-0005-0000-0000-00002C010000}"/>
    <cellStyle name="Calculation 3" xfId="311" xr:uid="{00000000-0005-0000-0000-00002D010000}"/>
    <cellStyle name="Calculation 3 2" xfId="312" xr:uid="{00000000-0005-0000-0000-00002E010000}"/>
    <cellStyle name="Calculation 3 2 2" xfId="313" xr:uid="{00000000-0005-0000-0000-00002F010000}"/>
    <cellStyle name="Calculation 3 2 2 2" xfId="314" xr:uid="{00000000-0005-0000-0000-000030010000}"/>
    <cellStyle name="Calculation 3 2 2 2 2" xfId="315" xr:uid="{00000000-0005-0000-0000-000031010000}"/>
    <cellStyle name="Calculation 3 2 2 2 2 2" xfId="316" xr:uid="{00000000-0005-0000-0000-000032010000}"/>
    <cellStyle name="Calculation 3 2 2 2 2 3" xfId="317" xr:uid="{00000000-0005-0000-0000-000033010000}"/>
    <cellStyle name="Calculation 3 2 2 2 2 4" xfId="318" xr:uid="{00000000-0005-0000-0000-000034010000}"/>
    <cellStyle name="Calculation 3 2 2 2 3" xfId="319" xr:uid="{00000000-0005-0000-0000-000035010000}"/>
    <cellStyle name="Calculation 3 2 2 2 4" xfId="320" xr:uid="{00000000-0005-0000-0000-000036010000}"/>
    <cellStyle name="Calculation 3 2 2 2 5" xfId="321" xr:uid="{00000000-0005-0000-0000-000037010000}"/>
    <cellStyle name="Calculation 3 2 2 3" xfId="322" xr:uid="{00000000-0005-0000-0000-000038010000}"/>
    <cellStyle name="Calculation 3 2 2 3 2" xfId="323" xr:uid="{00000000-0005-0000-0000-000039010000}"/>
    <cellStyle name="Calculation 3 2 2 3 2 2" xfId="324" xr:uid="{00000000-0005-0000-0000-00003A010000}"/>
    <cellStyle name="Calculation 3 2 2 3 2 3" xfId="325" xr:uid="{00000000-0005-0000-0000-00003B010000}"/>
    <cellStyle name="Calculation 3 2 2 3 2 4" xfId="326" xr:uid="{00000000-0005-0000-0000-00003C010000}"/>
    <cellStyle name="Calculation 3 2 2 3 3" xfId="327" xr:uid="{00000000-0005-0000-0000-00003D010000}"/>
    <cellStyle name="Calculation 3 2 2 3 4" xfId="328" xr:uid="{00000000-0005-0000-0000-00003E010000}"/>
    <cellStyle name="Calculation 3 2 2 3 5" xfId="329" xr:uid="{00000000-0005-0000-0000-00003F010000}"/>
    <cellStyle name="Calculation 3 2 2 4" xfId="330" xr:uid="{00000000-0005-0000-0000-000040010000}"/>
    <cellStyle name="Calculation 3 2 2 4 2" xfId="331" xr:uid="{00000000-0005-0000-0000-000041010000}"/>
    <cellStyle name="Calculation 3 2 2 4 3" xfId="332" xr:uid="{00000000-0005-0000-0000-000042010000}"/>
    <cellStyle name="Calculation 3 2 2 4 4" xfId="333" xr:uid="{00000000-0005-0000-0000-000043010000}"/>
    <cellStyle name="Calculation 3 2 2 5" xfId="334" xr:uid="{00000000-0005-0000-0000-000044010000}"/>
    <cellStyle name="Calculation 3 2 2 6" xfId="335" xr:uid="{00000000-0005-0000-0000-000045010000}"/>
    <cellStyle name="Calculation 3 2 2 7" xfId="336" xr:uid="{00000000-0005-0000-0000-000046010000}"/>
    <cellStyle name="Calculation 3 2 3" xfId="337" xr:uid="{00000000-0005-0000-0000-000047010000}"/>
    <cellStyle name="Calculation 3 2 3 2" xfId="338" xr:uid="{00000000-0005-0000-0000-000048010000}"/>
    <cellStyle name="Calculation 3 2 3 2 2" xfId="339" xr:uid="{00000000-0005-0000-0000-000049010000}"/>
    <cellStyle name="Calculation 3 2 3 2 2 2" xfId="340" xr:uid="{00000000-0005-0000-0000-00004A010000}"/>
    <cellStyle name="Calculation 3 2 3 2 2 3" xfId="341" xr:uid="{00000000-0005-0000-0000-00004B010000}"/>
    <cellStyle name="Calculation 3 2 3 2 2 4" xfId="342" xr:uid="{00000000-0005-0000-0000-00004C010000}"/>
    <cellStyle name="Calculation 3 2 3 2 3" xfId="343" xr:uid="{00000000-0005-0000-0000-00004D010000}"/>
    <cellStyle name="Calculation 3 2 3 2 4" xfId="344" xr:uid="{00000000-0005-0000-0000-00004E010000}"/>
    <cellStyle name="Calculation 3 2 3 2 5" xfId="345" xr:uid="{00000000-0005-0000-0000-00004F010000}"/>
    <cellStyle name="Calculation 3 2 3 3" xfId="346" xr:uid="{00000000-0005-0000-0000-000050010000}"/>
    <cellStyle name="Calculation 3 2 3 3 2" xfId="347" xr:uid="{00000000-0005-0000-0000-000051010000}"/>
    <cellStyle name="Calculation 3 2 3 3 2 2" xfId="348" xr:uid="{00000000-0005-0000-0000-000052010000}"/>
    <cellStyle name="Calculation 3 2 3 3 2 3" xfId="349" xr:uid="{00000000-0005-0000-0000-000053010000}"/>
    <cellStyle name="Calculation 3 2 3 3 2 4" xfId="350" xr:uid="{00000000-0005-0000-0000-000054010000}"/>
    <cellStyle name="Calculation 3 2 3 3 3" xfId="351" xr:uid="{00000000-0005-0000-0000-000055010000}"/>
    <cellStyle name="Calculation 3 2 3 3 4" xfId="352" xr:uid="{00000000-0005-0000-0000-000056010000}"/>
    <cellStyle name="Calculation 3 2 3 3 5" xfId="353" xr:uid="{00000000-0005-0000-0000-000057010000}"/>
    <cellStyle name="Calculation 3 2 3 4" xfId="354" xr:uid="{00000000-0005-0000-0000-000058010000}"/>
    <cellStyle name="Calculation 3 2 3 4 2" xfId="355" xr:uid="{00000000-0005-0000-0000-000059010000}"/>
    <cellStyle name="Calculation 3 2 3 4 3" xfId="356" xr:uid="{00000000-0005-0000-0000-00005A010000}"/>
    <cellStyle name="Calculation 3 2 3 4 4" xfId="357" xr:uid="{00000000-0005-0000-0000-00005B010000}"/>
    <cellStyle name="Calculation 3 2 3 5" xfId="358" xr:uid="{00000000-0005-0000-0000-00005C010000}"/>
    <cellStyle name="Calculation 3 2 3 6" xfId="359" xr:uid="{00000000-0005-0000-0000-00005D010000}"/>
    <cellStyle name="Calculation 3 2 3 7" xfId="360" xr:uid="{00000000-0005-0000-0000-00005E010000}"/>
    <cellStyle name="Calculation 3 2 4" xfId="361" xr:uid="{00000000-0005-0000-0000-00005F010000}"/>
    <cellStyle name="Calculation 3 2 4 2" xfId="362" xr:uid="{00000000-0005-0000-0000-000060010000}"/>
    <cellStyle name="Calculation 3 2 4 2 2" xfId="363" xr:uid="{00000000-0005-0000-0000-000061010000}"/>
    <cellStyle name="Calculation 3 2 4 2 2 2" xfId="364" xr:uid="{00000000-0005-0000-0000-000062010000}"/>
    <cellStyle name="Calculation 3 2 4 2 2 3" xfId="365" xr:uid="{00000000-0005-0000-0000-000063010000}"/>
    <cellStyle name="Calculation 3 2 4 2 2 4" xfId="366" xr:uid="{00000000-0005-0000-0000-000064010000}"/>
    <cellStyle name="Calculation 3 2 4 2 3" xfId="367" xr:uid="{00000000-0005-0000-0000-000065010000}"/>
    <cellStyle name="Calculation 3 2 4 2 4" xfId="368" xr:uid="{00000000-0005-0000-0000-000066010000}"/>
    <cellStyle name="Calculation 3 2 4 2 5" xfId="369" xr:uid="{00000000-0005-0000-0000-000067010000}"/>
    <cellStyle name="Calculation 3 2 4 3" xfId="370" xr:uid="{00000000-0005-0000-0000-000068010000}"/>
    <cellStyle name="Calculation 3 2 4 3 2" xfId="371" xr:uid="{00000000-0005-0000-0000-000069010000}"/>
    <cellStyle name="Calculation 3 2 4 3 2 2" xfId="372" xr:uid="{00000000-0005-0000-0000-00006A010000}"/>
    <cellStyle name="Calculation 3 2 4 3 2 3" xfId="373" xr:uid="{00000000-0005-0000-0000-00006B010000}"/>
    <cellStyle name="Calculation 3 2 4 3 2 4" xfId="374" xr:uid="{00000000-0005-0000-0000-00006C010000}"/>
    <cellStyle name="Calculation 3 2 4 3 3" xfId="375" xr:uid="{00000000-0005-0000-0000-00006D010000}"/>
    <cellStyle name="Calculation 3 2 4 3 4" xfId="376" xr:uid="{00000000-0005-0000-0000-00006E010000}"/>
    <cellStyle name="Calculation 3 2 4 3 5" xfId="377" xr:uid="{00000000-0005-0000-0000-00006F010000}"/>
    <cellStyle name="Calculation 3 2 4 4" xfId="378" xr:uid="{00000000-0005-0000-0000-000070010000}"/>
    <cellStyle name="Calculation 3 2 4 4 2" xfId="379" xr:uid="{00000000-0005-0000-0000-000071010000}"/>
    <cellStyle name="Calculation 3 2 4 4 3" xfId="380" xr:uid="{00000000-0005-0000-0000-000072010000}"/>
    <cellStyle name="Calculation 3 2 4 4 4" xfId="381" xr:uid="{00000000-0005-0000-0000-000073010000}"/>
    <cellStyle name="Calculation 3 2 4 5" xfId="382" xr:uid="{00000000-0005-0000-0000-000074010000}"/>
    <cellStyle name="Calculation 3 2 4 6" xfId="383" xr:uid="{00000000-0005-0000-0000-000075010000}"/>
    <cellStyle name="Calculation 3 2 4 7" xfId="384" xr:uid="{00000000-0005-0000-0000-000076010000}"/>
    <cellStyle name="Calculation 3 2 5" xfId="385" xr:uid="{00000000-0005-0000-0000-000077010000}"/>
    <cellStyle name="Calculation 3 2 5 2" xfId="386" xr:uid="{00000000-0005-0000-0000-000078010000}"/>
    <cellStyle name="Calculation 3 2 5 2 2" xfId="387" xr:uid="{00000000-0005-0000-0000-000079010000}"/>
    <cellStyle name="Calculation 3 2 5 2 3" xfId="388" xr:uid="{00000000-0005-0000-0000-00007A010000}"/>
    <cellStyle name="Calculation 3 2 5 2 4" xfId="389" xr:uid="{00000000-0005-0000-0000-00007B010000}"/>
    <cellStyle name="Calculation 3 2 5 3" xfId="390" xr:uid="{00000000-0005-0000-0000-00007C010000}"/>
    <cellStyle name="Calculation 3 2 5 4" xfId="391" xr:uid="{00000000-0005-0000-0000-00007D010000}"/>
    <cellStyle name="Calculation 3 2 5 5" xfId="392" xr:uid="{00000000-0005-0000-0000-00007E010000}"/>
    <cellStyle name="Calculation 3 2 6" xfId="393" xr:uid="{00000000-0005-0000-0000-00007F010000}"/>
    <cellStyle name="Calculation 3 2 6 2" xfId="394" xr:uid="{00000000-0005-0000-0000-000080010000}"/>
    <cellStyle name="Calculation 3 2 6 2 2" xfId="395" xr:uid="{00000000-0005-0000-0000-000081010000}"/>
    <cellStyle name="Calculation 3 2 6 2 3" xfId="396" xr:uid="{00000000-0005-0000-0000-000082010000}"/>
    <cellStyle name="Calculation 3 2 6 2 4" xfId="397" xr:uid="{00000000-0005-0000-0000-000083010000}"/>
    <cellStyle name="Calculation 3 2 6 3" xfId="398" xr:uid="{00000000-0005-0000-0000-000084010000}"/>
    <cellStyle name="Calculation 3 2 6 4" xfId="399" xr:uid="{00000000-0005-0000-0000-000085010000}"/>
    <cellStyle name="Calculation 3 2 6 5" xfId="400" xr:uid="{00000000-0005-0000-0000-000086010000}"/>
    <cellStyle name="Calculation 3 2 7" xfId="401" xr:uid="{00000000-0005-0000-0000-000087010000}"/>
    <cellStyle name="Calculation 3 3" xfId="402" xr:uid="{00000000-0005-0000-0000-000088010000}"/>
    <cellStyle name="Calculation 3 3 2" xfId="403" xr:uid="{00000000-0005-0000-0000-000089010000}"/>
    <cellStyle name="Calculation 3 3 2 2" xfId="404" xr:uid="{00000000-0005-0000-0000-00008A010000}"/>
    <cellStyle name="Calculation 3 3 2 2 2" xfId="405" xr:uid="{00000000-0005-0000-0000-00008B010000}"/>
    <cellStyle name="Calculation 3 3 2 2 3" xfId="406" xr:uid="{00000000-0005-0000-0000-00008C010000}"/>
    <cellStyle name="Calculation 3 3 2 2 4" xfId="407" xr:uid="{00000000-0005-0000-0000-00008D010000}"/>
    <cellStyle name="Calculation 3 3 2 3" xfId="408" xr:uid="{00000000-0005-0000-0000-00008E010000}"/>
    <cellStyle name="Calculation 3 3 2 4" xfId="409" xr:uid="{00000000-0005-0000-0000-00008F010000}"/>
    <cellStyle name="Calculation 3 3 2 5" xfId="410" xr:uid="{00000000-0005-0000-0000-000090010000}"/>
    <cellStyle name="Calculation 3 3 3" xfId="411" xr:uid="{00000000-0005-0000-0000-000091010000}"/>
    <cellStyle name="Calculation 3 3 3 2" xfId="412" xr:uid="{00000000-0005-0000-0000-000092010000}"/>
    <cellStyle name="Calculation 3 3 3 2 2" xfId="413" xr:uid="{00000000-0005-0000-0000-000093010000}"/>
    <cellStyle name="Calculation 3 3 3 2 3" xfId="414" xr:uid="{00000000-0005-0000-0000-000094010000}"/>
    <cellStyle name="Calculation 3 3 3 2 4" xfId="415" xr:uid="{00000000-0005-0000-0000-000095010000}"/>
    <cellStyle name="Calculation 3 3 3 3" xfId="416" xr:uid="{00000000-0005-0000-0000-000096010000}"/>
    <cellStyle name="Calculation 3 3 3 4" xfId="417" xr:uid="{00000000-0005-0000-0000-000097010000}"/>
    <cellStyle name="Calculation 3 3 3 5" xfId="418" xr:uid="{00000000-0005-0000-0000-000098010000}"/>
    <cellStyle name="Calculation 3 3 4" xfId="419" xr:uid="{00000000-0005-0000-0000-000099010000}"/>
    <cellStyle name="Calculation 3 3 4 2" xfId="420" xr:uid="{00000000-0005-0000-0000-00009A010000}"/>
    <cellStyle name="Calculation 3 3 4 3" xfId="421" xr:uid="{00000000-0005-0000-0000-00009B010000}"/>
    <cellStyle name="Calculation 3 3 4 4" xfId="422" xr:uid="{00000000-0005-0000-0000-00009C010000}"/>
    <cellStyle name="Calculation 3 3 5" xfId="423" xr:uid="{00000000-0005-0000-0000-00009D010000}"/>
    <cellStyle name="Calculation 3 3 6" xfId="424" xr:uid="{00000000-0005-0000-0000-00009E010000}"/>
    <cellStyle name="Calculation 3 3 7" xfId="425" xr:uid="{00000000-0005-0000-0000-00009F010000}"/>
    <cellStyle name="Calculation 3 4" xfId="426" xr:uid="{00000000-0005-0000-0000-0000A0010000}"/>
    <cellStyle name="Calculation 3 4 2" xfId="427" xr:uid="{00000000-0005-0000-0000-0000A1010000}"/>
    <cellStyle name="Calculation 3 4 2 2" xfId="428" xr:uid="{00000000-0005-0000-0000-0000A2010000}"/>
    <cellStyle name="Calculation 3 4 2 2 2" xfId="429" xr:uid="{00000000-0005-0000-0000-0000A3010000}"/>
    <cellStyle name="Calculation 3 4 2 2 3" xfId="430" xr:uid="{00000000-0005-0000-0000-0000A4010000}"/>
    <cellStyle name="Calculation 3 4 2 2 4" xfId="431" xr:uid="{00000000-0005-0000-0000-0000A5010000}"/>
    <cellStyle name="Calculation 3 4 2 3" xfId="432" xr:uid="{00000000-0005-0000-0000-0000A6010000}"/>
    <cellStyle name="Calculation 3 4 2 4" xfId="433" xr:uid="{00000000-0005-0000-0000-0000A7010000}"/>
    <cellStyle name="Calculation 3 4 2 5" xfId="434" xr:uid="{00000000-0005-0000-0000-0000A8010000}"/>
    <cellStyle name="Calculation 3 4 3" xfId="435" xr:uid="{00000000-0005-0000-0000-0000A9010000}"/>
    <cellStyle name="Calculation 3 4 3 2" xfId="436" xr:uid="{00000000-0005-0000-0000-0000AA010000}"/>
    <cellStyle name="Calculation 3 4 3 2 2" xfId="437" xr:uid="{00000000-0005-0000-0000-0000AB010000}"/>
    <cellStyle name="Calculation 3 4 3 2 3" xfId="438" xr:uid="{00000000-0005-0000-0000-0000AC010000}"/>
    <cellStyle name="Calculation 3 4 3 2 4" xfId="439" xr:uid="{00000000-0005-0000-0000-0000AD010000}"/>
    <cellStyle name="Calculation 3 4 3 3" xfId="440" xr:uid="{00000000-0005-0000-0000-0000AE010000}"/>
    <cellStyle name="Calculation 3 4 3 4" xfId="441" xr:uid="{00000000-0005-0000-0000-0000AF010000}"/>
    <cellStyle name="Calculation 3 4 3 5" xfId="442" xr:uid="{00000000-0005-0000-0000-0000B0010000}"/>
    <cellStyle name="Calculation 3 4 4" xfId="443" xr:uid="{00000000-0005-0000-0000-0000B1010000}"/>
    <cellStyle name="Calculation 3 4 4 2" xfId="444" xr:uid="{00000000-0005-0000-0000-0000B2010000}"/>
    <cellStyle name="Calculation 3 4 4 3" xfId="445" xr:uid="{00000000-0005-0000-0000-0000B3010000}"/>
    <cellStyle name="Calculation 3 4 4 4" xfId="446" xr:uid="{00000000-0005-0000-0000-0000B4010000}"/>
    <cellStyle name="Calculation 3 4 5" xfId="447" xr:uid="{00000000-0005-0000-0000-0000B5010000}"/>
    <cellStyle name="Calculation 3 4 6" xfId="448" xr:uid="{00000000-0005-0000-0000-0000B6010000}"/>
    <cellStyle name="Calculation 3 4 7" xfId="449" xr:uid="{00000000-0005-0000-0000-0000B7010000}"/>
    <cellStyle name="Calculation 3 5" xfId="450" xr:uid="{00000000-0005-0000-0000-0000B8010000}"/>
    <cellStyle name="Calculation 3 5 2" xfId="451" xr:uid="{00000000-0005-0000-0000-0000B9010000}"/>
    <cellStyle name="Calculation 3 5 2 2" xfId="452" xr:uid="{00000000-0005-0000-0000-0000BA010000}"/>
    <cellStyle name="Calculation 3 5 2 2 2" xfId="453" xr:uid="{00000000-0005-0000-0000-0000BB010000}"/>
    <cellStyle name="Calculation 3 5 2 2 3" xfId="454" xr:uid="{00000000-0005-0000-0000-0000BC010000}"/>
    <cellStyle name="Calculation 3 5 2 2 4" xfId="455" xr:uid="{00000000-0005-0000-0000-0000BD010000}"/>
    <cellStyle name="Calculation 3 5 2 3" xfId="456" xr:uid="{00000000-0005-0000-0000-0000BE010000}"/>
    <cellStyle name="Calculation 3 5 2 4" xfId="457" xr:uid="{00000000-0005-0000-0000-0000BF010000}"/>
    <cellStyle name="Calculation 3 5 2 5" xfId="458" xr:uid="{00000000-0005-0000-0000-0000C0010000}"/>
    <cellStyle name="Calculation 3 5 3" xfId="459" xr:uid="{00000000-0005-0000-0000-0000C1010000}"/>
    <cellStyle name="Calculation 3 5 3 2" xfId="460" xr:uid="{00000000-0005-0000-0000-0000C2010000}"/>
    <cellStyle name="Calculation 3 5 3 2 2" xfId="461" xr:uid="{00000000-0005-0000-0000-0000C3010000}"/>
    <cellStyle name="Calculation 3 5 3 2 3" xfId="462" xr:uid="{00000000-0005-0000-0000-0000C4010000}"/>
    <cellStyle name="Calculation 3 5 3 2 4" xfId="463" xr:uid="{00000000-0005-0000-0000-0000C5010000}"/>
    <cellStyle name="Calculation 3 5 3 3" xfId="464" xr:uid="{00000000-0005-0000-0000-0000C6010000}"/>
    <cellStyle name="Calculation 3 5 3 4" xfId="465" xr:uid="{00000000-0005-0000-0000-0000C7010000}"/>
    <cellStyle name="Calculation 3 5 3 5" xfId="466" xr:uid="{00000000-0005-0000-0000-0000C8010000}"/>
    <cellStyle name="Calculation 3 5 4" xfId="467" xr:uid="{00000000-0005-0000-0000-0000C9010000}"/>
    <cellStyle name="Calculation 3 5 4 2" xfId="468" xr:uid="{00000000-0005-0000-0000-0000CA010000}"/>
    <cellStyle name="Calculation 3 5 4 3" xfId="469" xr:uid="{00000000-0005-0000-0000-0000CB010000}"/>
    <cellStyle name="Calculation 3 5 4 4" xfId="470" xr:uid="{00000000-0005-0000-0000-0000CC010000}"/>
    <cellStyle name="Calculation 3 5 5" xfId="471" xr:uid="{00000000-0005-0000-0000-0000CD010000}"/>
    <cellStyle name="Calculation 3 5 6" xfId="472" xr:uid="{00000000-0005-0000-0000-0000CE010000}"/>
    <cellStyle name="Calculation 3 5 7" xfId="473" xr:uid="{00000000-0005-0000-0000-0000CF010000}"/>
    <cellStyle name="Calculation 3 6" xfId="474" xr:uid="{00000000-0005-0000-0000-0000D0010000}"/>
    <cellStyle name="Check Cell 2" xfId="475" xr:uid="{00000000-0005-0000-0000-0000D1010000}"/>
    <cellStyle name="Check Cell 2 2" xfId="476" xr:uid="{00000000-0005-0000-0000-0000D2010000}"/>
    <cellStyle name="Check Cell 3" xfId="477" xr:uid="{00000000-0005-0000-0000-0000D3010000}"/>
    <cellStyle name="CHP Heading" xfId="478" xr:uid="{00000000-0005-0000-0000-0000D4010000}"/>
    <cellStyle name="Comma" xfId="1" builtinId="3"/>
    <cellStyle name="Comma [0] 2" xfId="479" xr:uid="{00000000-0005-0000-0000-0000D6010000}"/>
    <cellStyle name="Comma [0] 2 2" xfId="480" xr:uid="{00000000-0005-0000-0000-0000D7010000}"/>
    <cellStyle name="Comma [0] 2 2 2" xfId="481" xr:uid="{00000000-0005-0000-0000-0000D8010000}"/>
    <cellStyle name="Comma [0] 2 3" xfId="482" xr:uid="{00000000-0005-0000-0000-0000D9010000}"/>
    <cellStyle name="Comma [0] 2 3 2" xfId="483" xr:uid="{00000000-0005-0000-0000-0000DA010000}"/>
    <cellStyle name="Comma [0] 2 4" xfId="484" xr:uid="{00000000-0005-0000-0000-0000DB010000}"/>
    <cellStyle name="Comma [0] 2 4 2" xfId="485" xr:uid="{00000000-0005-0000-0000-0000DC010000}"/>
    <cellStyle name="Comma [0] 2 5" xfId="486" xr:uid="{00000000-0005-0000-0000-0000DD010000}"/>
    <cellStyle name="Comma [0] 2 5 2" xfId="487" xr:uid="{00000000-0005-0000-0000-0000DE010000}"/>
    <cellStyle name="Comma [0] 2 6" xfId="488" xr:uid="{00000000-0005-0000-0000-0000DF010000}"/>
    <cellStyle name="Comma [0] 2 6 2" xfId="489" xr:uid="{00000000-0005-0000-0000-0000E0010000}"/>
    <cellStyle name="Comma [0] 2 7" xfId="490" xr:uid="{00000000-0005-0000-0000-0000E1010000}"/>
    <cellStyle name="Comma [0] 3" xfId="491" xr:uid="{00000000-0005-0000-0000-0000E2010000}"/>
    <cellStyle name="Comma [0] 3 2" xfId="492" xr:uid="{00000000-0005-0000-0000-0000E3010000}"/>
    <cellStyle name="Comma [0] 4" xfId="493" xr:uid="{00000000-0005-0000-0000-0000E4010000}"/>
    <cellStyle name="Comma [0] 4 2" xfId="494" xr:uid="{00000000-0005-0000-0000-0000E5010000}"/>
    <cellStyle name="Comma [0] 5" xfId="495" xr:uid="{00000000-0005-0000-0000-0000E6010000}"/>
    <cellStyle name="Comma [0] 5 2" xfId="496" xr:uid="{00000000-0005-0000-0000-0000E7010000}"/>
    <cellStyle name="Comma 10" xfId="497" xr:uid="{00000000-0005-0000-0000-0000E8010000}"/>
    <cellStyle name="Comma 10 2" xfId="498" xr:uid="{00000000-0005-0000-0000-0000E9010000}"/>
    <cellStyle name="Comma 10 2 2" xfId="499" xr:uid="{00000000-0005-0000-0000-0000EA010000}"/>
    <cellStyle name="Comma 10 2 3" xfId="500" xr:uid="{00000000-0005-0000-0000-0000EB010000}"/>
    <cellStyle name="Comma 10 2 4" xfId="501" xr:uid="{00000000-0005-0000-0000-0000EC010000}"/>
    <cellStyle name="Comma 10 2 5" xfId="502" xr:uid="{00000000-0005-0000-0000-0000ED010000}"/>
    <cellStyle name="Comma 10 2 6" xfId="503" xr:uid="{00000000-0005-0000-0000-0000EE010000}"/>
    <cellStyle name="Comma 10 2 7" xfId="504" xr:uid="{00000000-0005-0000-0000-0000EF010000}"/>
    <cellStyle name="Comma 10 2 7 2" xfId="505" xr:uid="{00000000-0005-0000-0000-0000F0010000}"/>
    <cellStyle name="Comma 10 2 8" xfId="506" xr:uid="{00000000-0005-0000-0000-0000F1010000}"/>
    <cellStyle name="Comma 10 3" xfId="507" xr:uid="{00000000-0005-0000-0000-0000F2010000}"/>
    <cellStyle name="Comma 10 3 2" xfId="508" xr:uid="{00000000-0005-0000-0000-0000F3010000}"/>
    <cellStyle name="Comma 10 3 2 2" xfId="509" xr:uid="{00000000-0005-0000-0000-0000F4010000}"/>
    <cellStyle name="Comma 10 3 3" xfId="510" xr:uid="{00000000-0005-0000-0000-0000F5010000}"/>
    <cellStyle name="Comma 10 3 3 2" xfId="511" xr:uid="{00000000-0005-0000-0000-0000F6010000}"/>
    <cellStyle name="Comma 10 3 4" xfId="512" xr:uid="{00000000-0005-0000-0000-0000F7010000}"/>
    <cellStyle name="Comma 10 3 4 2" xfId="513" xr:uid="{00000000-0005-0000-0000-0000F8010000}"/>
    <cellStyle name="Comma 10 3 5" xfId="514" xr:uid="{00000000-0005-0000-0000-0000F9010000}"/>
    <cellStyle name="Comma 11" xfId="8" xr:uid="{00000000-0005-0000-0000-0000FA010000}"/>
    <cellStyle name="Comma 11 2" xfId="515" xr:uid="{00000000-0005-0000-0000-0000FB010000}"/>
    <cellStyle name="Comma 11 3" xfId="516" xr:uid="{00000000-0005-0000-0000-0000FC010000}"/>
    <cellStyle name="Comma 12" xfId="517" xr:uid="{00000000-0005-0000-0000-0000FD010000}"/>
    <cellStyle name="Comma 12 2" xfId="518" xr:uid="{00000000-0005-0000-0000-0000FE010000}"/>
    <cellStyle name="Comma 12 3" xfId="519" xr:uid="{00000000-0005-0000-0000-0000FF010000}"/>
    <cellStyle name="Comma 12 4" xfId="520" xr:uid="{00000000-0005-0000-0000-000000020000}"/>
    <cellStyle name="Comma 13" xfId="521" xr:uid="{00000000-0005-0000-0000-000001020000}"/>
    <cellStyle name="Comma 13 2" xfId="522" xr:uid="{00000000-0005-0000-0000-000002020000}"/>
    <cellStyle name="Comma 13 3" xfId="523" xr:uid="{00000000-0005-0000-0000-000003020000}"/>
    <cellStyle name="Comma 14" xfId="524" xr:uid="{00000000-0005-0000-0000-000004020000}"/>
    <cellStyle name="Comma 14 2" xfId="525" xr:uid="{00000000-0005-0000-0000-000005020000}"/>
    <cellStyle name="Comma 15" xfId="526" xr:uid="{00000000-0005-0000-0000-000006020000}"/>
    <cellStyle name="Comma 15 2" xfId="527" xr:uid="{00000000-0005-0000-0000-000007020000}"/>
    <cellStyle name="Comma 16" xfId="528" xr:uid="{00000000-0005-0000-0000-000008020000}"/>
    <cellStyle name="Comma 16 2" xfId="529" xr:uid="{00000000-0005-0000-0000-000009020000}"/>
    <cellStyle name="Comma 17" xfId="530" xr:uid="{00000000-0005-0000-0000-00000A020000}"/>
    <cellStyle name="Comma 17 2" xfId="531" xr:uid="{00000000-0005-0000-0000-00000B020000}"/>
    <cellStyle name="Comma 18" xfId="532" xr:uid="{00000000-0005-0000-0000-00000C020000}"/>
    <cellStyle name="Comma 18 2" xfId="533" xr:uid="{00000000-0005-0000-0000-00000D020000}"/>
    <cellStyle name="Comma 19" xfId="534" xr:uid="{00000000-0005-0000-0000-00000E020000}"/>
    <cellStyle name="Comma 19 2" xfId="535" xr:uid="{00000000-0005-0000-0000-00000F020000}"/>
    <cellStyle name="Comma 2" xfId="5" xr:uid="{00000000-0005-0000-0000-000010020000}"/>
    <cellStyle name="Comma 2 10" xfId="536" xr:uid="{00000000-0005-0000-0000-000011020000}"/>
    <cellStyle name="Comma 2 10 2" xfId="537" xr:uid="{00000000-0005-0000-0000-000012020000}"/>
    <cellStyle name="Comma 2 11" xfId="538" xr:uid="{00000000-0005-0000-0000-000013020000}"/>
    <cellStyle name="Comma 2 12" xfId="539" xr:uid="{00000000-0005-0000-0000-000014020000}"/>
    <cellStyle name="Comma 2 2" xfId="540" xr:uid="{00000000-0005-0000-0000-000015020000}"/>
    <cellStyle name="Comma 2 2 2" xfId="541" xr:uid="{00000000-0005-0000-0000-000016020000}"/>
    <cellStyle name="Comma 2 2 2 2" xfId="542" xr:uid="{00000000-0005-0000-0000-000017020000}"/>
    <cellStyle name="Comma 2 2 2 2 2" xfId="543" xr:uid="{00000000-0005-0000-0000-000018020000}"/>
    <cellStyle name="Comma 2 2 2 3" xfId="544" xr:uid="{00000000-0005-0000-0000-000019020000}"/>
    <cellStyle name="Comma 2 2 2 4" xfId="545" xr:uid="{00000000-0005-0000-0000-00001A020000}"/>
    <cellStyle name="Comma 2 2 2 5" xfId="546" xr:uid="{00000000-0005-0000-0000-00001B020000}"/>
    <cellStyle name="Comma 2 2 3" xfId="547" xr:uid="{00000000-0005-0000-0000-00001C020000}"/>
    <cellStyle name="Comma 2 2 3 2" xfId="548" xr:uid="{00000000-0005-0000-0000-00001D020000}"/>
    <cellStyle name="Comma 2 2 3 3" xfId="549" xr:uid="{00000000-0005-0000-0000-00001E020000}"/>
    <cellStyle name="Comma 2 2 3 3 2" xfId="550" xr:uid="{00000000-0005-0000-0000-00001F020000}"/>
    <cellStyle name="Comma 2 2 3 3 2 2" xfId="551" xr:uid="{00000000-0005-0000-0000-000020020000}"/>
    <cellStyle name="Comma 2 2 3 3 3" xfId="552" xr:uid="{00000000-0005-0000-0000-000021020000}"/>
    <cellStyle name="Comma 2 2 3 4" xfId="553" xr:uid="{00000000-0005-0000-0000-000022020000}"/>
    <cellStyle name="Comma 2 2 3 4 2" xfId="554" xr:uid="{00000000-0005-0000-0000-000023020000}"/>
    <cellStyle name="Comma 2 2 3 5" xfId="555" xr:uid="{00000000-0005-0000-0000-000024020000}"/>
    <cellStyle name="Comma 2 2 3 5 2" xfId="556" xr:uid="{00000000-0005-0000-0000-000025020000}"/>
    <cellStyle name="Comma 2 2 3 6" xfId="557" xr:uid="{00000000-0005-0000-0000-000026020000}"/>
    <cellStyle name="Comma 2 2 4" xfId="558" xr:uid="{00000000-0005-0000-0000-000027020000}"/>
    <cellStyle name="Comma 2 2 4 2" xfId="559" xr:uid="{00000000-0005-0000-0000-000028020000}"/>
    <cellStyle name="Comma 2 2 5" xfId="560" xr:uid="{00000000-0005-0000-0000-000029020000}"/>
    <cellStyle name="Comma 2 2 6" xfId="561" xr:uid="{00000000-0005-0000-0000-00002A020000}"/>
    <cellStyle name="Comma 2 2 6 2" xfId="562" xr:uid="{00000000-0005-0000-0000-00002B020000}"/>
    <cellStyle name="Comma 2 2 7" xfId="563" xr:uid="{00000000-0005-0000-0000-00002C020000}"/>
    <cellStyle name="Comma 2 2 7 2" xfId="564" xr:uid="{00000000-0005-0000-0000-00002D020000}"/>
    <cellStyle name="Comma 2 2 8" xfId="565" xr:uid="{00000000-0005-0000-0000-00002E020000}"/>
    <cellStyle name="Comma 2 3" xfId="566" xr:uid="{00000000-0005-0000-0000-00002F020000}"/>
    <cellStyle name="Comma 2 3 2" xfId="567" xr:uid="{00000000-0005-0000-0000-000030020000}"/>
    <cellStyle name="Comma 2 3 3" xfId="568" xr:uid="{00000000-0005-0000-0000-000031020000}"/>
    <cellStyle name="Comma 2 3 3 2" xfId="569" xr:uid="{00000000-0005-0000-0000-000032020000}"/>
    <cellStyle name="Comma 2 3 4" xfId="570" xr:uid="{00000000-0005-0000-0000-000033020000}"/>
    <cellStyle name="Comma 2 4" xfId="571" xr:uid="{00000000-0005-0000-0000-000034020000}"/>
    <cellStyle name="Comma 2 4 2" xfId="572" xr:uid="{00000000-0005-0000-0000-000035020000}"/>
    <cellStyle name="Comma 2 4 2 2" xfId="573" xr:uid="{00000000-0005-0000-0000-000036020000}"/>
    <cellStyle name="Comma 2 4 2 2 2" xfId="574" xr:uid="{00000000-0005-0000-0000-000037020000}"/>
    <cellStyle name="Comma 2 4 2 3" xfId="575" xr:uid="{00000000-0005-0000-0000-000038020000}"/>
    <cellStyle name="Comma 2 4 3" xfId="576" xr:uid="{00000000-0005-0000-0000-000039020000}"/>
    <cellStyle name="Comma 2 4 3 2" xfId="577" xr:uid="{00000000-0005-0000-0000-00003A020000}"/>
    <cellStyle name="Comma 2 4 4" xfId="578" xr:uid="{00000000-0005-0000-0000-00003B020000}"/>
    <cellStyle name="Comma 2 4 4 2" xfId="579" xr:uid="{00000000-0005-0000-0000-00003C020000}"/>
    <cellStyle name="Comma 2 4 5" xfId="580" xr:uid="{00000000-0005-0000-0000-00003D020000}"/>
    <cellStyle name="Comma 2 4 5 2" xfId="581" xr:uid="{00000000-0005-0000-0000-00003E020000}"/>
    <cellStyle name="Comma 2 4 6" xfId="582" xr:uid="{00000000-0005-0000-0000-00003F020000}"/>
    <cellStyle name="Comma 2 4 7" xfId="583" xr:uid="{00000000-0005-0000-0000-000040020000}"/>
    <cellStyle name="Comma 2 5" xfId="584" xr:uid="{00000000-0005-0000-0000-000041020000}"/>
    <cellStyle name="Comma 2 5 2" xfId="585" xr:uid="{00000000-0005-0000-0000-000042020000}"/>
    <cellStyle name="Comma 2 5 2 2" xfId="586" xr:uid="{00000000-0005-0000-0000-000043020000}"/>
    <cellStyle name="Comma 2 5 2 2 2" xfId="587" xr:uid="{00000000-0005-0000-0000-000044020000}"/>
    <cellStyle name="Comma 2 5 2 2 2 2" xfId="588" xr:uid="{00000000-0005-0000-0000-000045020000}"/>
    <cellStyle name="Comma 2 5 2 2 3" xfId="589" xr:uid="{00000000-0005-0000-0000-000046020000}"/>
    <cellStyle name="Comma 2 5 2 3" xfId="590" xr:uid="{00000000-0005-0000-0000-000047020000}"/>
    <cellStyle name="Comma 2 5 2 3 2" xfId="591" xr:uid="{00000000-0005-0000-0000-000048020000}"/>
    <cellStyle name="Comma 2 5 2 4" xfId="592" xr:uid="{00000000-0005-0000-0000-000049020000}"/>
    <cellStyle name="Comma 2 5 2 4 2" xfId="593" xr:uid="{00000000-0005-0000-0000-00004A020000}"/>
    <cellStyle name="Comma 2 5 2 5" xfId="594" xr:uid="{00000000-0005-0000-0000-00004B020000}"/>
    <cellStyle name="Comma 2 5 2 5 2" xfId="595" xr:uid="{00000000-0005-0000-0000-00004C020000}"/>
    <cellStyle name="Comma 2 5 2 6" xfId="596" xr:uid="{00000000-0005-0000-0000-00004D020000}"/>
    <cellStyle name="Comma 2 5 2 6 2" xfId="597" xr:uid="{00000000-0005-0000-0000-00004E020000}"/>
    <cellStyle name="Comma 2 5 2 7" xfId="598" xr:uid="{00000000-0005-0000-0000-00004F020000}"/>
    <cellStyle name="Comma 2 5 3" xfId="599" xr:uid="{00000000-0005-0000-0000-000050020000}"/>
    <cellStyle name="Comma 2 5 3 2" xfId="600" xr:uid="{00000000-0005-0000-0000-000051020000}"/>
    <cellStyle name="Comma 2 5 3 2 2" xfId="601" xr:uid="{00000000-0005-0000-0000-000052020000}"/>
    <cellStyle name="Comma 2 5 3 3" xfId="602" xr:uid="{00000000-0005-0000-0000-000053020000}"/>
    <cellStyle name="Comma 2 5 4" xfId="603" xr:uid="{00000000-0005-0000-0000-000054020000}"/>
    <cellStyle name="Comma 2 5 4 2" xfId="604" xr:uid="{00000000-0005-0000-0000-000055020000}"/>
    <cellStyle name="Comma 2 5 5" xfId="605" xr:uid="{00000000-0005-0000-0000-000056020000}"/>
    <cellStyle name="Comma 2 5 5 2" xfId="606" xr:uid="{00000000-0005-0000-0000-000057020000}"/>
    <cellStyle name="Comma 2 5 6" xfId="607" xr:uid="{00000000-0005-0000-0000-000058020000}"/>
    <cellStyle name="Comma 2 5 6 2" xfId="608" xr:uid="{00000000-0005-0000-0000-000059020000}"/>
    <cellStyle name="Comma 2 5 7" xfId="609" xr:uid="{00000000-0005-0000-0000-00005A020000}"/>
    <cellStyle name="Comma 2 5 8" xfId="610" xr:uid="{00000000-0005-0000-0000-00005B020000}"/>
    <cellStyle name="Comma 2 6" xfId="611" xr:uid="{00000000-0005-0000-0000-00005C020000}"/>
    <cellStyle name="Comma 2 6 2" xfId="612" xr:uid="{00000000-0005-0000-0000-00005D020000}"/>
    <cellStyle name="Comma 2 6 3" xfId="613" xr:uid="{00000000-0005-0000-0000-00005E020000}"/>
    <cellStyle name="Comma 2 6 4" xfId="614" xr:uid="{00000000-0005-0000-0000-00005F020000}"/>
    <cellStyle name="Comma 2 6 4 2" xfId="615" xr:uid="{00000000-0005-0000-0000-000060020000}"/>
    <cellStyle name="Comma 2 6 5" xfId="616" xr:uid="{00000000-0005-0000-0000-000061020000}"/>
    <cellStyle name="Comma 2 7" xfId="617" xr:uid="{00000000-0005-0000-0000-000062020000}"/>
    <cellStyle name="Comma 2 7 2" xfId="618" xr:uid="{00000000-0005-0000-0000-000063020000}"/>
    <cellStyle name="Comma 2 8" xfId="619" xr:uid="{00000000-0005-0000-0000-000064020000}"/>
    <cellStyle name="Comma 2 8 2" xfId="620" xr:uid="{00000000-0005-0000-0000-000065020000}"/>
    <cellStyle name="Comma 2 9" xfId="621" xr:uid="{00000000-0005-0000-0000-000066020000}"/>
    <cellStyle name="Comma 2 9 2" xfId="622" xr:uid="{00000000-0005-0000-0000-000067020000}"/>
    <cellStyle name="Comma 20" xfId="623" xr:uid="{00000000-0005-0000-0000-000068020000}"/>
    <cellStyle name="Comma 21" xfId="624" xr:uid="{00000000-0005-0000-0000-000069020000}"/>
    <cellStyle name="Comma 21 2" xfId="625" xr:uid="{00000000-0005-0000-0000-00006A020000}"/>
    <cellStyle name="Comma 21 2 2" xfId="626" xr:uid="{00000000-0005-0000-0000-00006B020000}"/>
    <cellStyle name="Comma 21 3" xfId="627" xr:uid="{00000000-0005-0000-0000-00006C020000}"/>
    <cellStyle name="Comma 22" xfId="628" xr:uid="{00000000-0005-0000-0000-00006D020000}"/>
    <cellStyle name="Comma 22 2" xfId="629" xr:uid="{00000000-0005-0000-0000-00006E020000}"/>
    <cellStyle name="Comma 23" xfId="630" xr:uid="{00000000-0005-0000-0000-00006F020000}"/>
    <cellStyle name="Comma 23 2" xfId="631" xr:uid="{00000000-0005-0000-0000-000070020000}"/>
    <cellStyle name="Comma 24" xfId="632" xr:uid="{00000000-0005-0000-0000-000071020000}"/>
    <cellStyle name="Comma 24 2" xfId="633" xr:uid="{00000000-0005-0000-0000-000072020000}"/>
    <cellStyle name="Comma 25" xfId="634" xr:uid="{00000000-0005-0000-0000-000073020000}"/>
    <cellStyle name="Comma 25 2" xfId="635" xr:uid="{00000000-0005-0000-0000-000074020000}"/>
    <cellStyle name="Comma 26" xfId="636" xr:uid="{00000000-0005-0000-0000-000075020000}"/>
    <cellStyle name="Comma 26 2" xfId="637" xr:uid="{00000000-0005-0000-0000-000076020000}"/>
    <cellStyle name="Comma 27" xfId="638" xr:uid="{00000000-0005-0000-0000-000077020000}"/>
    <cellStyle name="Comma 27 2" xfId="639" xr:uid="{00000000-0005-0000-0000-000078020000}"/>
    <cellStyle name="Comma 28" xfId="640" xr:uid="{00000000-0005-0000-0000-000079020000}"/>
    <cellStyle name="Comma 28 2" xfId="641" xr:uid="{00000000-0005-0000-0000-00007A020000}"/>
    <cellStyle name="Comma 29" xfId="642" xr:uid="{00000000-0005-0000-0000-00007B020000}"/>
    <cellStyle name="Comma 29 2" xfId="643" xr:uid="{00000000-0005-0000-0000-00007C020000}"/>
    <cellStyle name="Comma 3" xfId="644" xr:uid="{00000000-0005-0000-0000-00007D020000}"/>
    <cellStyle name="Comma 3 10" xfId="645" xr:uid="{00000000-0005-0000-0000-00007E020000}"/>
    <cellStyle name="Comma 3 10 2" xfId="646" xr:uid="{00000000-0005-0000-0000-00007F020000}"/>
    <cellStyle name="Comma 3 11" xfId="647" xr:uid="{00000000-0005-0000-0000-000080020000}"/>
    <cellStyle name="Comma 3 12" xfId="648" xr:uid="{00000000-0005-0000-0000-000081020000}"/>
    <cellStyle name="Comma 3 2" xfId="649" xr:uid="{00000000-0005-0000-0000-000082020000}"/>
    <cellStyle name="Comma 3 2 2" xfId="650" xr:uid="{00000000-0005-0000-0000-000083020000}"/>
    <cellStyle name="Comma 3 2 2 2" xfId="651" xr:uid="{00000000-0005-0000-0000-000084020000}"/>
    <cellStyle name="Comma 3 2 3" xfId="652" xr:uid="{00000000-0005-0000-0000-000085020000}"/>
    <cellStyle name="Comma 3 3" xfId="653" xr:uid="{00000000-0005-0000-0000-000086020000}"/>
    <cellStyle name="Comma 3 4" xfId="654" xr:uid="{00000000-0005-0000-0000-000087020000}"/>
    <cellStyle name="Comma 3 5" xfId="655" xr:uid="{00000000-0005-0000-0000-000088020000}"/>
    <cellStyle name="Comma 3 6" xfId="656" xr:uid="{00000000-0005-0000-0000-000089020000}"/>
    <cellStyle name="Comma 3 7" xfId="657" xr:uid="{00000000-0005-0000-0000-00008A020000}"/>
    <cellStyle name="Comma 3 8" xfId="658" xr:uid="{00000000-0005-0000-0000-00008B020000}"/>
    <cellStyle name="Comma 3 9" xfId="659" xr:uid="{00000000-0005-0000-0000-00008C020000}"/>
    <cellStyle name="Comma 30" xfId="660" xr:uid="{00000000-0005-0000-0000-00008D020000}"/>
    <cellStyle name="Comma 30 2" xfId="661" xr:uid="{00000000-0005-0000-0000-00008E020000}"/>
    <cellStyle name="Comma 31" xfId="662" xr:uid="{00000000-0005-0000-0000-00008F020000}"/>
    <cellStyle name="Comma 31 2" xfId="663" xr:uid="{00000000-0005-0000-0000-000090020000}"/>
    <cellStyle name="Comma 32" xfId="664" xr:uid="{00000000-0005-0000-0000-000091020000}"/>
    <cellStyle name="Comma 32 2" xfId="665" xr:uid="{00000000-0005-0000-0000-000092020000}"/>
    <cellStyle name="Comma 33" xfId="666" xr:uid="{00000000-0005-0000-0000-000093020000}"/>
    <cellStyle name="Comma 33 2" xfId="667" xr:uid="{00000000-0005-0000-0000-000094020000}"/>
    <cellStyle name="Comma 34" xfId="668" xr:uid="{00000000-0005-0000-0000-000095020000}"/>
    <cellStyle name="Comma 34 2" xfId="669" xr:uid="{00000000-0005-0000-0000-000096020000}"/>
    <cellStyle name="Comma 35" xfId="670" xr:uid="{00000000-0005-0000-0000-000097020000}"/>
    <cellStyle name="Comma 36" xfId="671" xr:uid="{00000000-0005-0000-0000-000098020000}"/>
    <cellStyle name="Comma 37" xfId="672" xr:uid="{00000000-0005-0000-0000-000099020000}"/>
    <cellStyle name="Comma 4" xfId="673" xr:uid="{00000000-0005-0000-0000-00009A020000}"/>
    <cellStyle name="Comma 4 2" xfId="674" xr:uid="{00000000-0005-0000-0000-00009B020000}"/>
    <cellStyle name="Comma 4 2 2" xfId="675" xr:uid="{00000000-0005-0000-0000-00009C020000}"/>
    <cellStyle name="Comma 4 3" xfId="676" xr:uid="{00000000-0005-0000-0000-00009D020000}"/>
    <cellStyle name="Comma 4 3 2" xfId="677" xr:uid="{00000000-0005-0000-0000-00009E020000}"/>
    <cellStyle name="Comma 4 3 2 2" xfId="678" xr:uid="{00000000-0005-0000-0000-00009F020000}"/>
    <cellStyle name="Comma 4 3 3" xfId="679" xr:uid="{00000000-0005-0000-0000-0000A0020000}"/>
    <cellStyle name="Comma 4 4" xfId="680" xr:uid="{00000000-0005-0000-0000-0000A1020000}"/>
    <cellStyle name="Comma 4 4 2" xfId="681" xr:uid="{00000000-0005-0000-0000-0000A2020000}"/>
    <cellStyle name="Comma 4 5" xfId="682" xr:uid="{00000000-0005-0000-0000-0000A3020000}"/>
    <cellStyle name="Comma 4 5 2" xfId="683" xr:uid="{00000000-0005-0000-0000-0000A4020000}"/>
    <cellStyle name="Comma 4 6" xfId="684" xr:uid="{00000000-0005-0000-0000-0000A5020000}"/>
    <cellStyle name="Comma 4 6 2" xfId="685" xr:uid="{00000000-0005-0000-0000-0000A6020000}"/>
    <cellStyle name="Comma 4 7" xfId="686" xr:uid="{00000000-0005-0000-0000-0000A7020000}"/>
    <cellStyle name="Comma 4 8" xfId="687" xr:uid="{00000000-0005-0000-0000-0000A8020000}"/>
    <cellStyle name="Comma 4 9" xfId="688" xr:uid="{00000000-0005-0000-0000-0000A9020000}"/>
    <cellStyle name="Comma 5" xfId="689" xr:uid="{00000000-0005-0000-0000-0000AA020000}"/>
    <cellStyle name="Comma 5 2" xfId="690" xr:uid="{00000000-0005-0000-0000-0000AB020000}"/>
    <cellStyle name="Comma 5 2 2" xfId="691" xr:uid="{00000000-0005-0000-0000-0000AC020000}"/>
    <cellStyle name="Comma 5 2 2 2" xfId="692" xr:uid="{00000000-0005-0000-0000-0000AD020000}"/>
    <cellStyle name="Comma 5 2 2 2 2" xfId="693" xr:uid="{00000000-0005-0000-0000-0000AE020000}"/>
    <cellStyle name="Comma 5 2 2 2 2 2" xfId="694" xr:uid="{00000000-0005-0000-0000-0000AF020000}"/>
    <cellStyle name="Comma 5 2 2 2 3" xfId="695" xr:uid="{00000000-0005-0000-0000-0000B0020000}"/>
    <cellStyle name="Comma 5 2 2 3" xfId="696" xr:uid="{00000000-0005-0000-0000-0000B1020000}"/>
    <cellStyle name="Comma 5 2 2 3 2" xfId="697" xr:uid="{00000000-0005-0000-0000-0000B2020000}"/>
    <cellStyle name="Comma 5 2 2 4" xfId="698" xr:uid="{00000000-0005-0000-0000-0000B3020000}"/>
    <cellStyle name="Comma 5 2 2 4 2" xfId="699" xr:uid="{00000000-0005-0000-0000-0000B4020000}"/>
    <cellStyle name="Comma 5 2 2 5" xfId="700" xr:uid="{00000000-0005-0000-0000-0000B5020000}"/>
    <cellStyle name="Comma 5 2 2 5 2" xfId="701" xr:uid="{00000000-0005-0000-0000-0000B6020000}"/>
    <cellStyle name="Comma 5 2 2 6" xfId="702" xr:uid="{00000000-0005-0000-0000-0000B7020000}"/>
    <cellStyle name="Comma 5 2 2 6 2" xfId="703" xr:uid="{00000000-0005-0000-0000-0000B8020000}"/>
    <cellStyle name="Comma 5 2 2 7" xfId="704" xr:uid="{00000000-0005-0000-0000-0000B9020000}"/>
    <cellStyle name="Comma 5 2 3" xfId="705" xr:uid="{00000000-0005-0000-0000-0000BA020000}"/>
    <cellStyle name="Comma 5 2 3 2" xfId="706" xr:uid="{00000000-0005-0000-0000-0000BB020000}"/>
    <cellStyle name="Comma 5 2 3 2 2" xfId="707" xr:uid="{00000000-0005-0000-0000-0000BC020000}"/>
    <cellStyle name="Comma 5 2 3 3" xfId="708" xr:uid="{00000000-0005-0000-0000-0000BD020000}"/>
    <cellStyle name="Comma 5 2 4" xfId="709" xr:uid="{00000000-0005-0000-0000-0000BE020000}"/>
    <cellStyle name="Comma 5 2 4 2" xfId="710" xr:uid="{00000000-0005-0000-0000-0000BF020000}"/>
    <cellStyle name="Comma 5 2 5" xfId="711" xr:uid="{00000000-0005-0000-0000-0000C0020000}"/>
    <cellStyle name="Comma 5 2 5 2" xfId="712" xr:uid="{00000000-0005-0000-0000-0000C1020000}"/>
    <cellStyle name="Comma 5 2 6" xfId="713" xr:uid="{00000000-0005-0000-0000-0000C2020000}"/>
    <cellStyle name="Comma 5 2 6 2" xfId="714" xr:uid="{00000000-0005-0000-0000-0000C3020000}"/>
    <cellStyle name="Comma 5 2 7" xfId="715" xr:uid="{00000000-0005-0000-0000-0000C4020000}"/>
    <cellStyle name="Comma 5 2 7 2" xfId="716" xr:uid="{00000000-0005-0000-0000-0000C5020000}"/>
    <cellStyle name="Comma 5 2 8" xfId="717" xr:uid="{00000000-0005-0000-0000-0000C6020000}"/>
    <cellStyle name="Comma 5 3" xfId="718" xr:uid="{00000000-0005-0000-0000-0000C7020000}"/>
    <cellStyle name="Comma 5 3 2" xfId="719" xr:uid="{00000000-0005-0000-0000-0000C8020000}"/>
    <cellStyle name="Comma 5 3 2 2" xfId="720" xr:uid="{00000000-0005-0000-0000-0000C9020000}"/>
    <cellStyle name="Comma 5 3 3" xfId="721" xr:uid="{00000000-0005-0000-0000-0000CA020000}"/>
    <cellStyle name="Comma 5 4" xfId="722" xr:uid="{00000000-0005-0000-0000-0000CB020000}"/>
    <cellStyle name="Comma 5 4 2" xfId="723" xr:uid="{00000000-0005-0000-0000-0000CC020000}"/>
    <cellStyle name="Comma 5 5" xfId="724" xr:uid="{00000000-0005-0000-0000-0000CD020000}"/>
    <cellStyle name="Comma 5 5 2" xfId="725" xr:uid="{00000000-0005-0000-0000-0000CE020000}"/>
    <cellStyle name="Comma 5 6" xfId="726" xr:uid="{00000000-0005-0000-0000-0000CF020000}"/>
    <cellStyle name="Comma 5 6 2" xfId="727" xr:uid="{00000000-0005-0000-0000-0000D0020000}"/>
    <cellStyle name="Comma 5 7" xfId="728" xr:uid="{00000000-0005-0000-0000-0000D1020000}"/>
    <cellStyle name="Comma 5 7 2" xfId="729" xr:uid="{00000000-0005-0000-0000-0000D2020000}"/>
    <cellStyle name="Comma 5 8" xfId="730" xr:uid="{00000000-0005-0000-0000-0000D3020000}"/>
    <cellStyle name="Comma 5 9" xfId="731" xr:uid="{00000000-0005-0000-0000-0000D4020000}"/>
    <cellStyle name="Comma 6" xfId="732" xr:uid="{00000000-0005-0000-0000-0000D5020000}"/>
    <cellStyle name="Comma 6 2" xfId="733" xr:uid="{00000000-0005-0000-0000-0000D6020000}"/>
    <cellStyle name="Comma 6 2 2" xfId="734" xr:uid="{00000000-0005-0000-0000-0000D7020000}"/>
    <cellStyle name="Comma 6 2 2 2" xfId="735" xr:uid="{00000000-0005-0000-0000-0000D8020000}"/>
    <cellStyle name="Comma 6 2 3" xfId="736" xr:uid="{00000000-0005-0000-0000-0000D9020000}"/>
    <cellStyle name="Comma 6 3" xfId="737" xr:uid="{00000000-0005-0000-0000-0000DA020000}"/>
    <cellStyle name="Comma 6 3 2" xfId="738" xr:uid="{00000000-0005-0000-0000-0000DB020000}"/>
    <cellStyle name="Comma 6 4" xfId="739" xr:uid="{00000000-0005-0000-0000-0000DC020000}"/>
    <cellStyle name="Comma 6 4 2" xfId="740" xr:uid="{00000000-0005-0000-0000-0000DD020000}"/>
    <cellStyle name="Comma 6 5" xfId="741" xr:uid="{00000000-0005-0000-0000-0000DE020000}"/>
    <cellStyle name="Comma 6 5 2" xfId="742" xr:uid="{00000000-0005-0000-0000-0000DF020000}"/>
    <cellStyle name="Comma 6 6" xfId="743" xr:uid="{00000000-0005-0000-0000-0000E0020000}"/>
    <cellStyle name="Comma 6 6 2" xfId="744" xr:uid="{00000000-0005-0000-0000-0000E1020000}"/>
    <cellStyle name="Comma 7" xfId="745" xr:uid="{00000000-0005-0000-0000-0000E2020000}"/>
    <cellStyle name="Comma 8" xfId="746" xr:uid="{00000000-0005-0000-0000-0000E3020000}"/>
    <cellStyle name="Comma 8 2" xfId="747" xr:uid="{00000000-0005-0000-0000-0000E4020000}"/>
    <cellStyle name="Comma 8 2 2" xfId="748" xr:uid="{00000000-0005-0000-0000-0000E5020000}"/>
    <cellStyle name="Comma 8 2 2 2" xfId="749" xr:uid="{00000000-0005-0000-0000-0000E6020000}"/>
    <cellStyle name="Comma 8 2 3" xfId="750" xr:uid="{00000000-0005-0000-0000-0000E7020000}"/>
    <cellStyle name="Comma 8 3" xfId="751" xr:uid="{00000000-0005-0000-0000-0000E8020000}"/>
    <cellStyle name="Comma 8 3 2" xfId="752" xr:uid="{00000000-0005-0000-0000-0000E9020000}"/>
    <cellStyle name="Comma 8 4" xfId="753" xr:uid="{00000000-0005-0000-0000-0000EA020000}"/>
    <cellStyle name="Comma 8 4 2" xfId="754" xr:uid="{00000000-0005-0000-0000-0000EB020000}"/>
    <cellStyle name="Comma 8 5" xfId="755" xr:uid="{00000000-0005-0000-0000-0000EC020000}"/>
    <cellStyle name="Comma 8 5 2" xfId="756" xr:uid="{00000000-0005-0000-0000-0000ED020000}"/>
    <cellStyle name="Comma 8 6" xfId="757" xr:uid="{00000000-0005-0000-0000-0000EE020000}"/>
    <cellStyle name="Comma 8 6 2" xfId="758" xr:uid="{00000000-0005-0000-0000-0000EF020000}"/>
    <cellStyle name="Comma 8 7" xfId="759" xr:uid="{00000000-0005-0000-0000-0000F0020000}"/>
    <cellStyle name="Comma 9" xfId="760" xr:uid="{00000000-0005-0000-0000-0000F1020000}"/>
    <cellStyle name="Comma 9 2" xfId="761" xr:uid="{00000000-0005-0000-0000-0000F2020000}"/>
    <cellStyle name="Comma 9 3" xfId="762" xr:uid="{00000000-0005-0000-0000-0000F3020000}"/>
    <cellStyle name="Comma 9 4" xfId="763" xr:uid="{00000000-0005-0000-0000-0000F4020000}"/>
    <cellStyle name="Currency £" xfId="764" xr:uid="{00000000-0005-0000-0000-0000F5020000}"/>
    <cellStyle name="Currency 10" xfId="765" xr:uid="{00000000-0005-0000-0000-0000F6020000}"/>
    <cellStyle name="Currency 10 2" xfId="766" xr:uid="{00000000-0005-0000-0000-0000F7020000}"/>
    <cellStyle name="Currency 10 3" xfId="767" xr:uid="{00000000-0005-0000-0000-0000F8020000}"/>
    <cellStyle name="Currency 11" xfId="768" xr:uid="{00000000-0005-0000-0000-0000F9020000}"/>
    <cellStyle name="Currency 11 2" xfId="769" xr:uid="{00000000-0005-0000-0000-0000FA020000}"/>
    <cellStyle name="Currency 12" xfId="770" xr:uid="{00000000-0005-0000-0000-0000FB020000}"/>
    <cellStyle name="Currency 13" xfId="771" xr:uid="{00000000-0005-0000-0000-0000FC020000}"/>
    <cellStyle name="Currency 14" xfId="772" xr:uid="{00000000-0005-0000-0000-0000FD020000}"/>
    <cellStyle name="Currency 15" xfId="773" xr:uid="{00000000-0005-0000-0000-0000FE020000}"/>
    <cellStyle name="Currency 16" xfId="774" xr:uid="{00000000-0005-0000-0000-0000FF020000}"/>
    <cellStyle name="Currency 17" xfId="775" xr:uid="{00000000-0005-0000-0000-000000030000}"/>
    <cellStyle name="Currency 18" xfId="776" xr:uid="{00000000-0005-0000-0000-000001030000}"/>
    <cellStyle name="Currency 19" xfId="777" xr:uid="{00000000-0005-0000-0000-000002030000}"/>
    <cellStyle name="Currency 19 2" xfId="778" xr:uid="{00000000-0005-0000-0000-000003030000}"/>
    <cellStyle name="Currency 2" xfId="779" xr:uid="{00000000-0005-0000-0000-000004030000}"/>
    <cellStyle name="Currency 2 10" xfId="780" xr:uid="{00000000-0005-0000-0000-000005030000}"/>
    <cellStyle name="Currency 2 10 2" xfId="781" xr:uid="{00000000-0005-0000-0000-000006030000}"/>
    <cellStyle name="Currency 2 2" xfId="782" xr:uid="{00000000-0005-0000-0000-000007030000}"/>
    <cellStyle name="Currency 2 2 2" xfId="783" xr:uid="{00000000-0005-0000-0000-000008030000}"/>
    <cellStyle name="Currency 2 3" xfId="784" xr:uid="{00000000-0005-0000-0000-000009030000}"/>
    <cellStyle name="Currency 2 3 2" xfId="785" xr:uid="{00000000-0005-0000-0000-00000A030000}"/>
    <cellStyle name="Currency 2 4" xfId="786" xr:uid="{00000000-0005-0000-0000-00000B030000}"/>
    <cellStyle name="Currency 2 4 2" xfId="787" xr:uid="{00000000-0005-0000-0000-00000C030000}"/>
    <cellStyle name="Currency 2 4 2 2" xfId="788" xr:uid="{00000000-0005-0000-0000-00000D030000}"/>
    <cellStyle name="Currency 2 5" xfId="789" xr:uid="{00000000-0005-0000-0000-00000E030000}"/>
    <cellStyle name="Currency 2 5 2" xfId="790" xr:uid="{00000000-0005-0000-0000-00000F030000}"/>
    <cellStyle name="Currency 2 5 3" xfId="791" xr:uid="{00000000-0005-0000-0000-000010030000}"/>
    <cellStyle name="Currency 2 5 4" xfId="792" xr:uid="{00000000-0005-0000-0000-000011030000}"/>
    <cellStyle name="Currency 2 6" xfId="793" xr:uid="{00000000-0005-0000-0000-000012030000}"/>
    <cellStyle name="Currency 2 6 2" xfId="794" xr:uid="{00000000-0005-0000-0000-000013030000}"/>
    <cellStyle name="Currency 2 6 2 2" xfId="795" xr:uid="{00000000-0005-0000-0000-000014030000}"/>
    <cellStyle name="Currency 2 6 2 2 2" xfId="796" xr:uid="{00000000-0005-0000-0000-000015030000}"/>
    <cellStyle name="Currency 2 6 2 3" xfId="797" xr:uid="{00000000-0005-0000-0000-000016030000}"/>
    <cellStyle name="Currency 2 7" xfId="798" xr:uid="{00000000-0005-0000-0000-000017030000}"/>
    <cellStyle name="Currency 2 7 2" xfId="799" xr:uid="{00000000-0005-0000-0000-000018030000}"/>
    <cellStyle name="Currency 2 7 2 2" xfId="800" xr:uid="{00000000-0005-0000-0000-000019030000}"/>
    <cellStyle name="Currency 2 7 3" xfId="801" xr:uid="{00000000-0005-0000-0000-00001A030000}"/>
    <cellStyle name="Currency 2 7 3 2" xfId="802" xr:uid="{00000000-0005-0000-0000-00001B030000}"/>
    <cellStyle name="Currency 2 7 4" xfId="803" xr:uid="{00000000-0005-0000-0000-00001C030000}"/>
    <cellStyle name="Currency 2 8" xfId="804" xr:uid="{00000000-0005-0000-0000-00001D030000}"/>
    <cellStyle name="Currency 2 9" xfId="805" xr:uid="{00000000-0005-0000-0000-00001E030000}"/>
    <cellStyle name="Currency 2 9 2" xfId="806" xr:uid="{00000000-0005-0000-0000-00001F030000}"/>
    <cellStyle name="Currency 20" xfId="807" xr:uid="{00000000-0005-0000-0000-000020030000}"/>
    <cellStyle name="Currency 20 2" xfId="808" xr:uid="{00000000-0005-0000-0000-000021030000}"/>
    <cellStyle name="Currency 21" xfId="809" xr:uid="{00000000-0005-0000-0000-000022030000}"/>
    <cellStyle name="Currency 22" xfId="810" xr:uid="{00000000-0005-0000-0000-000023030000}"/>
    <cellStyle name="Currency 3" xfId="811" xr:uid="{00000000-0005-0000-0000-000024030000}"/>
    <cellStyle name="Currency 3 2" xfId="812" xr:uid="{00000000-0005-0000-0000-000025030000}"/>
    <cellStyle name="Currency 3 2 2" xfId="813" xr:uid="{00000000-0005-0000-0000-000026030000}"/>
    <cellStyle name="Currency 3 2 2 2" xfId="814" xr:uid="{00000000-0005-0000-0000-000027030000}"/>
    <cellStyle name="Currency 3 2 3" xfId="815" xr:uid="{00000000-0005-0000-0000-000028030000}"/>
    <cellStyle name="Currency 3 2 3 2" xfId="816" xr:uid="{00000000-0005-0000-0000-000029030000}"/>
    <cellStyle name="Currency 3 2 4" xfId="817" xr:uid="{00000000-0005-0000-0000-00002A030000}"/>
    <cellStyle name="Currency 3 3" xfId="818" xr:uid="{00000000-0005-0000-0000-00002B030000}"/>
    <cellStyle name="Currency 3 4" xfId="819" xr:uid="{00000000-0005-0000-0000-00002C030000}"/>
    <cellStyle name="Currency 3 4 2" xfId="820" xr:uid="{00000000-0005-0000-0000-00002D030000}"/>
    <cellStyle name="Currency 4" xfId="821" xr:uid="{00000000-0005-0000-0000-00002E030000}"/>
    <cellStyle name="Currency 4 2" xfId="822" xr:uid="{00000000-0005-0000-0000-00002F030000}"/>
    <cellStyle name="Currency 4 3" xfId="823" xr:uid="{00000000-0005-0000-0000-000030030000}"/>
    <cellStyle name="Currency 4 3 2" xfId="824" xr:uid="{00000000-0005-0000-0000-000031030000}"/>
    <cellStyle name="Currency 4 4" xfId="825" xr:uid="{00000000-0005-0000-0000-000032030000}"/>
    <cellStyle name="Currency 4 4 2" xfId="826" xr:uid="{00000000-0005-0000-0000-000033030000}"/>
    <cellStyle name="Currency 4 5" xfId="827" xr:uid="{00000000-0005-0000-0000-000034030000}"/>
    <cellStyle name="Currency 5" xfId="828" xr:uid="{00000000-0005-0000-0000-000035030000}"/>
    <cellStyle name="Currency 5 10" xfId="829" xr:uid="{00000000-0005-0000-0000-000036030000}"/>
    <cellStyle name="Currency 5 2" xfId="830" xr:uid="{00000000-0005-0000-0000-000037030000}"/>
    <cellStyle name="Currency 5 2 2" xfId="831" xr:uid="{00000000-0005-0000-0000-000038030000}"/>
    <cellStyle name="Currency 5 2 2 2" xfId="832" xr:uid="{00000000-0005-0000-0000-000039030000}"/>
    <cellStyle name="Currency 5 2 2 2 2" xfId="833" xr:uid="{00000000-0005-0000-0000-00003A030000}"/>
    <cellStyle name="Currency 5 2 2 2 2 2" xfId="834" xr:uid="{00000000-0005-0000-0000-00003B030000}"/>
    <cellStyle name="Currency 5 2 2 2 3" xfId="835" xr:uid="{00000000-0005-0000-0000-00003C030000}"/>
    <cellStyle name="Currency 5 2 2 3" xfId="836" xr:uid="{00000000-0005-0000-0000-00003D030000}"/>
    <cellStyle name="Currency 5 2 2 3 2" xfId="837" xr:uid="{00000000-0005-0000-0000-00003E030000}"/>
    <cellStyle name="Currency 5 2 2 4" xfId="838" xr:uid="{00000000-0005-0000-0000-00003F030000}"/>
    <cellStyle name="Currency 5 2 2 4 2" xfId="839" xr:uid="{00000000-0005-0000-0000-000040030000}"/>
    <cellStyle name="Currency 5 2 2 5" xfId="840" xr:uid="{00000000-0005-0000-0000-000041030000}"/>
    <cellStyle name="Currency 5 2 2 5 2" xfId="841" xr:uid="{00000000-0005-0000-0000-000042030000}"/>
    <cellStyle name="Currency 5 2 2 6" xfId="842" xr:uid="{00000000-0005-0000-0000-000043030000}"/>
    <cellStyle name="Currency 5 2 2 6 2" xfId="843" xr:uid="{00000000-0005-0000-0000-000044030000}"/>
    <cellStyle name="Currency 5 2 2 7" xfId="844" xr:uid="{00000000-0005-0000-0000-000045030000}"/>
    <cellStyle name="Currency 5 2 3" xfId="845" xr:uid="{00000000-0005-0000-0000-000046030000}"/>
    <cellStyle name="Currency 5 2 3 2" xfId="846" xr:uid="{00000000-0005-0000-0000-000047030000}"/>
    <cellStyle name="Currency 5 2 3 2 2" xfId="847" xr:uid="{00000000-0005-0000-0000-000048030000}"/>
    <cellStyle name="Currency 5 2 3 3" xfId="848" xr:uid="{00000000-0005-0000-0000-000049030000}"/>
    <cellStyle name="Currency 5 2 4" xfId="849" xr:uid="{00000000-0005-0000-0000-00004A030000}"/>
    <cellStyle name="Currency 5 2 4 2" xfId="850" xr:uid="{00000000-0005-0000-0000-00004B030000}"/>
    <cellStyle name="Currency 5 2 5" xfId="851" xr:uid="{00000000-0005-0000-0000-00004C030000}"/>
    <cellStyle name="Currency 5 2 5 2" xfId="852" xr:uid="{00000000-0005-0000-0000-00004D030000}"/>
    <cellStyle name="Currency 5 2 6" xfId="853" xr:uid="{00000000-0005-0000-0000-00004E030000}"/>
    <cellStyle name="Currency 5 2 6 2" xfId="854" xr:uid="{00000000-0005-0000-0000-00004F030000}"/>
    <cellStyle name="Currency 5 2 7" xfId="855" xr:uid="{00000000-0005-0000-0000-000050030000}"/>
    <cellStyle name="Currency 5 2 7 2" xfId="856" xr:uid="{00000000-0005-0000-0000-000051030000}"/>
    <cellStyle name="Currency 5 2 8" xfId="857" xr:uid="{00000000-0005-0000-0000-000052030000}"/>
    <cellStyle name="Currency 5 3" xfId="858" xr:uid="{00000000-0005-0000-0000-000053030000}"/>
    <cellStyle name="Currency 5 3 2" xfId="859" xr:uid="{00000000-0005-0000-0000-000054030000}"/>
    <cellStyle name="Currency 5 3 2 2" xfId="860" xr:uid="{00000000-0005-0000-0000-000055030000}"/>
    <cellStyle name="Currency 5 3 2 2 2" xfId="861" xr:uid="{00000000-0005-0000-0000-000056030000}"/>
    <cellStyle name="Currency 5 3 2 3" xfId="862" xr:uid="{00000000-0005-0000-0000-000057030000}"/>
    <cellStyle name="Currency 5 3 3" xfId="863" xr:uid="{00000000-0005-0000-0000-000058030000}"/>
    <cellStyle name="Currency 5 3 3 2" xfId="864" xr:uid="{00000000-0005-0000-0000-000059030000}"/>
    <cellStyle name="Currency 5 3 4" xfId="865" xr:uid="{00000000-0005-0000-0000-00005A030000}"/>
    <cellStyle name="Currency 5 3 4 2" xfId="866" xr:uid="{00000000-0005-0000-0000-00005B030000}"/>
    <cellStyle name="Currency 5 3 5" xfId="867" xr:uid="{00000000-0005-0000-0000-00005C030000}"/>
    <cellStyle name="Currency 5 3 5 2" xfId="868" xr:uid="{00000000-0005-0000-0000-00005D030000}"/>
    <cellStyle name="Currency 5 3 6" xfId="869" xr:uid="{00000000-0005-0000-0000-00005E030000}"/>
    <cellStyle name="Currency 5 3 6 2" xfId="870" xr:uid="{00000000-0005-0000-0000-00005F030000}"/>
    <cellStyle name="Currency 5 3 7" xfId="871" xr:uid="{00000000-0005-0000-0000-000060030000}"/>
    <cellStyle name="Currency 5 4" xfId="872" xr:uid="{00000000-0005-0000-0000-000061030000}"/>
    <cellStyle name="Currency 5 4 2" xfId="873" xr:uid="{00000000-0005-0000-0000-000062030000}"/>
    <cellStyle name="Currency 5 4 2 2" xfId="874" xr:uid="{00000000-0005-0000-0000-000063030000}"/>
    <cellStyle name="Currency 5 4 3" xfId="875" xr:uid="{00000000-0005-0000-0000-000064030000}"/>
    <cellStyle name="Currency 5 4 3 2" xfId="876" xr:uid="{00000000-0005-0000-0000-000065030000}"/>
    <cellStyle name="Currency 5 4 4" xfId="877" xr:uid="{00000000-0005-0000-0000-000066030000}"/>
    <cellStyle name="Currency 5 5" xfId="878" xr:uid="{00000000-0005-0000-0000-000067030000}"/>
    <cellStyle name="Currency 5 5 2" xfId="879" xr:uid="{00000000-0005-0000-0000-000068030000}"/>
    <cellStyle name="Currency 5 5 2 2" xfId="880" xr:uid="{00000000-0005-0000-0000-000069030000}"/>
    <cellStyle name="Currency 5 5 3" xfId="881" xr:uid="{00000000-0005-0000-0000-00006A030000}"/>
    <cellStyle name="Currency 5 6" xfId="882" xr:uid="{00000000-0005-0000-0000-00006B030000}"/>
    <cellStyle name="Currency 5 6 2" xfId="883" xr:uid="{00000000-0005-0000-0000-00006C030000}"/>
    <cellStyle name="Currency 5 7" xfId="884" xr:uid="{00000000-0005-0000-0000-00006D030000}"/>
    <cellStyle name="Currency 5 7 2" xfId="885" xr:uid="{00000000-0005-0000-0000-00006E030000}"/>
    <cellStyle name="Currency 5 8" xfId="886" xr:uid="{00000000-0005-0000-0000-00006F030000}"/>
    <cellStyle name="Currency 5 8 2" xfId="887" xr:uid="{00000000-0005-0000-0000-000070030000}"/>
    <cellStyle name="Currency 5 9" xfId="888" xr:uid="{00000000-0005-0000-0000-000071030000}"/>
    <cellStyle name="Currency 6" xfId="889" xr:uid="{00000000-0005-0000-0000-000072030000}"/>
    <cellStyle name="Currency 7" xfId="890" xr:uid="{00000000-0005-0000-0000-000073030000}"/>
    <cellStyle name="Currency 8" xfId="891" xr:uid="{00000000-0005-0000-0000-000074030000}"/>
    <cellStyle name="Currency 8 2" xfId="892" xr:uid="{00000000-0005-0000-0000-000075030000}"/>
    <cellStyle name="Currency 9" xfId="893" xr:uid="{00000000-0005-0000-0000-000076030000}"/>
    <cellStyle name="Currency p" xfId="894" xr:uid="{00000000-0005-0000-0000-000077030000}"/>
    <cellStyle name="D216" xfId="895" xr:uid="{00000000-0005-0000-0000-000078030000}"/>
    <cellStyle name="Date" xfId="896" xr:uid="{00000000-0005-0000-0000-000079030000}"/>
    <cellStyle name="Decimal (2dp)" xfId="897" xr:uid="{00000000-0005-0000-0000-00007A030000}"/>
    <cellStyle name="Decimal (5dp)" xfId="898" xr:uid="{00000000-0005-0000-0000-00007B030000}"/>
    <cellStyle name="Developer" xfId="899" xr:uid="{00000000-0005-0000-0000-00007C030000}"/>
    <cellStyle name="Display Control" xfId="900" xr:uid="{00000000-0005-0000-0000-00007D030000}"/>
    <cellStyle name="Dropdown list" xfId="901" xr:uid="{00000000-0005-0000-0000-00007E030000}"/>
    <cellStyle name="Euro" xfId="902" xr:uid="{00000000-0005-0000-0000-00007F030000}"/>
    <cellStyle name="Euro 2" xfId="903" xr:uid="{00000000-0005-0000-0000-000080030000}"/>
    <cellStyle name="Explanatory Text 2" xfId="904" xr:uid="{00000000-0005-0000-0000-000081030000}"/>
    <cellStyle name="Explanatory Text 2 2" xfId="905" xr:uid="{00000000-0005-0000-0000-000082030000}"/>
    <cellStyle name="Explanatory Text 3" xfId="906" xr:uid="{00000000-0005-0000-0000-000083030000}"/>
    <cellStyle name="Explanatory Text 4" xfId="907" xr:uid="{00000000-0005-0000-0000-000084030000}"/>
    <cellStyle name="EY House" xfId="908" xr:uid="{00000000-0005-0000-0000-000085030000}"/>
    <cellStyle name="Followed Hyperlink 2" xfId="909" xr:uid="{00000000-0005-0000-0000-000086030000}"/>
    <cellStyle name="Good 2" xfId="910" xr:uid="{00000000-0005-0000-0000-000087030000}"/>
    <cellStyle name="Good 2 2" xfId="911" xr:uid="{00000000-0005-0000-0000-000088030000}"/>
    <cellStyle name="Good 3" xfId="912" xr:uid="{00000000-0005-0000-0000-000089030000}"/>
    <cellStyle name="Gr-Or Spectrum" xfId="913" xr:uid="{00000000-0005-0000-0000-00008A030000}"/>
    <cellStyle name="GSHP Heading" xfId="914" xr:uid="{00000000-0005-0000-0000-00008B030000}"/>
    <cellStyle name="Heading 1 2" xfId="915" xr:uid="{00000000-0005-0000-0000-00008C030000}"/>
    <cellStyle name="Heading 1 2 2" xfId="916" xr:uid="{00000000-0005-0000-0000-00008D030000}"/>
    <cellStyle name="Heading 1 3" xfId="917" xr:uid="{00000000-0005-0000-0000-00008E030000}"/>
    <cellStyle name="Heading 1 4" xfId="918" xr:uid="{00000000-0005-0000-0000-00008F030000}"/>
    <cellStyle name="Heading 2 2" xfId="919" xr:uid="{00000000-0005-0000-0000-000090030000}"/>
    <cellStyle name="Heading 2 2 2" xfId="920" xr:uid="{00000000-0005-0000-0000-000091030000}"/>
    <cellStyle name="Heading 2 3" xfId="921" xr:uid="{00000000-0005-0000-0000-000092030000}"/>
    <cellStyle name="Heading 2 4" xfId="922" xr:uid="{00000000-0005-0000-0000-000093030000}"/>
    <cellStyle name="Heading 3 2" xfId="923" xr:uid="{00000000-0005-0000-0000-000094030000}"/>
    <cellStyle name="Heading 3 2 2" xfId="924" xr:uid="{00000000-0005-0000-0000-000095030000}"/>
    <cellStyle name="Heading 3 3" xfId="925" xr:uid="{00000000-0005-0000-0000-000096030000}"/>
    <cellStyle name="Heading 3 4" xfId="926" xr:uid="{00000000-0005-0000-0000-000097030000}"/>
    <cellStyle name="Heading 4 2" xfId="927" xr:uid="{00000000-0005-0000-0000-000098030000}"/>
    <cellStyle name="Heading 4 2 2" xfId="928" xr:uid="{00000000-0005-0000-0000-000099030000}"/>
    <cellStyle name="Heading 4 3" xfId="929" xr:uid="{00000000-0005-0000-0000-00009A030000}"/>
    <cellStyle name="Heading3" xfId="930" xr:uid="{00000000-0005-0000-0000-00009B030000}"/>
    <cellStyle name="Headline1" xfId="931" xr:uid="{00000000-0005-0000-0000-00009C030000}"/>
    <cellStyle name="Headline2" xfId="932" xr:uid="{00000000-0005-0000-0000-00009D030000}"/>
    <cellStyle name="Headline3" xfId="933" xr:uid="{00000000-0005-0000-0000-00009E030000}"/>
    <cellStyle name="Hidden" xfId="934" xr:uid="{00000000-0005-0000-0000-00009F030000}"/>
    <cellStyle name="Hidden Text" xfId="935" xr:uid="{00000000-0005-0000-0000-0000A0030000}"/>
    <cellStyle name="Hyperlink 2" xfId="936" xr:uid="{00000000-0005-0000-0000-0000A1030000}"/>
    <cellStyle name="Hyperlink 2 2" xfId="937" xr:uid="{00000000-0005-0000-0000-0000A2030000}"/>
    <cellStyle name="Hyperlink 3" xfId="938" xr:uid="{00000000-0005-0000-0000-0000A3030000}"/>
    <cellStyle name="Hyperlink 3 2" xfId="939" xr:uid="{00000000-0005-0000-0000-0000A4030000}"/>
    <cellStyle name="Hyperlink 3 3" xfId="940" xr:uid="{00000000-0005-0000-0000-0000A5030000}"/>
    <cellStyle name="Hyperlink 4" xfId="941" xr:uid="{00000000-0005-0000-0000-0000A6030000}"/>
    <cellStyle name="Hyperlink 5" xfId="942" xr:uid="{00000000-0005-0000-0000-0000A7030000}"/>
    <cellStyle name="Hyperlink 6" xfId="943" xr:uid="{00000000-0005-0000-0000-0000A8030000}"/>
    <cellStyle name="Hyperlink 7" xfId="944" xr:uid="{00000000-0005-0000-0000-0000A9030000}"/>
    <cellStyle name="Input 2" xfId="945" xr:uid="{00000000-0005-0000-0000-0000AA030000}"/>
    <cellStyle name="Input 2 2" xfId="946" xr:uid="{00000000-0005-0000-0000-0000AB030000}"/>
    <cellStyle name="Input 2 2 2" xfId="947" xr:uid="{00000000-0005-0000-0000-0000AC030000}"/>
    <cellStyle name="Input 2 2 2 2" xfId="948" xr:uid="{00000000-0005-0000-0000-0000AD030000}"/>
    <cellStyle name="Input 2 2 2 2 2" xfId="949" xr:uid="{00000000-0005-0000-0000-0000AE030000}"/>
    <cellStyle name="Input 2 2 2 2 2 2" xfId="950" xr:uid="{00000000-0005-0000-0000-0000AF030000}"/>
    <cellStyle name="Input 2 2 2 2 2 3" xfId="951" xr:uid="{00000000-0005-0000-0000-0000B0030000}"/>
    <cellStyle name="Input 2 2 2 2 2 4" xfId="952" xr:uid="{00000000-0005-0000-0000-0000B1030000}"/>
    <cellStyle name="Input 2 2 2 2 3" xfId="953" xr:uid="{00000000-0005-0000-0000-0000B2030000}"/>
    <cellStyle name="Input 2 2 2 2 4" xfId="954" xr:uid="{00000000-0005-0000-0000-0000B3030000}"/>
    <cellStyle name="Input 2 2 2 2 5" xfId="955" xr:uid="{00000000-0005-0000-0000-0000B4030000}"/>
    <cellStyle name="Input 2 2 2 3" xfId="956" xr:uid="{00000000-0005-0000-0000-0000B5030000}"/>
    <cellStyle name="Input 2 2 2 3 2" xfId="957" xr:uid="{00000000-0005-0000-0000-0000B6030000}"/>
    <cellStyle name="Input 2 2 2 3 2 2" xfId="958" xr:uid="{00000000-0005-0000-0000-0000B7030000}"/>
    <cellStyle name="Input 2 2 2 3 2 3" xfId="959" xr:uid="{00000000-0005-0000-0000-0000B8030000}"/>
    <cellStyle name="Input 2 2 2 3 2 4" xfId="960" xr:uid="{00000000-0005-0000-0000-0000B9030000}"/>
    <cellStyle name="Input 2 2 2 3 3" xfId="961" xr:uid="{00000000-0005-0000-0000-0000BA030000}"/>
    <cellStyle name="Input 2 2 2 3 4" xfId="962" xr:uid="{00000000-0005-0000-0000-0000BB030000}"/>
    <cellStyle name="Input 2 2 2 3 5" xfId="963" xr:uid="{00000000-0005-0000-0000-0000BC030000}"/>
    <cellStyle name="Input 2 2 2 4" xfId="964" xr:uid="{00000000-0005-0000-0000-0000BD030000}"/>
    <cellStyle name="Input 2 2 2 4 2" xfId="965" xr:uid="{00000000-0005-0000-0000-0000BE030000}"/>
    <cellStyle name="Input 2 2 2 4 3" xfId="966" xr:uid="{00000000-0005-0000-0000-0000BF030000}"/>
    <cellStyle name="Input 2 2 2 4 4" xfId="967" xr:uid="{00000000-0005-0000-0000-0000C0030000}"/>
    <cellStyle name="Input 2 2 2 5" xfId="968" xr:uid="{00000000-0005-0000-0000-0000C1030000}"/>
    <cellStyle name="Input 2 2 2 6" xfId="969" xr:uid="{00000000-0005-0000-0000-0000C2030000}"/>
    <cellStyle name="Input 2 2 2 7" xfId="970" xr:uid="{00000000-0005-0000-0000-0000C3030000}"/>
    <cellStyle name="Input 2 2 3" xfId="971" xr:uid="{00000000-0005-0000-0000-0000C4030000}"/>
    <cellStyle name="Input 2 2 3 2" xfId="972" xr:uid="{00000000-0005-0000-0000-0000C5030000}"/>
    <cellStyle name="Input 2 2 3 2 2" xfId="973" xr:uid="{00000000-0005-0000-0000-0000C6030000}"/>
    <cellStyle name="Input 2 2 3 2 2 2" xfId="974" xr:uid="{00000000-0005-0000-0000-0000C7030000}"/>
    <cellStyle name="Input 2 2 3 2 2 3" xfId="975" xr:uid="{00000000-0005-0000-0000-0000C8030000}"/>
    <cellStyle name="Input 2 2 3 2 2 4" xfId="976" xr:uid="{00000000-0005-0000-0000-0000C9030000}"/>
    <cellStyle name="Input 2 2 3 2 3" xfId="977" xr:uid="{00000000-0005-0000-0000-0000CA030000}"/>
    <cellStyle name="Input 2 2 3 2 4" xfId="978" xr:uid="{00000000-0005-0000-0000-0000CB030000}"/>
    <cellStyle name="Input 2 2 3 2 5" xfId="979" xr:uid="{00000000-0005-0000-0000-0000CC030000}"/>
    <cellStyle name="Input 2 2 3 3" xfId="980" xr:uid="{00000000-0005-0000-0000-0000CD030000}"/>
    <cellStyle name="Input 2 2 3 3 2" xfId="981" xr:uid="{00000000-0005-0000-0000-0000CE030000}"/>
    <cellStyle name="Input 2 2 3 3 2 2" xfId="982" xr:uid="{00000000-0005-0000-0000-0000CF030000}"/>
    <cellStyle name="Input 2 2 3 3 2 3" xfId="983" xr:uid="{00000000-0005-0000-0000-0000D0030000}"/>
    <cellStyle name="Input 2 2 3 3 2 4" xfId="984" xr:uid="{00000000-0005-0000-0000-0000D1030000}"/>
    <cellStyle name="Input 2 2 3 3 3" xfId="985" xr:uid="{00000000-0005-0000-0000-0000D2030000}"/>
    <cellStyle name="Input 2 2 3 3 4" xfId="986" xr:uid="{00000000-0005-0000-0000-0000D3030000}"/>
    <cellStyle name="Input 2 2 3 3 5" xfId="987" xr:uid="{00000000-0005-0000-0000-0000D4030000}"/>
    <cellStyle name="Input 2 2 3 4" xfId="988" xr:uid="{00000000-0005-0000-0000-0000D5030000}"/>
    <cellStyle name="Input 2 2 3 4 2" xfId="989" xr:uid="{00000000-0005-0000-0000-0000D6030000}"/>
    <cellStyle name="Input 2 2 3 4 3" xfId="990" xr:uid="{00000000-0005-0000-0000-0000D7030000}"/>
    <cellStyle name="Input 2 2 3 4 4" xfId="991" xr:uid="{00000000-0005-0000-0000-0000D8030000}"/>
    <cellStyle name="Input 2 2 3 5" xfId="992" xr:uid="{00000000-0005-0000-0000-0000D9030000}"/>
    <cellStyle name="Input 2 2 3 6" xfId="993" xr:uid="{00000000-0005-0000-0000-0000DA030000}"/>
    <cellStyle name="Input 2 2 3 7" xfId="994" xr:uid="{00000000-0005-0000-0000-0000DB030000}"/>
    <cellStyle name="Input 2 2 4" xfId="995" xr:uid="{00000000-0005-0000-0000-0000DC030000}"/>
    <cellStyle name="Input 2 2 4 2" xfId="996" xr:uid="{00000000-0005-0000-0000-0000DD030000}"/>
    <cellStyle name="Input 2 2 4 2 2" xfId="997" xr:uid="{00000000-0005-0000-0000-0000DE030000}"/>
    <cellStyle name="Input 2 2 4 2 2 2" xfId="998" xr:uid="{00000000-0005-0000-0000-0000DF030000}"/>
    <cellStyle name="Input 2 2 4 2 2 3" xfId="999" xr:uid="{00000000-0005-0000-0000-0000E0030000}"/>
    <cellStyle name="Input 2 2 4 2 2 4" xfId="1000" xr:uid="{00000000-0005-0000-0000-0000E1030000}"/>
    <cellStyle name="Input 2 2 4 2 3" xfId="1001" xr:uid="{00000000-0005-0000-0000-0000E2030000}"/>
    <cellStyle name="Input 2 2 4 2 4" xfId="1002" xr:uid="{00000000-0005-0000-0000-0000E3030000}"/>
    <cellStyle name="Input 2 2 4 2 5" xfId="1003" xr:uid="{00000000-0005-0000-0000-0000E4030000}"/>
    <cellStyle name="Input 2 2 4 3" xfId="1004" xr:uid="{00000000-0005-0000-0000-0000E5030000}"/>
    <cellStyle name="Input 2 2 4 3 2" xfId="1005" xr:uid="{00000000-0005-0000-0000-0000E6030000}"/>
    <cellStyle name="Input 2 2 4 3 2 2" xfId="1006" xr:uid="{00000000-0005-0000-0000-0000E7030000}"/>
    <cellStyle name="Input 2 2 4 3 2 3" xfId="1007" xr:uid="{00000000-0005-0000-0000-0000E8030000}"/>
    <cellStyle name="Input 2 2 4 3 2 4" xfId="1008" xr:uid="{00000000-0005-0000-0000-0000E9030000}"/>
    <cellStyle name="Input 2 2 4 3 3" xfId="1009" xr:uid="{00000000-0005-0000-0000-0000EA030000}"/>
    <cellStyle name="Input 2 2 4 3 4" xfId="1010" xr:uid="{00000000-0005-0000-0000-0000EB030000}"/>
    <cellStyle name="Input 2 2 4 3 5" xfId="1011" xr:uid="{00000000-0005-0000-0000-0000EC030000}"/>
    <cellStyle name="Input 2 2 4 4" xfId="1012" xr:uid="{00000000-0005-0000-0000-0000ED030000}"/>
    <cellStyle name="Input 2 2 4 4 2" xfId="1013" xr:uid="{00000000-0005-0000-0000-0000EE030000}"/>
    <cellStyle name="Input 2 2 4 4 3" xfId="1014" xr:uid="{00000000-0005-0000-0000-0000EF030000}"/>
    <cellStyle name="Input 2 2 4 4 4" xfId="1015" xr:uid="{00000000-0005-0000-0000-0000F0030000}"/>
    <cellStyle name="Input 2 2 4 5" xfId="1016" xr:uid="{00000000-0005-0000-0000-0000F1030000}"/>
    <cellStyle name="Input 2 2 4 6" xfId="1017" xr:uid="{00000000-0005-0000-0000-0000F2030000}"/>
    <cellStyle name="Input 2 2 4 7" xfId="1018" xr:uid="{00000000-0005-0000-0000-0000F3030000}"/>
    <cellStyle name="Input 2 2 5" xfId="1019" xr:uid="{00000000-0005-0000-0000-0000F4030000}"/>
    <cellStyle name="Input 2 2 5 2" xfId="1020" xr:uid="{00000000-0005-0000-0000-0000F5030000}"/>
    <cellStyle name="Input 2 2 5 2 2" xfId="1021" xr:uid="{00000000-0005-0000-0000-0000F6030000}"/>
    <cellStyle name="Input 2 2 5 2 3" xfId="1022" xr:uid="{00000000-0005-0000-0000-0000F7030000}"/>
    <cellStyle name="Input 2 2 5 2 4" xfId="1023" xr:uid="{00000000-0005-0000-0000-0000F8030000}"/>
    <cellStyle name="Input 2 2 5 3" xfId="1024" xr:uid="{00000000-0005-0000-0000-0000F9030000}"/>
    <cellStyle name="Input 2 2 5 4" xfId="1025" xr:uid="{00000000-0005-0000-0000-0000FA030000}"/>
    <cellStyle name="Input 2 2 5 5" xfId="1026" xr:uid="{00000000-0005-0000-0000-0000FB030000}"/>
    <cellStyle name="Input 2 2 6" xfId="1027" xr:uid="{00000000-0005-0000-0000-0000FC030000}"/>
    <cellStyle name="Input 2 2 6 2" xfId="1028" xr:uid="{00000000-0005-0000-0000-0000FD030000}"/>
    <cellStyle name="Input 2 2 6 2 2" xfId="1029" xr:uid="{00000000-0005-0000-0000-0000FE030000}"/>
    <cellStyle name="Input 2 2 6 2 3" xfId="1030" xr:uid="{00000000-0005-0000-0000-0000FF030000}"/>
    <cellStyle name="Input 2 2 6 2 4" xfId="1031" xr:uid="{00000000-0005-0000-0000-000000040000}"/>
    <cellStyle name="Input 2 2 6 3" xfId="1032" xr:uid="{00000000-0005-0000-0000-000001040000}"/>
    <cellStyle name="Input 2 2 6 4" xfId="1033" xr:uid="{00000000-0005-0000-0000-000002040000}"/>
    <cellStyle name="Input 2 2 6 5" xfId="1034" xr:uid="{00000000-0005-0000-0000-000003040000}"/>
    <cellStyle name="Input 2 2 7" xfId="1035" xr:uid="{00000000-0005-0000-0000-000004040000}"/>
    <cellStyle name="Input 2 3" xfId="1036" xr:uid="{00000000-0005-0000-0000-000005040000}"/>
    <cellStyle name="Input 2 3 2" xfId="1037" xr:uid="{00000000-0005-0000-0000-000006040000}"/>
    <cellStyle name="Input 2 3 2 2" xfId="1038" xr:uid="{00000000-0005-0000-0000-000007040000}"/>
    <cellStyle name="Input 2 3 2 2 2" xfId="1039" xr:uid="{00000000-0005-0000-0000-000008040000}"/>
    <cellStyle name="Input 2 3 2 2 3" xfId="1040" xr:uid="{00000000-0005-0000-0000-000009040000}"/>
    <cellStyle name="Input 2 3 2 2 4" xfId="1041" xr:uid="{00000000-0005-0000-0000-00000A040000}"/>
    <cellStyle name="Input 2 3 2 3" xfId="1042" xr:uid="{00000000-0005-0000-0000-00000B040000}"/>
    <cellStyle name="Input 2 3 2 4" xfId="1043" xr:uid="{00000000-0005-0000-0000-00000C040000}"/>
    <cellStyle name="Input 2 3 2 5" xfId="1044" xr:uid="{00000000-0005-0000-0000-00000D040000}"/>
    <cellStyle name="Input 2 3 3" xfId="1045" xr:uid="{00000000-0005-0000-0000-00000E040000}"/>
    <cellStyle name="Input 2 3 3 2" xfId="1046" xr:uid="{00000000-0005-0000-0000-00000F040000}"/>
    <cellStyle name="Input 2 3 3 2 2" xfId="1047" xr:uid="{00000000-0005-0000-0000-000010040000}"/>
    <cellStyle name="Input 2 3 3 2 3" xfId="1048" xr:uid="{00000000-0005-0000-0000-000011040000}"/>
    <cellStyle name="Input 2 3 3 2 4" xfId="1049" xr:uid="{00000000-0005-0000-0000-000012040000}"/>
    <cellStyle name="Input 2 3 3 3" xfId="1050" xr:uid="{00000000-0005-0000-0000-000013040000}"/>
    <cellStyle name="Input 2 3 3 4" xfId="1051" xr:uid="{00000000-0005-0000-0000-000014040000}"/>
    <cellStyle name="Input 2 3 3 5" xfId="1052" xr:uid="{00000000-0005-0000-0000-000015040000}"/>
    <cellStyle name="Input 2 3 4" xfId="1053" xr:uid="{00000000-0005-0000-0000-000016040000}"/>
    <cellStyle name="Input 2 3 4 2" xfId="1054" xr:uid="{00000000-0005-0000-0000-000017040000}"/>
    <cellStyle name="Input 2 3 4 3" xfId="1055" xr:uid="{00000000-0005-0000-0000-000018040000}"/>
    <cellStyle name="Input 2 3 4 4" xfId="1056" xr:uid="{00000000-0005-0000-0000-000019040000}"/>
    <cellStyle name="Input 2 3 5" xfId="1057" xr:uid="{00000000-0005-0000-0000-00001A040000}"/>
    <cellStyle name="Input 2 3 6" xfId="1058" xr:uid="{00000000-0005-0000-0000-00001B040000}"/>
    <cellStyle name="Input 2 3 7" xfId="1059" xr:uid="{00000000-0005-0000-0000-00001C040000}"/>
    <cellStyle name="Input 2 4" xfId="1060" xr:uid="{00000000-0005-0000-0000-00001D040000}"/>
    <cellStyle name="Input 2 4 2" xfId="1061" xr:uid="{00000000-0005-0000-0000-00001E040000}"/>
    <cellStyle name="Input 2 4 2 2" xfId="1062" xr:uid="{00000000-0005-0000-0000-00001F040000}"/>
    <cellStyle name="Input 2 4 2 2 2" xfId="1063" xr:uid="{00000000-0005-0000-0000-000020040000}"/>
    <cellStyle name="Input 2 4 2 2 3" xfId="1064" xr:uid="{00000000-0005-0000-0000-000021040000}"/>
    <cellStyle name="Input 2 4 2 2 4" xfId="1065" xr:uid="{00000000-0005-0000-0000-000022040000}"/>
    <cellStyle name="Input 2 4 2 3" xfId="1066" xr:uid="{00000000-0005-0000-0000-000023040000}"/>
    <cellStyle name="Input 2 4 2 4" xfId="1067" xr:uid="{00000000-0005-0000-0000-000024040000}"/>
    <cellStyle name="Input 2 4 2 5" xfId="1068" xr:uid="{00000000-0005-0000-0000-000025040000}"/>
    <cellStyle name="Input 2 4 3" xfId="1069" xr:uid="{00000000-0005-0000-0000-000026040000}"/>
    <cellStyle name="Input 2 4 3 2" xfId="1070" xr:uid="{00000000-0005-0000-0000-000027040000}"/>
    <cellStyle name="Input 2 4 3 2 2" xfId="1071" xr:uid="{00000000-0005-0000-0000-000028040000}"/>
    <cellStyle name="Input 2 4 3 2 3" xfId="1072" xr:uid="{00000000-0005-0000-0000-000029040000}"/>
    <cellStyle name="Input 2 4 3 2 4" xfId="1073" xr:uid="{00000000-0005-0000-0000-00002A040000}"/>
    <cellStyle name="Input 2 4 3 3" xfId="1074" xr:uid="{00000000-0005-0000-0000-00002B040000}"/>
    <cellStyle name="Input 2 4 3 4" xfId="1075" xr:uid="{00000000-0005-0000-0000-00002C040000}"/>
    <cellStyle name="Input 2 4 3 5" xfId="1076" xr:uid="{00000000-0005-0000-0000-00002D040000}"/>
    <cellStyle name="Input 2 4 4" xfId="1077" xr:uid="{00000000-0005-0000-0000-00002E040000}"/>
    <cellStyle name="Input 2 4 4 2" xfId="1078" xr:uid="{00000000-0005-0000-0000-00002F040000}"/>
    <cellStyle name="Input 2 4 4 3" xfId="1079" xr:uid="{00000000-0005-0000-0000-000030040000}"/>
    <cellStyle name="Input 2 4 4 4" xfId="1080" xr:uid="{00000000-0005-0000-0000-000031040000}"/>
    <cellStyle name="Input 2 4 5" xfId="1081" xr:uid="{00000000-0005-0000-0000-000032040000}"/>
    <cellStyle name="Input 2 4 6" xfId="1082" xr:uid="{00000000-0005-0000-0000-000033040000}"/>
    <cellStyle name="Input 2 4 7" xfId="1083" xr:uid="{00000000-0005-0000-0000-000034040000}"/>
    <cellStyle name="Input 2 5" xfId="1084" xr:uid="{00000000-0005-0000-0000-000035040000}"/>
    <cellStyle name="Input 2 5 2" xfId="1085" xr:uid="{00000000-0005-0000-0000-000036040000}"/>
    <cellStyle name="Input 2 5 2 2" xfId="1086" xr:uid="{00000000-0005-0000-0000-000037040000}"/>
    <cellStyle name="Input 2 5 2 2 2" xfId="1087" xr:uid="{00000000-0005-0000-0000-000038040000}"/>
    <cellStyle name="Input 2 5 2 2 3" xfId="1088" xr:uid="{00000000-0005-0000-0000-000039040000}"/>
    <cellStyle name="Input 2 5 2 2 4" xfId="1089" xr:uid="{00000000-0005-0000-0000-00003A040000}"/>
    <cellStyle name="Input 2 5 2 3" xfId="1090" xr:uid="{00000000-0005-0000-0000-00003B040000}"/>
    <cellStyle name="Input 2 5 2 4" xfId="1091" xr:uid="{00000000-0005-0000-0000-00003C040000}"/>
    <cellStyle name="Input 2 5 2 5" xfId="1092" xr:uid="{00000000-0005-0000-0000-00003D040000}"/>
    <cellStyle name="Input 2 5 3" xfId="1093" xr:uid="{00000000-0005-0000-0000-00003E040000}"/>
    <cellStyle name="Input 2 5 3 2" xfId="1094" xr:uid="{00000000-0005-0000-0000-00003F040000}"/>
    <cellStyle name="Input 2 5 3 2 2" xfId="1095" xr:uid="{00000000-0005-0000-0000-000040040000}"/>
    <cellStyle name="Input 2 5 3 2 3" xfId="1096" xr:uid="{00000000-0005-0000-0000-000041040000}"/>
    <cellStyle name="Input 2 5 3 2 4" xfId="1097" xr:uid="{00000000-0005-0000-0000-000042040000}"/>
    <cellStyle name="Input 2 5 3 3" xfId="1098" xr:uid="{00000000-0005-0000-0000-000043040000}"/>
    <cellStyle name="Input 2 5 3 4" xfId="1099" xr:uid="{00000000-0005-0000-0000-000044040000}"/>
    <cellStyle name="Input 2 5 3 5" xfId="1100" xr:uid="{00000000-0005-0000-0000-000045040000}"/>
    <cellStyle name="Input 2 5 4" xfId="1101" xr:uid="{00000000-0005-0000-0000-000046040000}"/>
    <cellStyle name="Input 2 5 4 2" xfId="1102" xr:uid="{00000000-0005-0000-0000-000047040000}"/>
    <cellStyle name="Input 2 5 4 3" xfId="1103" xr:uid="{00000000-0005-0000-0000-000048040000}"/>
    <cellStyle name="Input 2 5 4 4" xfId="1104" xr:uid="{00000000-0005-0000-0000-000049040000}"/>
    <cellStyle name="Input 2 5 5" xfId="1105" xr:uid="{00000000-0005-0000-0000-00004A040000}"/>
    <cellStyle name="Input 2 5 6" xfId="1106" xr:uid="{00000000-0005-0000-0000-00004B040000}"/>
    <cellStyle name="Input 2 5 7" xfId="1107" xr:uid="{00000000-0005-0000-0000-00004C040000}"/>
    <cellStyle name="Input 2 6" xfId="1108" xr:uid="{00000000-0005-0000-0000-00004D040000}"/>
    <cellStyle name="Input 2 7" xfId="1109" xr:uid="{00000000-0005-0000-0000-00004E040000}"/>
    <cellStyle name="Input 3" xfId="1110" xr:uid="{00000000-0005-0000-0000-00004F040000}"/>
    <cellStyle name="Input 3 2" xfId="1111" xr:uid="{00000000-0005-0000-0000-000050040000}"/>
    <cellStyle name="Input 3 2 2" xfId="1112" xr:uid="{00000000-0005-0000-0000-000051040000}"/>
    <cellStyle name="Input 3 2 2 2" xfId="1113" xr:uid="{00000000-0005-0000-0000-000052040000}"/>
    <cellStyle name="Input 3 2 2 2 2" xfId="1114" xr:uid="{00000000-0005-0000-0000-000053040000}"/>
    <cellStyle name="Input 3 2 2 2 2 2" xfId="1115" xr:uid="{00000000-0005-0000-0000-000054040000}"/>
    <cellStyle name="Input 3 2 2 2 2 3" xfId="1116" xr:uid="{00000000-0005-0000-0000-000055040000}"/>
    <cellStyle name="Input 3 2 2 2 2 4" xfId="1117" xr:uid="{00000000-0005-0000-0000-000056040000}"/>
    <cellStyle name="Input 3 2 2 2 3" xfId="1118" xr:uid="{00000000-0005-0000-0000-000057040000}"/>
    <cellStyle name="Input 3 2 2 2 4" xfId="1119" xr:uid="{00000000-0005-0000-0000-000058040000}"/>
    <cellStyle name="Input 3 2 2 2 5" xfId="1120" xr:uid="{00000000-0005-0000-0000-000059040000}"/>
    <cellStyle name="Input 3 2 2 3" xfId="1121" xr:uid="{00000000-0005-0000-0000-00005A040000}"/>
    <cellStyle name="Input 3 2 2 3 2" xfId="1122" xr:uid="{00000000-0005-0000-0000-00005B040000}"/>
    <cellStyle name="Input 3 2 2 3 2 2" xfId="1123" xr:uid="{00000000-0005-0000-0000-00005C040000}"/>
    <cellStyle name="Input 3 2 2 3 2 3" xfId="1124" xr:uid="{00000000-0005-0000-0000-00005D040000}"/>
    <cellStyle name="Input 3 2 2 3 2 4" xfId="1125" xr:uid="{00000000-0005-0000-0000-00005E040000}"/>
    <cellStyle name="Input 3 2 2 3 3" xfId="1126" xr:uid="{00000000-0005-0000-0000-00005F040000}"/>
    <cellStyle name="Input 3 2 2 3 4" xfId="1127" xr:uid="{00000000-0005-0000-0000-000060040000}"/>
    <cellStyle name="Input 3 2 2 3 5" xfId="1128" xr:uid="{00000000-0005-0000-0000-000061040000}"/>
    <cellStyle name="Input 3 2 2 4" xfId="1129" xr:uid="{00000000-0005-0000-0000-000062040000}"/>
    <cellStyle name="Input 3 2 2 4 2" xfId="1130" xr:uid="{00000000-0005-0000-0000-000063040000}"/>
    <cellStyle name="Input 3 2 2 4 3" xfId="1131" xr:uid="{00000000-0005-0000-0000-000064040000}"/>
    <cellStyle name="Input 3 2 2 4 4" xfId="1132" xr:uid="{00000000-0005-0000-0000-000065040000}"/>
    <cellStyle name="Input 3 2 2 5" xfId="1133" xr:uid="{00000000-0005-0000-0000-000066040000}"/>
    <cellStyle name="Input 3 2 2 6" xfId="1134" xr:uid="{00000000-0005-0000-0000-000067040000}"/>
    <cellStyle name="Input 3 2 2 7" xfId="1135" xr:uid="{00000000-0005-0000-0000-000068040000}"/>
    <cellStyle name="Input 3 2 3" xfId="1136" xr:uid="{00000000-0005-0000-0000-000069040000}"/>
    <cellStyle name="Input 3 2 3 2" xfId="1137" xr:uid="{00000000-0005-0000-0000-00006A040000}"/>
    <cellStyle name="Input 3 2 3 2 2" xfId="1138" xr:uid="{00000000-0005-0000-0000-00006B040000}"/>
    <cellStyle name="Input 3 2 3 2 2 2" xfId="1139" xr:uid="{00000000-0005-0000-0000-00006C040000}"/>
    <cellStyle name="Input 3 2 3 2 2 3" xfId="1140" xr:uid="{00000000-0005-0000-0000-00006D040000}"/>
    <cellStyle name="Input 3 2 3 2 2 4" xfId="1141" xr:uid="{00000000-0005-0000-0000-00006E040000}"/>
    <cellStyle name="Input 3 2 3 2 3" xfId="1142" xr:uid="{00000000-0005-0000-0000-00006F040000}"/>
    <cellStyle name="Input 3 2 3 2 4" xfId="1143" xr:uid="{00000000-0005-0000-0000-000070040000}"/>
    <cellStyle name="Input 3 2 3 2 5" xfId="1144" xr:uid="{00000000-0005-0000-0000-000071040000}"/>
    <cellStyle name="Input 3 2 3 3" xfId="1145" xr:uid="{00000000-0005-0000-0000-000072040000}"/>
    <cellStyle name="Input 3 2 3 3 2" xfId="1146" xr:uid="{00000000-0005-0000-0000-000073040000}"/>
    <cellStyle name="Input 3 2 3 3 2 2" xfId="1147" xr:uid="{00000000-0005-0000-0000-000074040000}"/>
    <cellStyle name="Input 3 2 3 3 2 3" xfId="1148" xr:uid="{00000000-0005-0000-0000-000075040000}"/>
    <cellStyle name="Input 3 2 3 3 2 4" xfId="1149" xr:uid="{00000000-0005-0000-0000-000076040000}"/>
    <cellStyle name="Input 3 2 3 3 3" xfId="1150" xr:uid="{00000000-0005-0000-0000-000077040000}"/>
    <cellStyle name="Input 3 2 3 3 4" xfId="1151" xr:uid="{00000000-0005-0000-0000-000078040000}"/>
    <cellStyle name="Input 3 2 3 3 5" xfId="1152" xr:uid="{00000000-0005-0000-0000-000079040000}"/>
    <cellStyle name="Input 3 2 3 4" xfId="1153" xr:uid="{00000000-0005-0000-0000-00007A040000}"/>
    <cellStyle name="Input 3 2 3 4 2" xfId="1154" xr:uid="{00000000-0005-0000-0000-00007B040000}"/>
    <cellStyle name="Input 3 2 3 4 3" xfId="1155" xr:uid="{00000000-0005-0000-0000-00007C040000}"/>
    <cellStyle name="Input 3 2 3 4 4" xfId="1156" xr:uid="{00000000-0005-0000-0000-00007D040000}"/>
    <cellStyle name="Input 3 2 3 5" xfId="1157" xr:uid="{00000000-0005-0000-0000-00007E040000}"/>
    <cellStyle name="Input 3 2 3 6" xfId="1158" xr:uid="{00000000-0005-0000-0000-00007F040000}"/>
    <cellStyle name="Input 3 2 3 7" xfId="1159" xr:uid="{00000000-0005-0000-0000-000080040000}"/>
    <cellStyle name="Input 3 2 4" xfId="1160" xr:uid="{00000000-0005-0000-0000-000081040000}"/>
    <cellStyle name="Input 3 2 4 2" xfId="1161" xr:uid="{00000000-0005-0000-0000-000082040000}"/>
    <cellStyle name="Input 3 2 4 2 2" xfId="1162" xr:uid="{00000000-0005-0000-0000-000083040000}"/>
    <cellStyle name="Input 3 2 4 2 2 2" xfId="1163" xr:uid="{00000000-0005-0000-0000-000084040000}"/>
    <cellStyle name="Input 3 2 4 2 2 3" xfId="1164" xr:uid="{00000000-0005-0000-0000-000085040000}"/>
    <cellStyle name="Input 3 2 4 2 2 4" xfId="1165" xr:uid="{00000000-0005-0000-0000-000086040000}"/>
    <cellStyle name="Input 3 2 4 2 3" xfId="1166" xr:uid="{00000000-0005-0000-0000-000087040000}"/>
    <cellStyle name="Input 3 2 4 2 4" xfId="1167" xr:uid="{00000000-0005-0000-0000-000088040000}"/>
    <cellStyle name="Input 3 2 4 2 5" xfId="1168" xr:uid="{00000000-0005-0000-0000-000089040000}"/>
    <cellStyle name="Input 3 2 4 3" xfId="1169" xr:uid="{00000000-0005-0000-0000-00008A040000}"/>
    <cellStyle name="Input 3 2 4 3 2" xfId="1170" xr:uid="{00000000-0005-0000-0000-00008B040000}"/>
    <cellStyle name="Input 3 2 4 3 2 2" xfId="1171" xr:uid="{00000000-0005-0000-0000-00008C040000}"/>
    <cellStyle name="Input 3 2 4 3 2 3" xfId="1172" xr:uid="{00000000-0005-0000-0000-00008D040000}"/>
    <cellStyle name="Input 3 2 4 3 2 4" xfId="1173" xr:uid="{00000000-0005-0000-0000-00008E040000}"/>
    <cellStyle name="Input 3 2 4 3 3" xfId="1174" xr:uid="{00000000-0005-0000-0000-00008F040000}"/>
    <cellStyle name="Input 3 2 4 3 4" xfId="1175" xr:uid="{00000000-0005-0000-0000-000090040000}"/>
    <cellStyle name="Input 3 2 4 3 5" xfId="1176" xr:uid="{00000000-0005-0000-0000-000091040000}"/>
    <cellStyle name="Input 3 2 4 4" xfId="1177" xr:uid="{00000000-0005-0000-0000-000092040000}"/>
    <cellStyle name="Input 3 2 4 4 2" xfId="1178" xr:uid="{00000000-0005-0000-0000-000093040000}"/>
    <cellStyle name="Input 3 2 4 4 3" xfId="1179" xr:uid="{00000000-0005-0000-0000-000094040000}"/>
    <cellStyle name="Input 3 2 4 4 4" xfId="1180" xr:uid="{00000000-0005-0000-0000-000095040000}"/>
    <cellStyle name="Input 3 2 4 5" xfId="1181" xr:uid="{00000000-0005-0000-0000-000096040000}"/>
    <cellStyle name="Input 3 2 4 6" xfId="1182" xr:uid="{00000000-0005-0000-0000-000097040000}"/>
    <cellStyle name="Input 3 2 4 7" xfId="1183" xr:uid="{00000000-0005-0000-0000-000098040000}"/>
    <cellStyle name="Input 3 2 5" xfId="1184" xr:uid="{00000000-0005-0000-0000-000099040000}"/>
    <cellStyle name="Input 3 2 5 2" xfId="1185" xr:uid="{00000000-0005-0000-0000-00009A040000}"/>
    <cellStyle name="Input 3 2 5 2 2" xfId="1186" xr:uid="{00000000-0005-0000-0000-00009B040000}"/>
    <cellStyle name="Input 3 2 5 2 3" xfId="1187" xr:uid="{00000000-0005-0000-0000-00009C040000}"/>
    <cellStyle name="Input 3 2 5 2 4" xfId="1188" xr:uid="{00000000-0005-0000-0000-00009D040000}"/>
    <cellStyle name="Input 3 2 5 3" xfId="1189" xr:uid="{00000000-0005-0000-0000-00009E040000}"/>
    <cellStyle name="Input 3 2 5 4" xfId="1190" xr:uid="{00000000-0005-0000-0000-00009F040000}"/>
    <cellStyle name="Input 3 2 5 5" xfId="1191" xr:uid="{00000000-0005-0000-0000-0000A0040000}"/>
    <cellStyle name="Input 3 2 6" xfId="1192" xr:uid="{00000000-0005-0000-0000-0000A1040000}"/>
    <cellStyle name="Input 3 2 6 2" xfId="1193" xr:uid="{00000000-0005-0000-0000-0000A2040000}"/>
    <cellStyle name="Input 3 2 6 2 2" xfId="1194" xr:uid="{00000000-0005-0000-0000-0000A3040000}"/>
    <cellStyle name="Input 3 2 6 2 3" xfId="1195" xr:uid="{00000000-0005-0000-0000-0000A4040000}"/>
    <cellStyle name="Input 3 2 6 2 4" xfId="1196" xr:uid="{00000000-0005-0000-0000-0000A5040000}"/>
    <cellStyle name="Input 3 2 6 3" xfId="1197" xr:uid="{00000000-0005-0000-0000-0000A6040000}"/>
    <cellStyle name="Input 3 2 6 4" xfId="1198" xr:uid="{00000000-0005-0000-0000-0000A7040000}"/>
    <cellStyle name="Input 3 2 6 5" xfId="1199" xr:uid="{00000000-0005-0000-0000-0000A8040000}"/>
    <cellStyle name="Input 3 2 7" xfId="1200" xr:uid="{00000000-0005-0000-0000-0000A9040000}"/>
    <cellStyle name="Input 3 3" xfId="1201" xr:uid="{00000000-0005-0000-0000-0000AA040000}"/>
    <cellStyle name="Input 3 3 2" xfId="1202" xr:uid="{00000000-0005-0000-0000-0000AB040000}"/>
    <cellStyle name="Input 3 3 2 2" xfId="1203" xr:uid="{00000000-0005-0000-0000-0000AC040000}"/>
    <cellStyle name="Input 3 3 2 2 2" xfId="1204" xr:uid="{00000000-0005-0000-0000-0000AD040000}"/>
    <cellStyle name="Input 3 3 2 2 3" xfId="1205" xr:uid="{00000000-0005-0000-0000-0000AE040000}"/>
    <cellStyle name="Input 3 3 2 2 4" xfId="1206" xr:uid="{00000000-0005-0000-0000-0000AF040000}"/>
    <cellStyle name="Input 3 3 2 3" xfId="1207" xr:uid="{00000000-0005-0000-0000-0000B0040000}"/>
    <cellStyle name="Input 3 3 2 4" xfId="1208" xr:uid="{00000000-0005-0000-0000-0000B1040000}"/>
    <cellStyle name="Input 3 3 2 5" xfId="1209" xr:uid="{00000000-0005-0000-0000-0000B2040000}"/>
    <cellStyle name="Input 3 3 3" xfId="1210" xr:uid="{00000000-0005-0000-0000-0000B3040000}"/>
    <cellStyle name="Input 3 3 3 2" xfId="1211" xr:uid="{00000000-0005-0000-0000-0000B4040000}"/>
    <cellStyle name="Input 3 3 3 2 2" xfId="1212" xr:uid="{00000000-0005-0000-0000-0000B5040000}"/>
    <cellStyle name="Input 3 3 3 2 3" xfId="1213" xr:uid="{00000000-0005-0000-0000-0000B6040000}"/>
    <cellStyle name="Input 3 3 3 2 4" xfId="1214" xr:uid="{00000000-0005-0000-0000-0000B7040000}"/>
    <cellStyle name="Input 3 3 3 3" xfId="1215" xr:uid="{00000000-0005-0000-0000-0000B8040000}"/>
    <cellStyle name="Input 3 3 3 4" xfId="1216" xr:uid="{00000000-0005-0000-0000-0000B9040000}"/>
    <cellStyle name="Input 3 3 3 5" xfId="1217" xr:uid="{00000000-0005-0000-0000-0000BA040000}"/>
    <cellStyle name="Input 3 3 4" xfId="1218" xr:uid="{00000000-0005-0000-0000-0000BB040000}"/>
    <cellStyle name="Input 3 3 4 2" xfId="1219" xr:uid="{00000000-0005-0000-0000-0000BC040000}"/>
    <cellStyle name="Input 3 3 4 3" xfId="1220" xr:uid="{00000000-0005-0000-0000-0000BD040000}"/>
    <cellStyle name="Input 3 3 4 4" xfId="1221" xr:uid="{00000000-0005-0000-0000-0000BE040000}"/>
    <cellStyle name="Input 3 3 5" xfId="1222" xr:uid="{00000000-0005-0000-0000-0000BF040000}"/>
    <cellStyle name="Input 3 3 6" xfId="1223" xr:uid="{00000000-0005-0000-0000-0000C0040000}"/>
    <cellStyle name="Input 3 3 7" xfId="1224" xr:uid="{00000000-0005-0000-0000-0000C1040000}"/>
    <cellStyle name="Input 3 4" xfId="1225" xr:uid="{00000000-0005-0000-0000-0000C2040000}"/>
    <cellStyle name="Input 3 4 2" xfId="1226" xr:uid="{00000000-0005-0000-0000-0000C3040000}"/>
    <cellStyle name="Input 3 4 2 2" xfId="1227" xr:uid="{00000000-0005-0000-0000-0000C4040000}"/>
    <cellStyle name="Input 3 4 2 2 2" xfId="1228" xr:uid="{00000000-0005-0000-0000-0000C5040000}"/>
    <cellStyle name="Input 3 4 2 2 3" xfId="1229" xr:uid="{00000000-0005-0000-0000-0000C6040000}"/>
    <cellStyle name="Input 3 4 2 2 4" xfId="1230" xr:uid="{00000000-0005-0000-0000-0000C7040000}"/>
    <cellStyle name="Input 3 4 2 3" xfId="1231" xr:uid="{00000000-0005-0000-0000-0000C8040000}"/>
    <cellStyle name="Input 3 4 2 4" xfId="1232" xr:uid="{00000000-0005-0000-0000-0000C9040000}"/>
    <cellStyle name="Input 3 4 2 5" xfId="1233" xr:uid="{00000000-0005-0000-0000-0000CA040000}"/>
    <cellStyle name="Input 3 4 3" xfId="1234" xr:uid="{00000000-0005-0000-0000-0000CB040000}"/>
    <cellStyle name="Input 3 4 3 2" xfId="1235" xr:uid="{00000000-0005-0000-0000-0000CC040000}"/>
    <cellStyle name="Input 3 4 3 2 2" xfId="1236" xr:uid="{00000000-0005-0000-0000-0000CD040000}"/>
    <cellStyle name="Input 3 4 3 2 3" xfId="1237" xr:uid="{00000000-0005-0000-0000-0000CE040000}"/>
    <cellStyle name="Input 3 4 3 2 4" xfId="1238" xr:uid="{00000000-0005-0000-0000-0000CF040000}"/>
    <cellStyle name="Input 3 4 3 3" xfId="1239" xr:uid="{00000000-0005-0000-0000-0000D0040000}"/>
    <cellStyle name="Input 3 4 3 4" xfId="1240" xr:uid="{00000000-0005-0000-0000-0000D1040000}"/>
    <cellStyle name="Input 3 4 3 5" xfId="1241" xr:uid="{00000000-0005-0000-0000-0000D2040000}"/>
    <cellStyle name="Input 3 4 4" xfId="1242" xr:uid="{00000000-0005-0000-0000-0000D3040000}"/>
    <cellStyle name="Input 3 4 4 2" xfId="1243" xr:uid="{00000000-0005-0000-0000-0000D4040000}"/>
    <cellStyle name="Input 3 4 4 3" xfId="1244" xr:uid="{00000000-0005-0000-0000-0000D5040000}"/>
    <cellStyle name="Input 3 4 4 4" xfId="1245" xr:uid="{00000000-0005-0000-0000-0000D6040000}"/>
    <cellStyle name="Input 3 4 5" xfId="1246" xr:uid="{00000000-0005-0000-0000-0000D7040000}"/>
    <cellStyle name="Input 3 4 6" xfId="1247" xr:uid="{00000000-0005-0000-0000-0000D8040000}"/>
    <cellStyle name="Input 3 4 7" xfId="1248" xr:uid="{00000000-0005-0000-0000-0000D9040000}"/>
    <cellStyle name="Input 3 5" xfId="1249" xr:uid="{00000000-0005-0000-0000-0000DA040000}"/>
    <cellStyle name="Input 3 5 2" xfId="1250" xr:uid="{00000000-0005-0000-0000-0000DB040000}"/>
    <cellStyle name="Input 3 5 2 2" xfId="1251" xr:uid="{00000000-0005-0000-0000-0000DC040000}"/>
    <cellStyle name="Input 3 5 2 2 2" xfId="1252" xr:uid="{00000000-0005-0000-0000-0000DD040000}"/>
    <cellStyle name="Input 3 5 2 2 3" xfId="1253" xr:uid="{00000000-0005-0000-0000-0000DE040000}"/>
    <cellStyle name="Input 3 5 2 2 4" xfId="1254" xr:uid="{00000000-0005-0000-0000-0000DF040000}"/>
    <cellStyle name="Input 3 5 2 3" xfId="1255" xr:uid="{00000000-0005-0000-0000-0000E0040000}"/>
    <cellStyle name="Input 3 5 2 4" xfId="1256" xr:uid="{00000000-0005-0000-0000-0000E1040000}"/>
    <cellStyle name="Input 3 5 2 5" xfId="1257" xr:uid="{00000000-0005-0000-0000-0000E2040000}"/>
    <cellStyle name="Input 3 5 3" xfId="1258" xr:uid="{00000000-0005-0000-0000-0000E3040000}"/>
    <cellStyle name="Input 3 5 3 2" xfId="1259" xr:uid="{00000000-0005-0000-0000-0000E4040000}"/>
    <cellStyle name="Input 3 5 3 2 2" xfId="1260" xr:uid="{00000000-0005-0000-0000-0000E5040000}"/>
    <cellStyle name="Input 3 5 3 2 3" xfId="1261" xr:uid="{00000000-0005-0000-0000-0000E6040000}"/>
    <cellStyle name="Input 3 5 3 2 4" xfId="1262" xr:uid="{00000000-0005-0000-0000-0000E7040000}"/>
    <cellStyle name="Input 3 5 3 3" xfId="1263" xr:uid="{00000000-0005-0000-0000-0000E8040000}"/>
    <cellStyle name="Input 3 5 3 4" xfId="1264" xr:uid="{00000000-0005-0000-0000-0000E9040000}"/>
    <cellStyle name="Input 3 5 3 5" xfId="1265" xr:uid="{00000000-0005-0000-0000-0000EA040000}"/>
    <cellStyle name="Input 3 5 4" xfId="1266" xr:uid="{00000000-0005-0000-0000-0000EB040000}"/>
    <cellStyle name="Input 3 5 4 2" xfId="1267" xr:uid="{00000000-0005-0000-0000-0000EC040000}"/>
    <cellStyle name="Input 3 5 4 3" xfId="1268" xr:uid="{00000000-0005-0000-0000-0000ED040000}"/>
    <cellStyle name="Input 3 5 4 4" xfId="1269" xr:uid="{00000000-0005-0000-0000-0000EE040000}"/>
    <cellStyle name="Input 3 5 5" xfId="1270" xr:uid="{00000000-0005-0000-0000-0000EF040000}"/>
    <cellStyle name="Input 3 5 6" xfId="1271" xr:uid="{00000000-0005-0000-0000-0000F0040000}"/>
    <cellStyle name="Input 3 5 7" xfId="1272" xr:uid="{00000000-0005-0000-0000-0000F1040000}"/>
    <cellStyle name="Input 3 6" xfId="1273" xr:uid="{00000000-0005-0000-0000-0000F2040000}"/>
    <cellStyle name="Input 4" xfId="1274" xr:uid="{00000000-0005-0000-0000-0000F3040000}"/>
    <cellStyle name="Input, ext. linked" xfId="1275" xr:uid="{00000000-0005-0000-0000-0000F4040000}"/>
    <cellStyle name="Input, linked" xfId="1276" xr:uid="{00000000-0005-0000-0000-0000F5040000}"/>
    <cellStyle name="Integer" xfId="1277" xr:uid="{00000000-0005-0000-0000-0000F6040000}"/>
    <cellStyle name="Left Heading 4" xfId="1278" xr:uid="{00000000-0005-0000-0000-0000F7040000}"/>
    <cellStyle name="Linked Cell 2" xfId="1279" xr:uid="{00000000-0005-0000-0000-0000F8040000}"/>
    <cellStyle name="Linked Cell 2 2" xfId="1280" xr:uid="{00000000-0005-0000-0000-0000F9040000}"/>
    <cellStyle name="Linked Cell 3" xfId="1281" xr:uid="{00000000-0005-0000-0000-0000FA040000}"/>
    <cellStyle name="Linked Cell 4" xfId="1282" xr:uid="{00000000-0005-0000-0000-0000FB040000}"/>
    <cellStyle name="Locked" xfId="1283" xr:uid="{00000000-0005-0000-0000-0000FC040000}"/>
    <cellStyle name="Ma-Bl Spectrum" xfId="1284" xr:uid="{00000000-0005-0000-0000-0000FD040000}"/>
    <cellStyle name="Milliers_Martorell V6" xfId="1285" xr:uid="{00000000-0005-0000-0000-0000FE040000}"/>
    <cellStyle name="Navigation" xfId="1286" xr:uid="{00000000-0005-0000-0000-0000FF040000}"/>
    <cellStyle name="Neutral 2" xfId="1287" xr:uid="{00000000-0005-0000-0000-000000050000}"/>
    <cellStyle name="Neutral 2 2" xfId="1288" xr:uid="{00000000-0005-0000-0000-000001050000}"/>
    <cellStyle name="Neutral 3" xfId="1289" xr:uid="{00000000-0005-0000-0000-000002050000}"/>
    <cellStyle name="Normal" xfId="0" builtinId="0"/>
    <cellStyle name="Normal 10" xfId="1290" xr:uid="{00000000-0005-0000-0000-000004050000}"/>
    <cellStyle name="Normal 10 2" xfId="1291" xr:uid="{00000000-0005-0000-0000-000005050000}"/>
    <cellStyle name="Normal 10 2 2" xfId="1292" xr:uid="{00000000-0005-0000-0000-000006050000}"/>
    <cellStyle name="Normal 10 2 3" xfId="1293" xr:uid="{00000000-0005-0000-0000-000007050000}"/>
    <cellStyle name="Normal 10 3" xfId="1294" xr:uid="{00000000-0005-0000-0000-000008050000}"/>
    <cellStyle name="Normal 10 3 2" xfId="1295" xr:uid="{00000000-0005-0000-0000-000009050000}"/>
    <cellStyle name="Normal 10 4" xfId="1296" xr:uid="{00000000-0005-0000-0000-00000A050000}"/>
    <cellStyle name="Normal 10 4 2" xfId="1297" xr:uid="{00000000-0005-0000-0000-00000B050000}"/>
    <cellStyle name="Normal 10 5" xfId="1298" xr:uid="{00000000-0005-0000-0000-00000C050000}"/>
    <cellStyle name="Normal 10 6" xfId="1299" xr:uid="{00000000-0005-0000-0000-00000D050000}"/>
    <cellStyle name="Normal 10 7" xfId="1300" xr:uid="{00000000-0005-0000-0000-00000E050000}"/>
    <cellStyle name="Normal 11" xfId="1301" xr:uid="{00000000-0005-0000-0000-00000F050000}"/>
    <cellStyle name="Normal 11 2" xfId="1302" xr:uid="{00000000-0005-0000-0000-000010050000}"/>
    <cellStyle name="Normal 11 2 2" xfId="1303" xr:uid="{00000000-0005-0000-0000-000011050000}"/>
    <cellStyle name="Normal 11 2 2 2" xfId="1304" xr:uid="{00000000-0005-0000-0000-000012050000}"/>
    <cellStyle name="Normal 11 2 3" xfId="1305" xr:uid="{00000000-0005-0000-0000-000013050000}"/>
    <cellStyle name="Normal 11 2 3 2" xfId="1306" xr:uid="{00000000-0005-0000-0000-000014050000}"/>
    <cellStyle name="Normal 11 2 4" xfId="1307" xr:uid="{00000000-0005-0000-0000-000015050000}"/>
    <cellStyle name="Normal 11 3" xfId="1308" xr:uid="{00000000-0005-0000-0000-000016050000}"/>
    <cellStyle name="Normal 12" xfId="1309" xr:uid="{00000000-0005-0000-0000-000017050000}"/>
    <cellStyle name="Normal 12 2" xfId="1310" xr:uid="{00000000-0005-0000-0000-000018050000}"/>
    <cellStyle name="Normal 12 2 2" xfId="1311" xr:uid="{00000000-0005-0000-0000-000019050000}"/>
    <cellStyle name="Normal 12 2 2 2" xfId="1312" xr:uid="{00000000-0005-0000-0000-00001A050000}"/>
    <cellStyle name="Normal 12 2 3" xfId="1313" xr:uid="{00000000-0005-0000-0000-00001B050000}"/>
    <cellStyle name="Normal 12 2 3 2" xfId="1314" xr:uid="{00000000-0005-0000-0000-00001C050000}"/>
    <cellStyle name="Normal 12 2 4" xfId="1315" xr:uid="{00000000-0005-0000-0000-00001D050000}"/>
    <cellStyle name="Normal 12 3" xfId="1316" xr:uid="{00000000-0005-0000-0000-00001E050000}"/>
    <cellStyle name="Normal 13" xfId="1317" xr:uid="{00000000-0005-0000-0000-00001F050000}"/>
    <cellStyle name="Normal 13 2" xfId="1318" xr:uid="{00000000-0005-0000-0000-000020050000}"/>
    <cellStyle name="Normal 13 2 2" xfId="1319" xr:uid="{00000000-0005-0000-0000-000021050000}"/>
    <cellStyle name="Normal 13 2 2 2" xfId="1320" xr:uid="{00000000-0005-0000-0000-000022050000}"/>
    <cellStyle name="Normal 13 2 3" xfId="1321" xr:uid="{00000000-0005-0000-0000-000023050000}"/>
    <cellStyle name="Normal 13 2 3 2" xfId="1322" xr:uid="{00000000-0005-0000-0000-000024050000}"/>
    <cellStyle name="Normal 13 2 4" xfId="1323" xr:uid="{00000000-0005-0000-0000-000025050000}"/>
    <cellStyle name="Normal 13 3" xfId="1324" xr:uid="{00000000-0005-0000-0000-000026050000}"/>
    <cellStyle name="Normal 14" xfId="1325" xr:uid="{00000000-0005-0000-0000-000027050000}"/>
    <cellStyle name="Normal 14 2" xfId="1326" xr:uid="{00000000-0005-0000-0000-000028050000}"/>
    <cellStyle name="Normal 15" xfId="1327" xr:uid="{00000000-0005-0000-0000-000029050000}"/>
    <cellStyle name="Normal 15 2" xfId="1328" xr:uid="{00000000-0005-0000-0000-00002A050000}"/>
    <cellStyle name="Normal 16" xfId="1329" xr:uid="{00000000-0005-0000-0000-00002B050000}"/>
    <cellStyle name="Normal 16 2" xfId="1330" xr:uid="{00000000-0005-0000-0000-00002C050000}"/>
    <cellStyle name="Normal 16 2 2" xfId="1331" xr:uid="{00000000-0005-0000-0000-00002D050000}"/>
    <cellStyle name="Normal 16 2 3" xfId="1332" xr:uid="{00000000-0005-0000-0000-00002E050000}"/>
    <cellStyle name="Normal 16 2 4" xfId="1333" xr:uid="{00000000-0005-0000-0000-00002F050000}"/>
    <cellStyle name="Normal 16 2 5" xfId="1334" xr:uid="{00000000-0005-0000-0000-000030050000}"/>
    <cellStyle name="Normal 16 2 6" xfId="1335" xr:uid="{00000000-0005-0000-0000-000031050000}"/>
    <cellStyle name="Normal 16 2 7" xfId="1336" xr:uid="{00000000-0005-0000-0000-000032050000}"/>
    <cellStyle name="Normal 16 2 7 2" xfId="1337" xr:uid="{00000000-0005-0000-0000-000033050000}"/>
    <cellStyle name="Normal 16 2 7 2 2" xfId="1338" xr:uid="{00000000-0005-0000-0000-000034050000}"/>
    <cellStyle name="Normal 16 2 8" xfId="1339" xr:uid="{00000000-0005-0000-0000-000035050000}"/>
    <cellStyle name="Normal 16 2 9" xfId="1340" xr:uid="{00000000-0005-0000-0000-000036050000}"/>
    <cellStyle name="Normal 16 3" xfId="1341" xr:uid="{00000000-0005-0000-0000-000037050000}"/>
    <cellStyle name="Normal 16 4" xfId="1342" xr:uid="{00000000-0005-0000-0000-000038050000}"/>
    <cellStyle name="Normal 16 5" xfId="1343" xr:uid="{00000000-0005-0000-0000-000039050000}"/>
    <cellStyle name="Normal 17" xfId="1344" xr:uid="{00000000-0005-0000-0000-00003A050000}"/>
    <cellStyle name="Normal 17 2" xfId="1345" xr:uid="{00000000-0005-0000-0000-00003B050000}"/>
    <cellStyle name="Normal 17 3" xfId="1346" xr:uid="{00000000-0005-0000-0000-00003C050000}"/>
    <cellStyle name="Normal 17 3 2" xfId="1347" xr:uid="{00000000-0005-0000-0000-00003D050000}"/>
    <cellStyle name="Normal 17 4" xfId="1348" xr:uid="{00000000-0005-0000-0000-00003E050000}"/>
    <cellStyle name="Normal 17 5" xfId="1349" xr:uid="{00000000-0005-0000-0000-00003F050000}"/>
    <cellStyle name="Normal 18" xfId="1350" xr:uid="{00000000-0005-0000-0000-000040050000}"/>
    <cellStyle name="Normal 18 2" xfId="1351" xr:uid="{00000000-0005-0000-0000-000041050000}"/>
    <cellStyle name="Normal 18 2 2" xfId="1352" xr:uid="{00000000-0005-0000-0000-000042050000}"/>
    <cellStyle name="Normal 18 3" xfId="1353" xr:uid="{00000000-0005-0000-0000-000043050000}"/>
    <cellStyle name="Normal 18 3 2" xfId="1354" xr:uid="{00000000-0005-0000-0000-000044050000}"/>
    <cellStyle name="Normal 18 4" xfId="1355" xr:uid="{00000000-0005-0000-0000-000045050000}"/>
    <cellStyle name="Normal 18 4 2" xfId="1356" xr:uid="{00000000-0005-0000-0000-000046050000}"/>
    <cellStyle name="Normal 18 5" xfId="1357" xr:uid="{00000000-0005-0000-0000-000047050000}"/>
    <cellStyle name="Normal 18 5 2" xfId="1358" xr:uid="{00000000-0005-0000-0000-000048050000}"/>
    <cellStyle name="Normal 18 6" xfId="1359" xr:uid="{00000000-0005-0000-0000-000049050000}"/>
    <cellStyle name="Normal 18 7" xfId="1360" xr:uid="{00000000-0005-0000-0000-00004A050000}"/>
    <cellStyle name="Normal 18 7 2" xfId="1361" xr:uid="{00000000-0005-0000-0000-00004B050000}"/>
    <cellStyle name="Normal 18 8" xfId="1362" xr:uid="{00000000-0005-0000-0000-00004C050000}"/>
    <cellStyle name="Normal 18 9" xfId="1363" xr:uid="{00000000-0005-0000-0000-00004D050000}"/>
    <cellStyle name="Normal 19" xfId="1364" xr:uid="{00000000-0005-0000-0000-00004E050000}"/>
    <cellStyle name="Normal 19 2" xfId="1365" xr:uid="{00000000-0005-0000-0000-00004F050000}"/>
    <cellStyle name="Normal 19 2 2" xfId="1366" xr:uid="{00000000-0005-0000-0000-000050050000}"/>
    <cellStyle name="Normal 19 3" xfId="1367" xr:uid="{00000000-0005-0000-0000-000051050000}"/>
    <cellStyle name="Normal 2" xfId="1368" xr:uid="{00000000-0005-0000-0000-000052050000}"/>
    <cellStyle name="Normal 2 10" xfId="1369" xr:uid="{00000000-0005-0000-0000-000053050000}"/>
    <cellStyle name="Normal 2 11" xfId="1370" xr:uid="{00000000-0005-0000-0000-000054050000}"/>
    <cellStyle name="Normal 2 12" xfId="1371" xr:uid="{00000000-0005-0000-0000-000055050000}"/>
    <cellStyle name="Normal 2 13" xfId="1372" xr:uid="{00000000-0005-0000-0000-000056050000}"/>
    <cellStyle name="Normal 2 14" xfId="1373" xr:uid="{00000000-0005-0000-0000-000057050000}"/>
    <cellStyle name="Normal 2 2" xfId="1374" xr:uid="{00000000-0005-0000-0000-000058050000}"/>
    <cellStyle name="Normal 2 2 2" xfId="1375" xr:uid="{00000000-0005-0000-0000-000059050000}"/>
    <cellStyle name="Normal 2 2 2 2" xfId="1376" xr:uid="{00000000-0005-0000-0000-00005A050000}"/>
    <cellStyle name="Normal 2 2 2 3" xfId="1377" xr:uid="{00000000-0005-0000-0000-00005B050000}"/>
    <cellStyle name="Normal 2 2 2 4" xfId="1378" xr:uid="{00000000-0005-0000-0000-00005C050000}"/>
    <cellStyle name="Normal 2 2 2 5" xfId="7" xr:uid="{00000000-0005-0000-0000-00005D050000}"/>
    <cellStyle name="Normal 2 2 3" xfId="1379" xr:uid="{00000000-0005-0000-0000-00005E050000}"/>
    <cellStyle name="Normal 2 2 3 2" xfId="1380" xr:uid="{00000000-0005-0000-0000-00005F050000}"/>
    <cellStyle name="Normal 2 2 3 2 2" xfId="1381" xr:uid="{00000000-0005-0000-0000-000060050000}"/>
    <cellStyle name="Normal 2 2 3 2 2 2" xfId="1382" xr:uid="{00000000-0005-0000-0000-000061050000}"/>
    <cellStyle name="Normal 2 2 3 2 2 2 2" xfId="1383" xr:uid="{00000000-0005-0000-0000-000062050000}"/>
    <cellStyle name="Normal 2 2 3 2 2 3" xfId="1384" xr:uid="{00000000-0005-0000-0000-000063050000}"/>
    <cellStyle name="Normal 2 2 3 2 3" xfId="1385" xr:uid="{00000000-0005-0000-0000-000064050000}"/>
    <cellStyle name="Normal 2 2 3 2 3 2" xfId="1386" xr:uid="{00000000-0005-0000-0000-000065050000}"/>
    <cellStyle name="Normal 2 2 3 2 4" xfId="1387" xr:uid="{00000000-0005-0000-0000-000066050000}"/>
    <cellStyle name="Normal 2 2 3 2 4 2" xfId="1388" xr:uid="{00000000-0005-0000-0000-000067050000}"/>
    <cellStyle name="Normal 2 2 3 2 5" xfId="1389" xr:uid="{00000000-0005-0000-0000-000068050000}"/>
    <cellStyle name="Normal 2 2 3 2 5 2" xfId="1390" xr:uid="{00000000-0005-0000-0000-000069050000}"/>
    <cellStyle name="Normal 2 2 3 2 6" xfId="1391" xr:uid="{00000000-0005-0000-0000-00006A050000}"/>
    <cellStyle name="Normal 2 2 3 2 6 2" xfId="1392" xr:uid="{00000000-0005-0000-0000-00006B050000}"/>
    <cellStyle name="Normal 2 2 3 2 7" xfId="1393" xr:uid="{00000000-0005-0000-0000-00006C050000}"/>
    <cellStyle name="Normal 2 2 3 3" xfId="1394" xr:uid="{00000000-0005-0000-0000-00006D050000}"/>
    <cellStyle name="Normal 2 2 3 3 2" xfId="1395" xr:uid="{00000000-0005-0000-0000-00006E050000}"/>
    <cellStyle name="Normal 2 2 3 3 2 2" xfId="1396" xr:uid="{00000000-0005-0000-0000-00006F050000}"/>
    <cellStyle name="Normal 2 2 3 3 3" xfId="1397" xr:uid="{00000000-0005-0000-0000-000070050000}"/>
    <cellStyle name="Normal 2 2 3 4" xfId="1398" xr:uid="{00000000-0005-0000-0000-000071050000}"/>
    <cellStyle name="Normal 2 2 3 4 2" xfId="1399" xr:uid="{00000000-0005-0000-0000-000072050000}"/>
    <cellStyle name="Normal 2 2 3 5" xfId="1400" xr:uid="{00000000-0005-0000-0000-000073050000}"/>
    <cellStyle name="Normal 2 2 3 5 2" xfId="1401" xr:uid="{00000000-0005-0000-0000-000074050000}"/>
    <cellStyle name="Normal 2 2 3 6" xfId="1402" xr:uid="{00000000-0005-0000-0000-000075050000}"/>
    <cellStyle name="Normal 2 2 3 6 2" xfId="1403" xr:uid="{00000000-0005-0000-0000-000076050000}"/>
    <cellStyle name="Normal 2 2 3 7" xfId="1404" xr:uid="{00000000-0005-0000-0000-000077050000}"/>
    <cellStyle name="Normal 2 2 3 7 2" xfId="1405" xr:uid="{00000000-0005-0000-0000-000078050000}"/>
    <cellStyle name="Normal 2 2 3 8" xfId="1406" xr:uid="{00000000-0005-0000-0000-000079050000}"/>
    <cellStyle name="Normal 2 2 4" xfId="1407" xr:uid="{00000000-0005-0000-0000-00007A050000}"/>
    <cellStyle name="Normal 2 2 4 2" xfId="1408" xr:uid="{00000000-0005-0000-0000-00007B050000}"/>
    <cellStyle name="Normal 2 2 5" xfId="1409" xr:uid="{00000000-0005-0000-0000-00007C050000}"/>
    <cellStyle name="Normal 2 2 5 2" xfId="1410" xr:uid="{00000000-0005-0000-0000-00007D050000}"/>
    <cellStyle name="Normal 2 2 6" xfId="1411" xr:uid="{00000000-0005-0000-0000-00007E050000}"/>
    <cellStyle name="Normal 2 2 6 2" xfId="1412" xr:uid="{00000000-0005-0000-0000-00007F050000}"/>
    <cellStyle name="Normal 2 2 7" xfId="1413" xr:uid="{00000000-0005-0000-0000-000080050000}"/>
    <cellStyle name="Normal 2 2 8" xfId="1414" xr:uid="{00000000-0005-0000-0000-000081050000}"/>
    <cellStyle name="Normal 2 2 9" xfId="1415" xr:uid="{00000000-0005-0000-0000-000082050000}"/>
    <cellStyle name="Normal 2 3" xfId="1416" xr:uid="{00000000-0005-0000-0000-000083050000}"/>
    <cellStyle name="Normal 2 3 2" xfId="1417" xr:uid="{00000000-0005-0000-0000-000084050000}"/>
    <cellStyle name="Normal 2 3 2 2" xfId="1418" xr:uid="{00000000-0005-0000-0000-000085050000}"/>
    <cellStyle name="Normal 2 3 2 2 2" xfId="1419" xr:uid="{00000000-0005-0000-0000-000086050000}"/>
    <cellStyle name="Normal 2 3 2 3" xfId="1420" xr:uid="{00000000-0005-0000-0000-000087050000}"/>
    <cellStyle name="Normal 2 3 3" xfId="1421" xr:uid="{00000000-0005-0000-0000-000088050000}"/>
    <cellStyle name="Normal 2 3 3 2" xfId="1422" xr:uid="{00000000-0005-0000-0000-000089050000}"/>
    <cellStyle name="Normal 2 3 3 2 2" xfId="1423" xr:uid="{00000000-0005-0000-0000-00008A050000}"/>
    <cellStyle name="Normal 2 3 4" xfId="1424" xr:uid="{00000000-0005-0000-0000-00008B050000}"/>
    <cellStyle name="Normal 2 3 4 2" xfId="1425" xr:uid="{00000000-0005-0000-0000-00008C050000}"/>
    <cellStyle name="Normal 2 3 4 2 2" xfId="1426" xr:uid="{00000000-0005-0000-0000-00008D050000}"/>
    <cellStyle name="Normal 2 3 4 3" xfId="1427" xr:uid="{00000000-0005-0000-0000-00008E050000}"/>
    <cellStyle name="Normal 2 3 4 3 2" xfId="1428" xr:uid="{00000000-0005-0000-0000-00008F050000}"/>
    <cellStyle name="Normal 2 3 4 4" xfId="1429" xr:uid="{00000000-0005-0000-0000-000090050000}"/>
    <cellStyle name="Normal 2 3 5" xfId="1430" xr:uid="{00000000-0005-0000-0000-000091050000}"/>
    <cellStyle name="Normal 2 3 5 2" xfId="1431" xr:uid="{00000000-0005-0000-0000-000092050000}"/>
    <cellStyle name="Normal 2 3 6" xfId="1432" xr:uid="{00000000-0005-0000-0000-000093050000}"/>
    <cellStyle name="Normal 2 3 6 2" xfId="1433" xr:uid="{00000000-0005-0000-0000-000094050000}"/>
    <cellStyle name="Normal 2 3 7" xfId="1434" xr:uid="{00000000-0005-0000-0000-000095050000}"/>
    <cellStyle name="Normal 2 4" xfId="1435" xr:uid="{00000000-0005-0000-0000-000096050000}"/>
    <cellStyle name="Normal 2 4 2" xfId="1436" xr:uid="{00000000-0005-0000-0000-000097050000}"/>
    <cellStyle name="Normal 2 4 3" xfId="1437" xr:uid="{00000000-0005-0000-0000-000098050000}"/>
    <cellStyle name="Normal 2 4 3 2" xfId="1438" xr:uid="{00000000-0005-0000-0000-000099050000}"/>
    <cellStyle name="Normal 2 4 4" xfId="1439" xr:uid="{00000000-0005-0000-0000-00009A050000}"/>
    <cellStyle name="Normal 2 4 5" xfId="1440" xr:uid="{00000000-0005-0000-0000-00009B050000}"/>
    <cellStyle name="Normal 2 4 6" xfId="1441" xr:uid="{00000000-0005-0000-0000-00009C050000}"/>
    <cellStyle name="Normal 2 4 7" xfId="1442" xr:uid="{00000000-0005-0000-0000-00009D050000}"/>
    <cellStyle name="Normal 2 5" xfId="1443" xr:uid="{00000000-0005-0000-0000-00009E050000}"/>
    <cellStyle name="Normal 2 5 2" xfId="1444" xr:uid="{00000000-0005-0000-0000-00009F050000}"/>
    <cellStyle name="Normal 2 5 2 2" xfId="1445" xr:uid="{00000000-0005-0000-0000-0000A0050000}"/>
    <cellStyle name="Normal 2 5 3" xfId="1446" xr:uid="{00000000-0005-0000-0000-0000A1050000}"/>
    <cellStyle name="Normal 2 5 4" xfId="1447" xr:uid="{00000000-0005-0000-0000-0000A2050000}"/>
    <cellStyle name="Normal 2 5 5" xfId="1448" xr:uid="{00000000-0005-0000-0000-0000A3050000}"/>
    <cellStyle name="Normal 2 5 5 2" xfId="1449" xr:uid="{00000000-0005-0000-0000-0000A4050000}"/>
    <cellStyle name="Normal 2 6" xfId="1450" xr:uid="{00000000-0005-0000-0000-0000A5050000}"/>
    <cellStyle name="Normal 2 6 2" xfId="1451" xr:uid="{00000000-0005-0000-0000-0000A6050000}"/>
    <cellStyle name="Normal 2 7" xfId="1452" xr:uid="{00000000-0005-0000-0000-0000A7050000}"/>
    <cellStyle name="Normal 2 7 2" xfId="1453" xr:uid="{00000000-0005-0000-0000-0000A8050000}"/>
    <cellStyle name="Normal 2 8" xfId="1454" xr:uid="{00000000-0005-0000-0000-0000A9050000}"/>
    <cellStyle name="Normal 2 8 2" xfId="1455" xr:uid="{00000000-0005-0000-0000-0000AA050000}"/>
    <cellStyle name="Normal 2 9" xfId="1456" xr:uid="{00000000-0005-0000-0000-0000AB050000}"/>
    <cellStyle name="Normal 2_2010 02 23 MSACI 40 Year life Cycle Cost Rev A" xfId="1457" xr:uid="{00000000-0005-0000-0000-0000AC050000}"/>
    <cellStyle name="Normal 20" xfId="1458" xr:uid="{00000000-0005-0000-0000-0000AD050000}"/>
    <cellStyle name="Normal 20 2" xfId="1459" xr:uid="{00000000-0005-0000-0000-0000AE050000}"/>
    <cellStyle name="Normal 20 2 2" xfId="1460" xr:uid="{00000000-0005-0000-0000-0000AF050000}"/>
    <cellStyle name="Normal 20 3" xfId="1461" xr:uid="{00000000-0005-0000-0000-0000B0050000}"/>
    <cellStyle name="Normal 20 4" xfId="1462" xr:uid="{00000000-0005-0000-0000-0000B1050000}"/>
    <cellStyle name="Normal 21" xfId="1463" xr:uid="{00000000-0005-0000-0000-0000B2050000}"/>
    <cellStyle name="Normal 22" xfId="1464" xr:uid="{00000000-0005-0000-0000-0000B3050000}"/>
    <cellStyle name="Normal 23" xfId="1465" xr:uid="{00000000-0005-0000-0000-0000B4050000}"/>
    <cellStyle name="Normal 24" xfId="1466" xr:uid="{00000000-0005-0000-0000-0000B5050000}"/>
    <cellStyle name="Normal 24 2" xfId="1467" xr:uid="{00000000-0005-0000-0000-0000B6050000}"/>
    <cellStyle name="Normal 25" xfId="1468" xr:uid="{00000000-0005-0000-0000-0000B7050000}"/>
    <cellStyle name="Normal 26" xfId="1469" xr:uid="{00000000-0005-0000-0000-0000B8050000}"/>
    <cellStyle name="Normal 26 2" xfId="1470" xr:uid="{00000000-0005-0000-0000-0000B9050000}"/>
    <cellStyle name="Normal 27" xfId="1471" xr:uid="{00000000-0005-0000-0000-0000BA050000}"/>
    <cellStyle name="Normal 27 2" xfId="1472" xr:uid="{00000000-0005-0000-0000-0000BB050000}"/>
    <cellStyle name="Normal 27 2 2" xfId="1473" xr:uid="{00000000-0005-0000-0000-0000BC050000}"/>
    <cellStyle name="Normal 27 3" xfId="1474" xr:uid="{00000000-0005-0000-0000-0000BD050000}"/>
    <cellStyle name="Normal 28" xfId="1475" xr:uid="{00000000-0005-0000-0000-0000BE050000}"/>
    <cellStyle name="Normal 28 2" xfId="1476" xr:uid="{00000000-0005-0000-0000-0000BF050000}"/>
    <cellStyle name="Normal 29" xfId="1477" xr:uid="{00000000-0005-0000-0000-0000C0050000}"/>
    <cellStyle name="Normal 29 2" xfId="1478" xr:uid="{00000000-0005-0000-0000-0000C1050000}"/>
    <cellStyle name="Normal 3" xfId="2" xr:uid="{00000000-0005-0000-0000-0000C2050000}"/>
    <cellStyle name="Normal 3 10" xfId="1479" xr:uid="{00000000-0005-0000-0000-0000C3050000}"/>
    <cellStyle name="Normal 3 11" xfId="1480" xr:uid="{00000000-0005-0000-0000-0000C4050000}"/>
    <cellStyle name="Normal 3 12" xfId="1481" xr:uid="{00000000-0005-0000-0000-0000C5050000}"/>
    <cellStyle name="Normal 3 13" xfId="1482" xr:uid="{00000000-0005-0000-0000-0000C6050000}"/>
    <cellStyle name="Normal 3 2" xfId="1483" xr:uid="{00000000-0005-0000-0000-0000C7050000}"/>
    <cellStyle name="Normal 3 2 2" xfId="1484" xr:uid="{00000000-0005-0000-0000-0000C8050000}"/>
    <cellStyle name="Normal 3 2 3" xfId="1485" xr:uid="{00000000-0005-0000-0000-0000C9050000}"/>
    <cellStyle name="Normal 3 2 3 2" xfId="1486" xr:uid="{00000000-0005-0000-0000-0000CA050000}"/>
    <cellStyle name="Normal 3 2 3 2 2" xfId="1487" xr:uid="{00000000-0005-0000-0000-0000CB050000}"/>
    <cellStyle name="Normal 3 2 3 3" xfId="1488" xr:uid="{00000000-0005-0000-0000-0000CC050000}"/>
    <cellStyle name="Normal 3 2 4" xfId="1489" xr:uid="{00000000-0005-0000-0000-0000CD050000}"/>
    <cellStyle name="Normal 3 2 4 2" xfId="1490" xr:uid="{00000000-0005-0000-0000-0000CE050000}"/>
    <cellStyle name="Normal 3 3" xfId="1491" xr:uid="{00000000-0005-0000-0000-0000CF050000}"/>
    <cellStyle name="Normal 3 3 2" xfId="1492" xr:uid="{00000000-0005-0000-0000-0000D0050000}"/>
    <cellStyle name="Normal 3 3 2 2" xfId="1493" xr:uid="{00000000-0005-0000-0000-0000D1050000}"/>
    <cellStyle name="Normal 3 3 2 2 2" xfId="1494" xr:uid="{00000000-0005-0000-0000-0000D2050000}"/>
    <cellStyle name="Normal 3 3 2 3" xfId="1495" xr:uid="{00000000-0005-0000-0000-0000D3050000}"/>
    <cellStyle name="Normal 3 3 3" xfId="1496" xr:uid="{00000000-0005-0000-0000-0000D4050000}"/>
    <cellStyle name="Normal 3 3 3 2" xfId="1497" xr:uid="{00000000-0005-0000-0000-0000D5050000}"/>
    <cellStyle name="Normal 3 3 4" xfId="1498" xr:uid="{00000000-0005-0000-0000-0000D6050000}"/>
    <cellStyle name="Normal 3 3 4 2" xfId="1499" xr:uid="{00000000-0005-0000-0000-0000D7050000}"/>
    <cellStyle name="Normal 3 3 5" xfId="1500" xr:uid="{00000000-0005-0000-0000-0000D8050000}"/>
    <cellStyle name="Normal 3 3 5 2" xfId="1501" xr:uid="{00000000-0005-0000-0000-0000D9050000}"/>
    <cellStyle name="Normal 3 3 6" xfId="1502" xr:uid="{00000000-0005-0000-0000-0000DA050000}"/>
    <cellStyle name="Normal 3 3 6 2" xfId="1503" xr:uid="{00000000-0005-0000-0000-0000DB050000}"/>
    <cellStyle name="Normal 3 3 7" xfId="1504" xr:uid="{00000000-0005-0000-0000-0000DC050000}"/>
    <cellStyle name="Normal 3 4" xfId="1505" xr:uid="{00000000-0005-0000-0000-0000DD050000}"/>
    <cellStyle name="Normal 3 4 2" xfId="1506" xr:uid="{00000000-0005-0000-0000-0000DE050000}"/>
    <cellStyle name="Normal 3 4 2 2" xfId="1507" xr:uid="{00000000-0005-0000-0000-0000DF050000}"/>
    <cellStyle name="Normal 3 4 2 2 2" xfId="1508" xr:uid="{00000000-0005-0000-0000-0000E0050000}"/>
    <cellStyle name="Normal 3 4 2 3" xfId="1509" xr:uid="{00000000-0005-0000-0000-0000E1050000}"/>
    <cellStyle name="Normal 3 4 3" xfId="1510" xr:uid="{00000000-0005-0000-0000-0000E2050000}"/>
    <cellStyle name="Normal 3 4 3 2" xfId="1511" xr:uid="{00000000-0005-0000-0000-0000E3050000}"/>
    <cellStyle name="Normal 3 4 4" xfId="1512" xr:uid="{00000000-0005-0000-0000-0000E4050000}"/>
    <cellStyle name="Normal 3 4 4 2" xfId="1513" xr:uid="{00000000-0005-0000-0000-0000E5050000}"/>
    <cellStyle name="Normal 3 4 5" xfId="1514" xr:uid="{00000000-0005-0000-0000-0000E6050000}"/>
    <cellStyle name="Normal 3 4 5 2" xfId="1515" xr:uid="{00000000-0005-0000-0000-0000E7050000}"/>
    <cellStyle name="Normal 3 4 6" xfId="1516" xr:uid="{00000000-0005-0000-0000-0000E8050000}"/>
    <cellStyle name="Normal 3 4 7" xfId="1517" xr:uid="{00000000-0005-0000-0000-0000E9050000}"/>
    <cellStyle name="Normal 3 5" xfId="1518" xr:uid="{00000000-0005-0000-0000-0000EA050000}"/>
    <cellStyle name="Normal 3 6" xfId="1519" xr:uid="{00000000-0005-0000-0000-0000EB050000}"/>
    <cellStyle name="Normal 3 7" xfId="1520" xr:uid="{00000000-0005-0000-0000-0000EC050000}"/>
    <cellStyle name="Normal 3 8" xfId="1521" xr:uid="{00000000-0005-0000-0000-0000ED050000}"/>
    <cellStyle name="Normal 3 9" xfId="1522" xr:uid="{00000000-0005-0000-0000-0000EE050000}"/>
    <cellStyle name="Normal 30" xfId="1523" xr:uid="{00000000-0005-0000-0000-0000EF050000}"/>
    <cellStyle name="Normal 30 2" xfId="1524" xr:uid="{00000000-0005-0000-0000-0000F0050000}"/>
    <cellStyle name="Normal 31" xfId="1525" xr:uid="{00000000-0005-0000-0000-0000F1050000}"/>
    <cellStyle name="Normal 31 2" xfId="1526" xr:uid="{00000000-0005-0000-0000-0000F2050000}"/>
    <cellStyle name="Normal 32" xfId="1527" xr:uid="{00000000-0005-0000-0000-0000F3050000}"/>
    <cellStyle name="Normal 33" xfId="1528" xr:uid="{00000000-0005-0000-0000-0000F4050000}"/>
    <cellStyle name="Normal 33 2" xfId="1529" xr:uid="{00000000-0005-0000-0000-0000F5050000}"/>
    <cellStyle name="Normal 34" xfId="1530" xr:uid="{00000000-0005-0000-0000-0000F6050000}"/>
    <cellStyle name="Normal 34 2" xfId="1531" xr:uid="{00000000-0005-0000-0000-0000F7050000}"/>
    <cellStyle name="Normal 35" xfId="1532" xr:uid="{00000000-0005-0000-0000-0000F8050000}"/>
    <cellStyle name="Normal 35 2" xfId="1533" xr:uid="{00000000-0005-0000-0000-0000F9050000}"/>
    <cellStyle name="Normal 36" xfId="1534" xr:uid="{00000000-0005-0000-0000-0000FA050000}"/>
    <cellStyle name="Normal 36 2" xfId="1535" xr:uid="{00000000-0005-0000-0000-0000FB050000}"/>
    <cellStyle name="Normal 37" xfId="1536" xr:uid="{00000000-0005-0000-0000-0000FC050000}"/>
    <cellStyle name="Normal 38" xfId="1537" xr:uid="{00000000-0005-0000-0000-0000FD050000}"/>
    <cellStyle name="Normal 39" xfId="1538" xr:uid="{00000000-0005-0000-0000-0000FE050000}"/>
    <cellStyle name="Normal 4" xfId="1539" xr:uid="{00000000-0005-0000-0000-0000FF050000}"/>
    <cellStyle name="Normal 4 2" xfId="1540" xr:uid="{00000000-0005-0000-0000-000000060000}"/>
    <cellStyle name="Normal 4 2 2" xfId="1541" xr:uid="{00000000-0005-0000-0000-000001060000}"/>
    <cellStyle name="Normal 4 2 3" xfId="1542" xr:uid="{00000000-0005-0000-0000-000002060000}"/>
    <cellStyle name="Normal 4 2 4" xfId="1543" xr:uid="{00000000-0005-0000-0000-000003060000}"/>
    <cellStyle name="Normal 4 3" xfId="1544" xr:uid="{00000000-0005-0000-0000-000004060000}"/>
    <cellStyle name="Normal 4 3 2" xfId="1545" xr:uid="{00000000-0005-0000-0000-000005060000}"/>
    <cellStyle name="Normal 4 3 2 2" xfId="1546" xr:uid="{00000000-0005-0000-0000-000006060000}"/>
    <cellStyle name="Normal 4 3 3" xfId="1547" xr:uid="{00000000-0005-0000-0000-000007060000}"/>
    <cellStyle name="Normal 4 4" xfId="1548" xr:uid="{00000000-0005-0000-0000-000008060000}"/>
    <cellStyle name="Normal 4 5" xfId="1549" xr:uid="{00000000-0005-0000-0000-000009060000}"/>
    <cellStyle name="Normal 4 6" xfId="1550" xr:uid="{00000000-0005-0000-0000-00000A060000}"/>
    <cellStyle name="Normal 4 7" xfId="1551" xr:uid="{00000000-0005-0000-0000-00000B060000}"/>
    <cellStyle name="Normal 40" xfId="1552" xr:uid="{00000000-0005-0000-0000-00000C060000}"/>
    <cellStyle name="Normal 41" xfId="1553" xr:uid="{00000000-0005-0000-0000-00000D060000}"/>
    <cellStyle name="Normal 42" xfId="1554" xr:uid="{00000000-0005-0000-0000-00000E060000}"/>
    <cellStyle name="Normal 43" xfId="1555" xr:uid="{00000000-0005-0000-0000-00000F060000}"/>
    <cellStyle name="Normal 44" xfId="1556" xr:uid="{00000000-0005-0000-0000-000010060000}"/>
    <cellStyle name="Normal 45" xfId="1557" xr:uid="{00000000-0005-0000-0000-000011060000}"/>
    <cellStyle name="Normal 46" xfId="1558" xr:uid="{00000000-0005-0000-0000-000012060000}"/>
    <cellStyle name="Normal 47" xfId="1559" xr:uid="{00000000-0005-0000-0000-000013060000}"/>
    <cellStyle name="Normal 48" xfId="1560" xr:uid="{00000000-0005-0000-0000-000014060000}"/>
    <cellStyle name="Normal 49" xfId="1561" xr:uid="{00000000-0005-0000-0000-000015060000}"/>
    <cellStyle name="Normal 5" xfId="1562" xr:uid="{00000000-0005-0000-0000-000016060000}"/>
    <cellStyle name="Normal 5 2" xfId="1563" xr:uid="{00000000-0005-0000-0000-000017060000}"/>
    <cellStyle name="Normal 5 3" xfId="1564" xr:uid="{00000000-0005-0000-0000-000018060000}"/>
    <cellStyle name="Normal 5 3 2" xfId="1565" xr:uid="{00000000-0005-0000-0000-000019060000}"/>
    <cellStyle name="Normal 5 3 2 2" xfId="1566" xr:uid="{00000000-0005-0000-0000-00001A060000}"/>
    <cellStyle name="Normal 5 3 3" xfId="1567" xr:uid="{00000000-0005-0000-0000-00001B060000}"/>
    <cellStyle name="Normal 5 3 3 2" xfId="1568" xr:uid="{00000000-0005-0000-0000-00001C060000}"/>
    <cellStyle name="Normal 5 3 4" xfId="1569" xr:uid="{00000000-0005-0000-0000-00001D060000}"/>
    <cellStyle name="Normal 5 4" xfId="1570" xr:uid="{00000000-0005-0000-0000-00001E060000}"/>
    <cellStyle name="Normal 5 5" xfId="1571" xr:uid="{00000000-0005-0000-0000-00001F060000}"/>
    <cellStyle name="Normal 50" xfId="1572" xr:uid="{00000000-0005-0000-0000-000020060000}"/>
    <cellStyle name="Normal 51" xfId="1573" xr:uid="{00000000-0005-0000-0000-000021060000}"/>
    <cellStyle name="Normal 52" xfId="1574" xr:uid="{00000000-0005-0000-0000-000022060000}"/>
    <cellStyle name="Normal 53" xfId="1575" xr:uid="{00000000-0005-0000-0000-000023060000}"/>
    <cellStyle name="Normal 54" xfId="1576" xr:uid="{00000000-0005-0000-0000-000024060000}"/>
    <cellStyle name="Normal 55" xfId="1577" xr:uid="{00000000-0005-0000-0000-000025060000}"/>
    <cellStyle name="Normal 56" xfId="1578" xr:uid="{00000000-0005-0000-0000-000026060000}"/>
    <cellStyle name="Normal 57" xfId="1579" xr:uid="{00000000-0005-0000-0000-000027060000}"/>
    <cellStyle name="Normal 58" xfId="3" xr:uid="{00000000-0005-0000-0000-000028060000}"/>
    <cellStyle name="Normal 59" xfId="1580" xr:uid="{00000000-0005-0000-0000-000029060000}"/>
    <cellStyle name="Normal 6" xfId="1581" xr:uid="{00000000-0005-0000-0000-00002A060000}"/>
    <cellStyle name="Normal 6 2" xfId="1582" xr:uid="{00000000-0005-0000-0000-00002B060000}"/>
    <cellStyle name="Normal 6 2 10" xfId="1583" xr:uid="{00000000-0005-0000-0000-00002C060000}"/>
    <cellStyle name="Normal 6 2 10 2" xfId="1584" xr:uid="{00000000-0005-0000-0000-00002D060000}"/>
    <cellStyle name="Normal 6 2 11" xfId="1585" xr:uid="{00000000-0005-0000-0000-00002E060000}"/>
    <cellStyle name="Normal 6 2 12" xfId="1586" xr:uid="{00000000-0005-0000-0000-00002F060000}"/>
    <cellStyle name="Normal 6 2 2" xfId="1587" xr:uid="{00000000-0005-0000-0000-000030060000}"/>
    <cellStyle name="Normal 6 2 2 2" xfId="1588" xr:uid="{00000000-0005-0000-0000-000031060000}"/>
    <cellStyle name="Normal 6 2 2 2 2" xfId="1589" xr:uid="{00000000-0005-0000-0000-000032060000}"/>
    <cellStyle name="Normal 6 2 2 2 2 2" xfId="1590" xr:uid="{00000000-0005-0000-0000-000033060000}"/>
    <cellStyle name="Normal 6 2 2 2 3" xfId="1591" xr:uid="{00000000-0005-0000-0000-000034060000}"/>
    <cellStyle name="Normal 6 2 2 3" xfId="1592" xr:uid="{00000000-0005-0000-0000-000035060000}"/>
    <cellStyle name="Normal 6 2 2 3 2" xfId="1593" xr:uid="{00000000-0005-0000-0000-000036060000}"/>
    <cellStyle name="Normal 6 2 2 4" xfId="1594" xr:uid="{00000000-0005-0000-0000-000037060000}"/>
    <cellStyle name="Normal 6 2 2 4 2" xfId="1595" xr:uid="{00000000-0005-0000-0000-000038060000}"/>
    <cellStyle name="Normal 6 2 2 5" xfId="1596" xr:uid="{00000000-0005-0000-0000-000039060000}"/>
    <cellStyle name="Normal 6 2 2 5 2" xfId="1597" xr:uid="{00000000-0005-0000-0000-00003A060000}"/>
    <cellStyle name="Normal 6 2 2 6" xfId="1598" xr:uid="{00000000-0005-0000-0000-00003B060000}"/>
    <cellStyle name="Normal 6 2 2 6 2" xfId="1599" xr:uid="{00000000-0005-0000-0000-00003C060000}"/>
    <cellStyle name="Normal 6 2 2 7" xfId="1600" xr:uid="{00000000-0005-0000-0000-00003D060000}"/>
    <cellStyle name="Normal 6 2 3" xfId="1601" xr:uid="{00000000-0005-0000-0000-00003E060000}"/>
    <cellStyle name="Normal 6 2 3 2" xfId="1602" xr:uid="{00000000-0005-0000-0000-00003F060000}"/>
    <cellStyle name="Normal 6 2 3 2 2" xfId="1603" xr:uid="{00000000-0005-0000-0000-000040060000}"/>
    <cellStyle name="Normal 6 2 3 2 2 2" xfId="1604" xr:uid="{00000000-0005-0000-0000-000041060000}"/>
    <cellStyle name="Normal 6 2 3 2 2 2 2" xfId="1605" xr:uid="{00000000-0005-0000-0000-000042060000}"/>
    <cellStyle name="Normal 6 2 3 2 2 3" xfId="1606" xr:uid="{00000000-0005-0000-0000-000043060000}"/>
    <cellStyle name="Normal 6 2 3 2 3" xfId="1607" xr:uid="{00000000-0005-0000-0000-000044060000}"/>
    <cellStyle name="Normal 6 2 3 2 3 2" xfId="1608" xr:uid="{00000000-0005-0000-0000-000045060000}"/>
    <cellStyle name="Normal 6 2 3 2 4" xfId="1609" xr:uid="{00000000-0005-0000-0000-000046060000}"/>
    <cellStyle name="Normal 6 2 3 2 4 2" xfId="1610" xr:uid="{00000000-0005-0000-0000-000047060000}"/>
    <cellStyle name="Normal 6 2 3 2 5" xfId="1611" xr:uid="{00000000-0005-0000-0000-000048060000}"/>
    <cellStyle name="Normal 6 2 3 2 5 2" xfId="1612" xr:uid="{00000000-0005-0000-0000-000049060000}"/>
    <cellStyle name="Normal 6 2 3 2 6" xfId="1613" xr:uid="{00000000-0005-0000-0000-00004A060000}"/>
    <cellStyle name="Normal 6 2 3 2 6 2" xfId="1614" xr:uid="{00000000-0005-0000-0000-00004B060000}"/>
    <cellStyle name="Normal 6 2 3 2 7" xfId="1615" xr:uid="{00000000-0005-0000-0000-00004C060000}"/>
    <cellStyle name="Normal 6 2 3 3" xfId="1616" xr:uid="{00000000-0005-0000-0000-00004D060000}"/>
    <cellStyle name="Normal 6 2 3 3 2" xfId="1617" xr:uid="{00000000-0005-0000-0000-00004E060000}"/>
    <cellStyle name="Normal 6 2 3 3 2 2" xfId="1618" xr:uid="{00000000-0005-0000-0000-00004F060000}"/>
    <cellStyle name="Normal 6 2 3 3 3" xfId="1619" xr:uid="{00000000-0005-0000-0000-000050060000}"/>
    <cellStyle name="Normal 6 2 3 4" xfId="1620" xr:uid="{00000000-0005-0000-0000-000051060000}"/>
    <cellStyle name="Normal 6 2 3 4 2" xfId="1621" xr:uid="{00000000-0005-0000-0000-000052060000}"/>
    <cellStyle name="Normal 6 2 3 5" xfId="1622" xr:uid="{00000000-0005-0000-0000-000053060000}"/>
    <cellStyle name="Normal 6 2 3 5 2" xfId="1623" xr:uid="{00000000-0005-0000-0000-000054060000}"/>
    <cellStyle name="Normal 6 2 3 6" xfId="1624" xr:uid="{00000000-0005-0000-0000-000055060000}"/>
    <cellStyle name="Normal 6 2 3 6 2" xfId="1625" xr:uid="{00000000-0005-0000-0000-000056060000}"/>
    <cellStyle name="Normal 6 2 3 7" xfId="1626" xr:uid="{00000000-0005-0000-0000-000057060000}"/>
    <cellStyle name="Normal 6 2 3 7 2" xfId="1627" xr:uid="{00000000-0005-0000-0000-000058060000}"/>
    <cellStyle name="Normal 6 2 3 8" xfId="1628" xr:uid="{00000000-0005-0000-0000-000059060000}"/>
    <cellStyle name="Normal 6 2 4" xfId="1629" xr:uid="{00000000-0005-0000-0000-00005A060000}"/>
    <cellStyle name="Normal 6 2 4 2" xfId="1630" xr:uid="{00000000-0005-0000-0000-00005B060000}"/>
    <cellStyle name="Normal 6 2 4 2 2" xfId="1631" xr:uid="{00000000-0005-0000-0000-00005C060000}"/>
    <cellStyle name="Normal 6 2 4 3" xfId="1632" xr:uid="{00000000-0005-0000-0000-00005D060000}"/>
    <cellStyle name="Normal 6 2 4 3 2" xfId="1633" xr:uid="{00000000-0005-0000-0000-00005E060000}"/>
    <cellStyle name="Normal 6 2 4 4" xfId="1634" xr:uid="{00000000-0005-0000-0000-00005F060000}"/>
    <cellStyle name="Normal 6 2 5" xfId="1635" xr:uid="{00000000-0005-0000-0000-000060060000}"/>
    <cellStyle name="Normal 6 2 5 2" xfId="1636" xr:uid="{00000000-0005-0000-0000-000061060000}"/>
    <cellStyle name="Normal 6 2 5 2 2" xfId="1637" xr:uid="{00000000-0005-0000-0000-000062060000}"/>
    <cellStyle name="Normal 6 2 5 3" xfId="1638" xr:uid="{00000000-0005-0000-0000-000063060000}"/>
    <cellStyle name="Normal 6 2 6" xfId="1639" xr:uid="{00000000-0005-0000-0000-000064060000}"/>
    <cellStyle name="Normal 6 2 6 2" xfId="1640" xr:uid="{00000000-0005-0000-0000-000065060000}"/>
    <cellStyle name="Normal 6 2 7" xfId="1641" xr:uid="{00000000-0005-0000-0000-000066060000}"/>
    <cellStyle name="Normal 6 2 7 2" xfId="1642" xr:uid="{00000000-0005-0000-0000-000067060000}"/>
    <cellStyle name="Normal 6 2 8" xfId="1643" xr:uid="{00000000-0005-0000-0000-000068060000}"/>
    <cellStyle name="Normal 6 2 8 2" xfId="1644" xr:uid="{00000000-0005-0000-0000-000069060000}"/>
    <cellStyle name="Normal 6 2 9" xfId="1645" xr:uid="{00000000-0005-0000-0000-00006A060000}"/>
    <cellStyle name="Normal 6 2 9 2" xfId="1646" xr:uid="{00000000-0005-0000-0000-00006B060000}"/>
    <cellStyle name="Normal 6 3" xfId="1647" xr:uid="{00000000-0005-0000-0000-00006C060000}"/>
    <cellStyle name="Normal 6 3 2" xfId="1648" xr:uid="{00000000-0005-0000-0000-00006D060000}"/>
    <cellStyle name="Normal 6 4" xfId="1649" xr:uid="{00000000-0005-0000-0000-00006E060000}"/>
    <cellStyle name="Normal 6 4 2" xfId="1650" xr:uid="{00000000-0005-0000-0000-00006F060000}"/>
    <cellStyle name="Normal 6 5" xfId="1651" xr:uid="{00000000-0005-0000-0000-000070060000}"/>
    <cellStyle name="Normal 6 6" xfId="1652" xr:uid="{00000000-0005-0000-0000-000071060000}"/>
    <cellStyle name="Normal 6 7" xfId="1653" xr:uid="{00000000-0005-0000-0000-000072060000}"/>
    <cellStyle name="Normal 6 8" xfId="1654" xr:uid="{00000000-0005-0000-0000-000073060000}"/>
    <cellStyle name="Normal 60" xfId="1655" xr:uid="{00000000-0005-0000-0000-000074060000}"/>
    <cellStyle name="Normal 61" xfId="1656" xr:uid="{00000000-0005-0000-0000-000075060000}"/>
    <cellStyle name="Normal 62" xfId="1657" xr:uid="{00000000-0005-0000-0000-000076060000}"/>
    <cellStyle name="Normal 63" xfId="1658" xr:uid="{00000000-0005-0000-0000-000077060000}"/>
    <cellStyle name="Normal 64" xfId="1659" xr:uid="{00000000-0005-0000-0000-000078060000}"/>
    <cellStyle name="Normal 65" xfId="1660" xr:uid="{00000000-0005-0000-0000-000079060000}"/>
    <cellStyle name="Normal 66" xfId="1661" xr:uid="{00000000-0005-0000-0000-00007A060000}"/>
    <cellStyle name="Normal 67" xfId="1662" xr:uid="{00000000-0005-0000-0000-00007B060000}"/>
    <cellStyle name="Normal 68" xfId="1663" xr:uid="{00000000-0005-0000-0000-00007C060000}"/>
    <cellStyle name="Normal 69" xfId="1664" xr:uid="{00000000-0005-0000-0000-00007D060000}"/>
    <cellStyle name="Normal 7" xfId="1665" xr:uid="{00000000-0005-0000-0000-00007E060000}"/>
    <cellStyle name="Normal 7 2" xfId="1666" xr:uid="{00000000-0005-0000-0000-00007F060000}"/>
    <cellStyle name="Normal 7 2 2" xfId="1667" xr:uid="{00000000-0005-0000-0000-000080060000}"/>
    <cellStyle name="Normal 7 2 2 2" xfId="1668" xr:uid="{00000000-0005-0000-0000-000081060000}"/>
    <cellStyle name="Normal 7 2 2 2 2" xfId="1669" xr:uid="{00000000-0005-0000-0000-000082060000}"/>
    <cellStyle name="Normal 7 2 2 3" xfId="1670" xr:uid="{00000000-0005-0000-0000-000083060000}"/>
    <cellStyle name="Normal 7 2 3" xfId="1671" xr:uid="{00000000-0005-0000-0000-000084060000}"/>
    <cellStyle name="Normal 7 2 3 2" xfId="1672" xr:uid="{00000000-0005-0000-0000-000085060000}"/>
    <cellStyle name="Normal 7 2 4" xfId="1673" xr:uid="{00000000-0005-0000-0000-000086060000}"/>
    <cellStyle name="Normal 7 2 4 2" xfId="1674" xr:uid="{00000000-0005-0000-0000-000087060000}"/>
    <cellStyle name="Normal 7 2 5" xfId="1675" xr:uid="{00000000-0005-0000-0000-000088060000}"/>
    <cellStyle name="Normal 7 2 5 2" xfId="1676" xr:uid="{00000000-0005-0000-0000-000089060000}"/>
    <cellStyle name="Normal 7 2 6" xfId="1677" xr:uid="{00000000-0005-0000-0000-00008A060000}"/>
    <cellStyle name="Normal 7 2 6 2" xfId="1678" xr:uid="{00000000-0005-0000-0000-00008B060000}"/>
    <cellStyle name="Normal 7 2 7" xfId="1679" xr:uid="{00000000-0005-0000-0000-00008C060000}"/>
    <cellStyle name="Normal 7 3" xfId="1680" xr:uid="{00000000-0005-0000-0000-00008D060000}"/>
    <cellStyle name="Normal 7 4" xfId="1681" xr:uid="{00000000-0005-0000-0000-00008E060000}"/>
    <cellStyle name="Normal 7 4 2" xfId="1682" xr:uid="{00000000-0005-0000-0000-00008F060000}"/>
    <cellStyle name="Normal 7 5" xfId="1683" xr:uid="{00000000-0005-0000-0000-000090060000}"/>
    <cellStyle name="Normal 7 5 2" xfId="1684" xr:uid="{00000000-0005-0000-0000-000091060000}"/>
    <cellStyle name="Normal 7 6" xfId="1685" xr:uid="{00000000-0005-0000-0000-000092060000}"/>
    <cellStyle name="Normal 7 7" xfId="1686" xr:uid="{00000000-0005-0000-0000-000093060000}"/>
    <cellStyle name="Normal 7 8" xfId="1687" xr:uid="{00000000-0005-0000-0000-000094060000}"/>
    <cellStyle name="Normal 70" xfId="1688" xr:uid="{00000000-0005-0000-0000-000095060000}"/>
    <cellStyle name="Normal 8" xfId="1689" xr:uid="{00000000-0005-0000-0000-000096060000}"/>
    <cellStyle name="Normal 8 2" xfId="1690" xr:uid="{00000000-0005-0000-0000-000097060000}"/>
    <cellStyle name="Normal 8 2 2" xfId="1691" xr:uid="{00000000-0005-0000-0000-000098060000}"/>
    <cellStyle name="Normal 8 2 2 2" xfId="1692" xr:uid="{00000000-0005-0000-0000-000099060000}"/>
    <cellStyle name="Normal 8 2 2 2 2" xfId="1693" xr:uid="{00000000-0005-0000-0000-00009A060000}"/>
    <cellStyle name="Normal 8 2 2 3" xfId="1694" xr:uid="{00000000-0005-0000-0000-00009B060000}"/>
    <cellStyle name="Normal 8 2 3" xfId="1695" xr:uid="{00000000-0005-0000-0000-00009C060000}"/>
    <cellStyle name="Normal 8 2 3 2" xfId="1696" xr:uid="{00000000-0005-0000-0000-00009D060000}"/>
    <cellStyle name="Normal 8 2 4" xfId="1697" xr:uid="{00000000-0005-0000-0000-00009E060000}"/>
    <cellStyle name="Normal 8 2 4 2" xfId="1698" xr:uid="{00000000-0005-0000-0000-00009F060000}"/>
    <cellStyle name="Normal 8 2 5" xfId="1699" xr:uid="{00000000-0005-0000-0000-0000A0060000}"/>
    <cellStyle name="Normal 8 2 5 2" xfId="1700" xr:uid="{00000000-0005-0000-0000-0000A1060000}"/>
    <cellStyle name="Normal 8 2 6" xfId="1701" xr:uid="{00000000-0005-0000-0000-0000A2060000}"/>
    <cellStyle name="Normal 8 2 6 2" xfId="1702" xr:uid="{00000000-0005-0000-0000-0000A3060000}"/>
    <cellStyle name="Normal 8 2 7" xfId="1703" xr:uid="{00000000-0005-0000-0000-0000A4060000}"/>
    <cellStyle name="Normal 8 3" xfId="1704" xr:uid="{00000000-0005-0000-0000-0000A5060000}"/>
    <cellStyle name="Normal 8 4" xfId="1705" xr:uid="{00000000-0005-0000-0000-0000A6060000}"/>
    <cellStyle name="Normal 8 4 2" xfId="1706" xr:uid="{00000000-0005-0000-0000-0000A7060000}"/>
    <cellStyle name="Normal 8 5" xfId="1707" xr:uid="{00000000-0005-0000-0000-0000A8060000}"/>
    <cellStyle name="Normal 8 5 2" xfId="1708" xr:uid="{00000000-0005-0000-0000-0000A9060000}"/>
    <cellStyle name="Normal 8 6" xfId="1709" xr:uid="{00000000-0005-0000-0000-0000AA060000}"/>
    <cellStyle name="Normal 8 7" xfId="1710" xr:uid="{00000000-0005-0000-0000-0000AB060000}"/>
    <cellStyle name="Normal 8 8" xfId="1711" xr:uid="{00000000-0005-0000-0000-0000AC060000}"/>
    <cellStyle name="Normal 9" xfId="1712" xr:uid="{00000000-0005-0000-0000-0000AD060000}"/>
    <cellStyle name="Normal 9 2" xfId="1713" xr:uid="{00000000-0005-0000-0000-0000AE060000}"/>
    <cellStyle name="Normal 9 2 2" xfId="1714" xr:uid="{00000000-0005-0000-0000-0000AF060000}"/>
    <cellStyle name="Normal 9 3" xfId="1715" xr:uid="{00000000-0005-0000-0000-0000B0060000}"/>
    <cellStyle name="Normal 9 3 2" xfId="1716" xr:uid="{00000000-0005-0000-0000-0000B1060000}"/>
    <cellStyle name="Normal 9 4" xfId="1717" xr:uid="{00000000-0005-0000-0000-0000B2060000}"/>
    <cellStyle name="Normal 9 4 2" xfId="1718" xr:uid="{00000000-0005-0000-0000-0000B3060000}"/>
    <cellStyle name="Normal 9 5" xfId="1719" xr:uid="{00000000-0005-0000-0000-0000B4060000}"/>
    <cellStyle name="Normal 9 6" xfId="1720" xr:uid="{00000000-0005-0000-0000-0000B5060000}"/>
    <cellStyle name="Normal 9 7" xfId="1721" xr:uid="{00000000-0005-0000-0000-0000B6060000}"/>
    <cellStyle name="Normalny_Nasza pf" xfId="1722" xr:uid="{00000000-0005-0000-0000-0000B7060000}"/>
    <cellStyle name="Not Used" xfId="1723" xr:uid="{00000000-0005-0000-0000-0000B8060000}"/>
    <cellStyle name="Note 2" xfId="1724" xr:uid="{00000000-0005-0000-0000-0000B9060000}"/>
    <cellStyle name="Note 2 2" xfId="1725" xr:uid="{00000000-0005-0000-0000-0000BA060000}"/>
    <cellStyle name="Note 2 2 2" xfId="1726" xr:uid="{00000000-0005-0000-0000-0000BB060000}"/>
    <cellStyle name="Note 2 2 2 2" xfId="1727" xr:uid="{00000000-0005-0000-0000-0000BC060000}"/>
    <cellStyle name="Note 2 2 2 2 2" xfId="1728" xr:uid="{00000000-0005-0000-0000-0000BD060000}"/>
    <cellStyle name="Note 2 2 2 2 2 2" xfId="1729" xr:uid="{00000000-0005-0000-0000-0000BE060000}"/>
    <cellStyle name="Note 2 2 2 2 2 3" xfId="1730" xr:uid="{00000000-0005-0000-0000-0000BF060000}"/>
    <cellStyle name="Note 2 2 2 2 2 4" xfId="1731" xr:uid="{00000000-0005-0000-0000-0000C0060000}"/>
    <cellStyle name="Note 2 2 2 2 2 5" xfId="1732" xr:uid="{00000000-0005-0000-0000-0000C1060000}"/>
    <cellStyle name="Note 2 2 2 2 3" xfId="1733" xr:uid="{00000000-0005-0000-0000-0000C2060000}"/>
    <cellStyle name="Note 2 2 2 2 4" xfId="1734" xr:uid="{00000000-0005-0000-0000-0000C3060000}"/>
    <cellStyle name="Note 2 2 2 2 5" xfId="1735" xr:uid="{00000000-0005-0000-0000-0000C4060000}"/>
    <cellStyle name="Note 2 2 2 3" xfId="1736" xr:uid="{00000000-0005-0000-0000-0000C5060000}"/>
    <cellStyle name="Note 2 2 2 3 2" xfId="1737" xr:uid="{00000000-0005-0000-0000-0000C6060000}"/>
    <cellStyle name="Note 2 2 2 3 2 2" xfId="1738" xr:uid="{00000000-0005-0000-0000-0000C7060000}"/>
    <cellStyle name="Note 2 2 2 3 2 3" xfId="1739" xr:uid="{00000000-0005-0000-0000-0000C8060000}"/>
    <cellStyle name="Note 2 2 2 3 2 4" xfId="1740" xr:uid="{00000000-0005-0000-0000-0000C9060000}"/>
    <cellStyle name="Note 2 2 2 3 2 5" xfId="1741" xr:uid="{00000000-0005-0000-0000-0000CA060000}"/>
    <cellStyle name="Note 2 2 2 3 3" xfId="1742" xr:uid="{00000000-0005-0000-0000-0000CB060000}"/>
    <cellStyle name="Note 2 2 2 3 4" xfId="1743" xr:uid="{00000000-0005-0000-0000-0000CC060000}"/>
    <cellStyle name="Note 2 2 2 3 5" xfId="1744" xr:uid="{00000000-0005-0000-0000-0000CD060000}"/>
    <cellStyle name="Note 2 2 2 4" xfId="1745" xr:uid="{00000000-0005-0000-0000-0000CE060000}"/>
    <cellStyle name="Note 2 2 2 4 2" xfId="1746" xr:uid="{00000000-0005-0000-0000-0000CF060000}"/>
    <cellStyle name="Note 2 2 2 4 3" xfId="1747" xr:uid="{00000000-0005-0000-0000-0000D0060000}"/>
    <cellStyle name="Note 2 2 2 4 4" xfId="1748" xr:uid="{00000000-0005-0000-0000-0000D1060000}"/>
    <cellStyle name="Note 2 2 2 4 5" xfId="1749" xr:uid="{00000000-0005-0000-0000-0000D2060000}"/>
    <cellStyle name="Note 2 2 2 5" xfId="1750" xr:uid="{00000000-0005-0000-0000-0000D3060000}"/>
    <cellStyle name="Note 2 2 2 6" xfId="1751" xr:uid="{00000000-0005-0000-0000-0000D4060000}"/>
    <cellStyle name="Note 2 2 2 7" xfId="1752" xr:uid="{00000000-0005-0000-0000-0000D5060000}"/>
    <cellStyle name="Note 2 2 3" xfId="1753" xr:uid="{00000000-0005-0000-0000-0000D6060000}"/>
    <cellStyle name="Note 2 2 3 2" xfId="1754" xr:uid="{00000000-0005-0000-0000-0000D7060000}"/>
    <cellStyle name="Note 2 2 3 2 2" xfId="1755" xr:uid="{00000000-0005-0000-0000-0000D8060000}"/>
    <cellStyle name="Note 2 2 3 2 2 2" xfId="1756" xr:uid="{00000000-0005-0000-0000-0000D9060000}"/>
    <cellStyle name="Note 2 2 3 2 2 3" xfId="1757" xr:uid="{00000000-0005-0000-0000-0000DA060000}"/>
    <cellStyle name="Note 2 2 3 2 2 4" xfId="1758" xr:uid="{00000000-0005-0000-0000-0000DB060000}"/>
    <cellStyle name="Note 2 2 3 2 2 5" xfId="1759" xr:uid="{00000000-0005-0000-0000-0000DC060000}"/>
    <cellStyle name="Note 2 2 3 2 3" xfId="1760" xr:uid="{00000000-0005-0000-0000-0000DD060000}"/>
    <cellStyle name="Note 2 2 3 2 4" xfId="1761" xr:uid="{00000000-0005-0000-0000-0000DE060000}"/>
    <cellStyle name="Note 2 2 3 2 5" xfId="1762" xr:uid="{00000000-0005-0000-0000-0000DF060000}"/>
    <cellStyle name="Note 2 2 3 3" xfId="1763" xr:uid="{00000000-0005-0000-0000-0000E0060000}"/>
    <cellStyle name="Note 2 2 3 3 2" xfId="1764" xr:uid="{00000000-0005-0000-0000-0000E1060000}"/>
    <cellStyle name="Note 2 2 3 3 2 2" xfId="1765" xr:uid="{00000000-0005-0000-0000-0000E2060000}"/>
    <cellStyle name="Note 2 2 3 3 2 3" xfId="1766" xr:uid="{00000000-0005-0000-0000-0000E3060000}"/>
    <cellStyle name="Note 2 2 3 3 2 4" xfId="1767" xr:uid="{00000000-0005-0000-0000-0000E4060000}"/>
    <cellStyle name="Note 2 2 3 3 2 5" xfId="1768" xr:uid="{00000000-0005-0000-0000-0000E5060000}"/>
    <cellStyle name="Note 2 2 3 3 3" xfId="1769" xr:uid="{00000000-0005-0000-0000-0000E6060000}"/>
    <cellStyle name="Note 2 2 3 3 4" xfId="1770" xr:uid="{00000000-0005-0000-0000-0000E7060000}"/>
    <cellStyle name="Note 2 2 3 3 5" xfId="1771" xr:uid="{00000000-0005-0000-0000-0000E8060000}"/>
    <cellStyle name="Note 2 2 3 4" xfId="1772" xr:uid="{00000000-0005-0000-0000-0000E9060000}"/>
    <cellStyle name="Note 2 2 3 4 2" xfId="1773" xr:uid="{00000000-0005-0000-0000-0000EA060000}"/>
    <cellStyle name="Note 2 2 3 4 3" xfId="1774" xr:uid="{00000000-0005-0000-0000-0000EB060000}"/>
    <cellStyle name="Note 2 2 3 4 4" xfId="1775" xr:uid="{00000000-0005-0000-0000-0000EC060000}"/>
    <cellStyle name="Note 2 2 3 4 5" xfId="1776" xr:uid="{00000000-0005-0000-0000-0000ED060000}"/>
    <cellStyle name="Note 2 2 3 5" xfId="1777" xr:uid="{00000000-0005-0000-0000-0000EE060000}"/>
    <cellStyle name="Note 2 2 3 6" xfId="1778" xr:uid="{00000000-0005-0000-0000-0000EF060000}"/>
    <cellStyle name="Note 2 2 3 7" xfId="1779" xr:uid="{00000000-0005-0000-0000-0000F0060000}"/>
    <cellStyle name="Note 2 2 4" xfId="1780" xr:uid="{00000000-0005-0000-0000-0000F1060000}"/>
    <cellStyle name="Note 2 2 4 2" xfId="1781" xr:uid="{00000000-0005-0000-0000-0000F2060000}"/>
    <cellStyle name="Note 2 2 4 2 2" xfId="1782" xr:uid="{00000000-0005-0000-0000-0000F3060000}"/>
    <cellStyle name="Note 2 2 4 2 2 2" xfId="1783" xr:uid="{00000000-0005-0000-0000-0000F4060000}"/>
    <cellStyle name="Note 2 2 4 2 2 3" xfId="1784" xr:uid="{00000000-0005-0000-0000-0000F5060000}"/>
    <cellStyle name="Note 2 2 4 2 2 4" xfId="1785" xr:uid="{00000000-0005-0000-0000-0000F6060000}"/>
    <cellStyle name="Note 2 2 4 2 2 5" xfId="1786" xr:uid="{00000000-0005-0000-0000-0000F7060000}"/>
    <cellStyle name="Note 2 2 4 2 3" xfId="1787" xr:uid="{00000000-0005-0000-0000-0000F8060000}"/>
    <cellStyle name="Note 2 2 4 2 4" xfId="1788" xr:uid="{00000000-0005-0000-0000-0000F9060000}"/>
    <cellStyle name="Note 2 2 4 2 5" xfId="1789" xr:uid="{00000000-0005-0000-0000-0000FA060000}"/>
    <cellStyle name="Note 2 2 4 3" xfId="1790" xr:uid="{00000000-0005-0000-0000-0000FB060000}"/>
    <cellStyle name="Note 2 2 4 3 2" xfId="1791" xr:uid="{00000000-0005-0000-0000-0000FC060000}"/>
    <cellStyle name="Note 2 2 4 3 2 2" xfId="1792" xr:uid="{00000000-0005-0000-0000-0000FD060000}"/>
    <cellStyle name="Note 2 2 4 3 2 3" xfId="1793" xr:uid="{00000000-0005-0000-0000-0000FE060000}"/>
    <cellStyle name="Note 2 2 4 3 2 4" xfId="1794" xr:uid="{00000000-0005-0000-0000-0000FF060000}"/>
    <cellStyle name="Note 2 2 4 3 2 5" xfId="1795" xr:uid="{00000000-0005-0000-0000-000000070000}"/>
    <cellStyle name="Note 2 2 4 3 3" xfId="1796" xr:uid="{00000000-0005-0000-0000-000001070000}"/>
    <cellStyle name="Note 2 2 4 3 4" xfId="1797" xr:uid="{00000000-0005-0000-0000-000002070000}"/>
    <cellStyle name="Note 2 2 4 3 5" xfId="1798" xr:uid="{00000000-0005-0000-0000-000003070000}"/>
    <cellStyle name="Note 2 2 4 4" xfId="1799" xr:uid="{00000000-0005-0000-0000-000004070000}"/>
    <cellStyle name="Note 2 2 4 4 2" xfId="1800" xr:uid="{00000000-0005-0000-0000-000005070000}"/>
    <cellStyle name="Note 2 2 4 4 3" xfId="1801" xr:uid="{00000000-0005-0000-0000-000006070000}"/>
    <cellStyle name="Note 2 2 4 4 4" xfId="1802" xr:uid="{00000000-0005-0000-0000-000007070000}"/>
    <cellStyle name="Note 2 2 4 4 5" xfId="1803" xr:uid="{00000000-0005-0000-0000-000008070000}"/>
    <cellStyle name="Note 2 2 4 5" xfId="1804" xr:uid="{00000000-0005-0000-0000-000009070000}"/>
    <cellStyle name="Note 2 2 4 6" xfId="1805" xr:uid="{00000000-0005-0000-0000-00000A070000}"/>
    <cellStyle name="Note 2 2 4 7" xfId="1806" xr:uid="{00000000-0005-0000-0000-00000B070000}"/>
    <cellStyle name="Note 2 2 5" xfId="1807" xr:uid="{00000000-0005-0000-0000-00000C070000}"/>
    <cellStyle name="Note 2 2 5 2" xfId="1808" xr:uid="{00000000-0005-0000-0000-00000D070000}"/>
    <cellStyle name="Note 2 2 5 2 2" xfId="1809" xr:uid="{00000000-0005-0000-0000-00000E070000}"/>
    <cellStyle name="Note 2 2 5 2 3" xfId="1810" xr:uid="{00000000-0005-0000-0000-00000F070000}"/>
    <cellStyle name="Note 2 2 5 2 4" xfId="1811" xr:uid="{00000000-0005-0000-0000-000010070000}"/>
    <cellStyle name="Note 2 2 5 2 5" xfId="1812" xr:uid="{00000000-0005-0000-0000-000011070000}"/>
    <cellStyle name="Note 2 2 5 3" xfId="1813" xr:uid="{00000000-0005-0000-0000-000012070000}"/>
    <cellStyle name="Note 2 2 5 4" xfId="1814" xr:uid="{00000000-0005-0000-0000-000013070000}"/>
    <cellStyle name="Note 2 2 5 5" xfId="1815" xr:uid="{00000000-0005-0000-0000-000014070000}"/>
    <cellStyle name="Note 2 2 6" xfId="1816" xr:uid="{00000000-0005-0000-0000-000015070000}"/>
    <cellStyle name="Note 2 2 6 2" xfId="1817" xr:uid="{00000000-0005-0000-0000-000016070000}"/>
    <cellStyle name="Note 2 2 6 2 2" xfId="1818" xr:uid="{00000000-0005-0000-0000-000017070000}"/>
    <cellStyle name="Note 2 2 6 2 3" xfId="1819" xr:uid="{00000000-0005-0000-0000-000018070000}"/>
    <cellStyle name="Note 2 2 6 2 4" xfId="1820" xr:uid="{00000000-0005-0000-0000-000019070000}"/>
    <cellStyle name="Note 2 2 6 2 5" xfId="1821" xr:uid="{00000000-0005-0000-0000-00001A070000}"/>
    <cellStyle name="Note 2 2 6 3" xfId="1822" xr:uid="{00000000-0005-0000-0000-00001B070000}"/>
    <cellStyle name="Note 2 2 6 4" xfId="1823" xr:uid="{00000000-0005-0000-0000-00001C070000}"/>
    <cellStyle name="Note 2 2 6 5" xfId="1824" xr:uid="{00000000-0005-0000-0000-00001D070000}"/>
    <cellStyle name="Note 2 2 7" xfId="1825" xr:uid="{00000000-0005-0000-0000-00001E070000}"/>
    <cellStyle name="Note 2 3" xfId="1826" xr:uid="{00000000-0005-0000-0000-00001F070000}"/>
    <cellStyle name="Note 2 3 2" xfId="1827" xr:uid="{00000000-0005-0000-0000-000020070000}"/>
    <cellStyle name="Note 2 3 2 2" xfId="1828" xr:uid="{00000000-0005-0000-0000-000021070000}"/>
    <cellStyle name="Note 2 3 2 2 2" xfId="1829" xr:uid="{00000000-0005-0000-0000-000022070000}"/>
    <cellStyle name="Note 2 3 2 2 3" xfId="1830" xr:uid="{00000000-0005-0000-0000-000023070000}"/>
    <cellStyle name="Note 2 3 2 2 4" xfId="1831" xr:uid="{00000000-0005-0000-0000-000024070000}"/>
    <cellStyle name="Note 2 3 2 2 5" xfId="1832" xr:uid="{00000000-0005-0000-0000-000025070000}"/>
    <cellStyle name="Note 2 3 2 3" xfId="1833" xr:uid="{00000000-0005-0000-0000-000026070000}"/>
    <cellStyle name="Note 2 3 2 4" xfId="1834" xr:uid="{00000000-0005-0000-0000-000027070000}"/>
    <cellStyle name="Note 2 3 2 5" xfId="1835" xr:uid="{00000000-0005-0000-0000-000028070000}"/>
    <cellStyle name="Note 2 3 3" xfId="1836" xr:uid="{00000000-0005-0000-0000-000029070000}"/>
    <cellStyle name="Note 2 3 3 2" xfId="1837" xr:uid="{00000000-0005-0000-0000-00002A070000}"/>
    <cellStyle name="Note 2 3 3 2 2" xfId="1838" xr:uid="{00000000-0005-0000-0000-00002B070000}"/>
    <cellStyle name="Note 2 3 3 2 3" xfId="1839" xr:uid="{00000000-0005-0000-0000-00002C070000}"/>
    <cellStyle name="Note 2 3 3 2 4" xfId="1840" xr:uid="{00000000-0005-0000-0000-00002D070000}"/>
    <cellStyle name="Note 2 3 3 2 5" xfId="1841" xr:uid="{00000000-0005-0000-0000-00002E070000}"/>
    <cellStyle name="Note 2 3 3 3" xfId="1842" xr:uid="{00000000-0005-0000-0000-00002F070000}"/>
    <cellStyle name="Note 2 3 3 4" xfId="1843" xr:uid="{00000000-0005-0000-0000-000030070000}"/>
    <cellStyle name="Note 2 3 3 5" xfId="1844" xr:uid="{00000000-0005-0000-0000-000031070000}"/>
    <cellStyle name="Note 2 3 4" xfId="1845" xr:uid="{00000000-0005-0000-0000-000032070000}"/>
    <cellStyle name="Note 2 3 4 2" xfId="1846" xr:uid="{00000000-0005-0000-0000-000033070000}"/>
    <cellStyle name="Note 2 3 4 3" xfId="1847" xr:uid="{00000000-0005-0000-0000-000034070000}"/>
    <cellStyle name="Note 2 3 4 4" xfId="1848" xr:uid="{00000000-0005-0000-0000-000035070000}"/>
    <cellStyle name="Note 2 3 4 5" xfId="1849" xr:uid="{00000000-0005-0000-0000-000036070000}"/>
    <cellStyle name="Note 2 3 5" xfId="1850" xr:uid="{00000000-0005-0000-0000-000037070000}"/>
    <cellStyle name="Note 2 3 6" xfId="1851" xr:uid="{00000000-0005-0000-0000-000038070000}"/>
    <cellStyle name="Note 2 3 7" xfId="1852" xr:uid="{00000000-0005-0000-0000-000039070000}"/>
    <cellStyle name="Note 2 4" xfId="1853" xr:uid="{00000000-0005-0000-0000-00003A070000}"/>
    <cellStyle name="Note 2 4 2" xfId="1854" xr:uid="{00000000-0005-0000-0000-00003B070000}"/>
    <cellStyle name="Note 2 4 2 2" xfId="1855" xr:uid="{00000000-0005-0000-0000-00003C070000}"/>
    <cellStyle name="Note 2 4 2 2 2" xfId="1856" xr:uid="{00000000-0005-0000-0000-00003D070000}"/>
    <cellStyle name="Note 2 4 2 2 3" xfId="1857" xr:uid="{00000000-0005-0000-0000-00003E070000}"/>
    <cellStyle name="Note 2 4 2 2 4" xfId="1858" xr:uid="{00000000-0005-0000-0000-00003F070000}"/>
    <cellStyle name="Note 2 4 2 2 5" xfId="1859" xr:uid="{00000000-0005-0000-0000-000040070000}"/>
    <cellStyle name="Note 2 4 2 3" xfId="1860" xr:uid="{00000000-0005-0000-0000-000041070000}"/>
    <cellStyle name="Note 2 4 2 4" xfId="1861" xr:uid="{00000000-0005-0000-0000-000042070000}"/>
    <cellStyle name="Note 2 4 2 5" xfId="1862" xr:uid="{00000000-0005-0000-0000-000043070000}"/>
    <cellStyle name="Note 2 4 3" xfId="1863" xr:uid="{00000000-0005-0000-0000-000044070000}"/>
    <cellStyle name="Note 2 4 3 2" xfId="1864" xr:uid="{00000000-0005-0000-0000-000045070000}"/>
    <cellStyle name="Note 2 4 3 2 2" xfId="1865" xr:uid="{00000000-0005-0000-0000-000046070000}"/>
    <cellStyle name="Note 2 4 3 2 3" xfId="1866" xr:uid="{00000000-0005-0000-0000-000047070000}"/>
    <cellStyle name="Note 2 4 3 2 4" xfId="1867" xr:uid="{00000000-0005-0000-0000-000048070000}"/>
    <cellStyle name="Note 2 4 3 2 5" xfId="1868" xr:uid="{00000000-0005-0000-0000-000049070000}"/>
    <cellStyle name="Note 2 4 3 3" xfId="1869" xr:uid="{00000000-0005-0000-0000-00004A070000}"/>
    <cellStyle name="Note 2 4 3 4" xfId="1870" xr:uid="{00000000-0005-0000-0000-00004B070000}"/>
    <cellStyle name="Note 2 4 3 5" xfId="1871" xr:uid="{00000000-0005-0000-0000-00004C070000}"/>
    <cellStyle name="Note 2 4 4" xfId="1872" xr:uid="{00000000-0005-0000-0000-00004D070000}"/>
    <cellStyle name="Note 2 4 4 2" xfId="1873" xr:uid="{00000000-0005-0000-0000-00004E070000}"/>
    <cellStyle name="Note 2 4 4 3" xfId="1874" xr:uid="{00000000-0005-0000-0000-00004F070000}"/>
    <cellStyle name="Note 2 4 4 4" xfId="1875" xr:uid="{00000000-0005-0000-0000-000050070000}"/>
    <cellStyle name="Note 2 4 4 5" xfId="1876" xr:uid="{00000000-0005-0000-0000-000051070000}"/>
    <cellStyle name="Note 2 4 5" xfId="1877" xr:uid="{00000000-0005-0000-0000-000052070000}"/>
    <cellStyle name="Note 2 4 6" xfId="1878" xr:uid="{00000000-0005-0000-0000-000053070000}"/>
    <cellStyle name="Note 2 4 7" xfId="1879" xr:uid="{00000000-0005-0000-0000-000054070000}"/>
    <cellStyle name="Note 2 5" xfId="1880" xr:uid="{00000000-0005-0000-0000-000055070000}"/>
    <cellStyle name="Note 2 5 2" xfId="1881" xr:uid="{00000000-0005-0000-0000-000056070000}"/>
    <cellStyle name="Note 2 5 2 2" xfId="1882" xr:uid="{00000000-0005-0000-0000-000057070000}"/>
    <cellStyle name="Note 2 5 2 2 2" xfId="1883" xr:uid="{00000000-0005-0000-0000-000058070000}"/>
    <cellStyle name="Note 2 5 2 2 3" xfId="1884" xr:uid="{00000000-0005-0000-0000-000059070000}"/>
    <cellStyle name="Note 2 5 2 2 4" xfId="1885" xr:uid="{00000000-0005-0000-0000-00005A070000}"/>
    <cellStyle name="Note 2 5 2 2 5" xfId="1886" xr:uid="{00000000-0005-0000-0000-00005B070000}"/>
    <cellStyle name="Note 2 5 2 3" xfId="1887" xr:uid="{00000000-0005-0000-0000-00005C070000}"/>
    <cellStyle name="Note 2 5 2 4" xfId="1888" xr:uid="{00000000-0005-0000-0000-00005D070000}"/>
    <cellStyle name="Note 2 5 2 5" xfId="1889" xr:uid="{00000000-0005-0000-0000-00005E070000}"/>
    <cellStyle name="Note 2 5 3" xfId="1890" xr:uid="{00000000-0005-0000-0000-00005F070000}"/>
    <cellStyle name="Note 2 5 3 2" xfId="1891" xr:uid="{00000000-0005-0000-0000-000060070000}"/>
    <cellStyle name="Note 2 5 3 2 2" xfId="1892" xr:uid="{00000000-0005-0000-0000-000061070000}"/>
    <cellStyle name="Note 2 5 3 2 3" xfId="1893" xr:uid="{00000000-0005-0000-0000-000062070000}"/>
    <cellStyle name="Note 2 5 3 2 4" xfId="1894" xr:uid="{00000000-0005-0000-0000-000063070000}"/>
    <cellStyle name="Note 2 5 3 2 5" xfId="1895" xr:uid="{00000000-0005-0000-0000-000064070000}"/>
    <cellStyle name="Note 2 5 3 3" xfId="1896" xr:uid="{00000000-0005-0000-0000-000065070000}"/>
    <cellStyle name="Note 2 5 3 4" xfId="1897" xr:uid="{00000000-0005-0000-0000-000066070000}"/>
    <cellStyle name="Note 2 5 3 5" xfId="1898" xr:uid="{00000000-0005-0000-0000-000067070000}"/>
    <cellStyle name="Note 2 5 4" xfId="1899" xr:uid="{00000000-0005-0000-0000-000068070000}"/>
    <cellStyle name="Note 2 5 4 2" xfId="1900" xr:uid="{00000000-0005-0000-0000-000069070000}"/>
    <cellStyle name="Note 2 5 4 3" xfId="1901" xr:uid="{00000000-0005-0000-0000-00006A070000}"/>
    <cellStyle name="Note 2 5 4 4" xfId="1902" xr:uid="{00000000-0005-0000-0000-00006B070000}"/>
    <cellStyle name="Note 2 5 4 5" xfId="1903" xr:uid="{00000000-0005-0000-0000-00006C070000}"/>
    <cellStyle name="Note 2 5 5" xfId="1904" xr:uid="{00000000-0005-0000-0000-00006D070000}"/>
    <cellStyle name="Note 2 5 6" xfId="1905" xr:uid="{00000000-0005-0000-0000-00006E070000}"/>
    <cellStyle name="Note 2 5 7" xfId="1906" xr:uid="{00000000-0005-0000-0000-00006F070000}"/>
    <cellStyle name="Note 2 6" xfId="1907" xr:uid="{00000000-0005-0000-0000-000070070000}"/>
    <cellStyle name="Note 2 7" xfId="1908" xr:uid="{00000000-0005-0000-0000-000071070000}"/>
    <cellStyle name="Note 3" xfId="1909" xr:uid="{00000000-0005-0000-0000-000072070000}"/>
    <cellStyle name="Note 3 2" xfId="1910" xr:uid="{00000000-0005-0000-0000-000073070000}"/>
    <cellStyle name="Note 3 2 2" xfId="1911" xr:uid="{00000000-0005-0000-0000-000074070000}"/>
    <cellStyle name="Note 3 2 2 2" xfId="1912" xr:uid="{00000000-0005-0000-0000-000075070000}"/>
    <cellStyle name="Note 3 2 2 2 2" xfId="1913" xr:uid="{00000000-0005-0000-0000-000076070000}"/>
    <cellStyle name="Note 3 2 2 2 2 2" xfId="1914" xr:uid="{00000000-0005-0000-0000-000077070000}"/>
    <cellStyle name="Note 3 2 2 2 2 3" xfId="1915" xr:uid="{00000000-0005-0000-0000-000078070000}"/>
    <cellStyle name="Note 3 2 2 2 2 4" xfId="1916" xr:uid="{00000000-0005-0000-0000-000079070000}"/>
    <cellStyle name="Note 3 2 2 2 2 5" xfId="1917" xr:uid="{00000000-0005-0000-0000-00007A070000}"/>
    <cellStyle name="Note 3 2 2 2 3" xfId="1918" xr:uid="{00000000-0005-0000-0000-00007B070000}"/>
    <cellStyle name="Note 3 2 2 2 4" xfId="1919" xr:uid="{00000000-0005-0000-0000-00007C070000}"/>
    <cellStyle name="Note 3 2 2 2 5" xfId="1920" xr:uid="{00000000-0005-0000-0000-00007D070000}"/>
    <cellStyle name="Note 3 2 2 3" xfId="1921" xr:uid="{00000000-0005-0000-0000-00007E070000}"/>
    <cellStyle name="Note 3 2 2 3 2" xfId="1922" xr:uid="{00000000-0005-0000-0000-00007F070000}"/>
    <cellStyle name="Note 3 2 2 3 2 2" xfId="1923" xr:uid="{00000000-0005-0000-0000-000080070000}"/>
    <cellStyle name="Note 3 2 2 3 2 3" xfId="1924" xr:uid="{00000000-0005-0000-0000-000081070000}"/>
    <cellStyle name="Note 3 2 2 3 2 4" xfId="1925" xr:uid="{00000000-0005-0000-0000-000082070000}"/>
    <cellStyle name="Note 3 2 2 3 2 5" xfId="1926" xr:uid="{00000000-0005-0000-0000-000083070000}"/>
    <cellStyle name="Note 3 2 2 3 3" xfId="1927" xr:uid="{00000000-0005-0000-0000-000084070000}"/>
    <cellStyle name="Note 3 2 2 3 4" xfId="1928" xr:uid="{00000000-0005-0000-0000-000085070000}"/>
    <cellStyle name="Note 3 2 2 3 5" xfId="1929" xr:uid="{00000000-0005-0000-0000-000086070000}"/>
    <cellStyle name="Note 3 2 2 4" xfId="1930" xr:uid="{00000000-0005-0000-0000-000087070000}"/>
    <cellStyle name="Note 3 2 2 4 2" xfId="1931" xr:uid="{00000000-0005-0000-0000-000088070000}"/>
    <cellStyle name="Note 3 2 2 4 3" xfId="1932" xr:uid="{00000000-0005-0000-0000-000089070000}"/>
    <cellStyle name="Note 3 2 2 4 4" xfId="1933" xr:uid="{00000000-0005-0000-0000-00008A070000}"/>
    <cellStyle name="Note 3 2 2 4 5" xfId="1934" xr:uid="{00000000-0005-0000-0000-00008B070000}"/>
    <cellStyle name="Note 3 2 2 5" xfId="1935" xr:uid="{00000000-0005-0000-0000-00008C070000}"/>
    <cellStyle name="Note 3 2 2 6" xfId="1936" xr:uid="{00000000-0005-0000-0000-00008D070000}"/>
    <cellStyle name="Note 3 2 2 7" xfId="1937" xr:uid="{00000000-0005-0000-0000-00008E070000}"/>
    <cellStyle name="Note 3 2 3" xfId="1938" xr:uid="{00000000-0005-0000-0000-00008F070000}"/>
    <cellStyle name="Note 3 2 3 2" xfId="1939" xr:uid="{00000000-0005-0000-0000-000090070000}"/>
    <cellStyle name="Note 3 2 3 2 2" xfId="1940" xr:uid="{00000000-0005-0000-0000-000091070000}"/>
    <cellStyle name="Note 3 2 3 2 2 2" xfId="1941" xr:uid="{00000000-0005-0000-0000-000092070000}"/>
    <cellStyle name="Note 3 2 3 2 2 3" xfId="1942" xr:uid="{00000000-0005-0000-0000-000093070000}"/>
    <cellStyle name="Note 3 2 3 2 2 4" xfId="1943" xr:uid="{00000000-0005-0000-0000-000094070000}"/>
    <cellStyle name="Note 3 2 3 2 2 5" xfId="1944" xr:uid="{00000000-0005-0000-0000-000095070000}"/>
    <cellStyle name="Note 3 2 3 2 3" xfId="1945" xr:uid="{00000000-0005-0000-0000-000096070000}"/>
    <cellStyle name="Note 3 2 3 2 4" xfId="1946" xr:uid="{00000000-0005-0000-0000-000097070000}"/>
    <cellStyle name="Note 3 2 3 2 5" xfId="1947" xr:uid="{00000000-0005-0000-0000-000098070000}"/>
    <cellStyle name="Note 3 2 3 3" xfId="1948" xr:uid="{00000000-0005-0000-0000-000099070000}"/>
    <cellStyle name="Note 3 2 3 3 2" xfId="1949" xr:uid="{00000000-0005-0000-0000-00009A070000}"/>
    <cellStyle name="Note 3 2 3 3 2 2" xfId="1950" xr:uid="{00000000-0005-0000-0000-00009B070000}"/>
    <cellStyle name="Note 3 2 3 3 2 3" xfId="1951" xr:uid="{00000000-0005-0000-0000-00009C070000}"/>
    <cellStyle name="Note 3 2 3 3 2 4" xfId="1952" xr:uid="{00000000-0005-0000-0000-00009D070000}"/>
    <cellStyle name="Note 3 2 3 3 2 5" xfId="1953" xr:uid="{00000000-0005-0000-0000-00009E070000}"/>
    <cellStyle name="Note 3 2 3 3 3" xfId="1954" xr:uid="{00000000-0005-0000-0000-00009F070000}"/>
    <cellStyle name="Note 3 2 3 3 4" xfId="1955" xr:uid="{00000000-0005-0000-0000-0000A0070000}"/>
    <cellStyle name="Note 3 2 3 3 5" xfId="1956" xr:uid="{00000000-0005-0000-0000-0000A1070000}"/>
    <cellStyle name="Note 3 2 3 4" xfId="1957" xr:uid="{00000000-0005-0000-0000-0000A2070000}"/>
    <cellStyle name="Note 3 2 3 4 2" xfId="1958" xr:uid="{00000000-0005-0000-0000-0000A3070000}"/>
    <cellStyle name="Note 3 2 3 4 3" xfId="1959" xr:uid="{00000000-0005-0000-0000-0000A4070000}"/>
    <cellStyle name="Note 3 2 3 4 4" xfId="1960" xr:uid="{00000000-0005-0000-0000-0000A5070000}"/>
    <cellStyle name="Note 3 2 3 4 5" xfId="1961" xr:uid="{00000000-0005-0000-0000-0000A6070000}"/>
    <cellStyle name="Note 3 2 3 5" xfId="1962" xr:uid="{00000000-0005-0000-0000-0000A7070000}"/>
    <cellStyle name="Note 3 2 3 6" xfId="1963" xr:uid="{00000000-0005-0000-0000-0000A8070000}"/>
    <cellStyle name="Note 3 2 3 7" xfId="1964" xr:uid="{00000000-0005-0000-0000-0000A9070000}"/>
    <cellStyle name="Note 3 2 4" xfId="1965" xr:uid="{00000000-0005-0000-0000-0000AA070000}"/>
    <cellStyle name="Note 3 2 4 2" xfId="1966" xr:uid="{00000000-0005-0000-0000-0000AB070000}"/>
    <cellStyle name="Note 3 2 4 2 2" xfId="1967" xr:uid="{00000000-0005-0000-0000-0000AC070000}"/>
    <cellStyle name="Note 3 2 4 2 2 2" xfId="1968" xr:uid="{00000000-0005-0000-0000-0000AD070000}"/>
    <cellStyle name="Note 3 2 4 2 2 3" xfId="1969" xr:uid="{00000000-0005-0000-0000-0000AE070000}"/>
    <cellStyle name="Note 3 2 4 2 2 4" xfId="1970" xr:uid="{00000000-0005-0000-0000-0000AF070000}"/>
    <cellStyle name="Note 3 2 4 2 2 5" xfId="1971" xr:uid="{00000000-0005-0000-0000-0000B0070000}"/>
    <cellStyle name="Note 3 2 4 2 3" xfId="1972" xr:uid="{00000000-0005-0000-0000-0000B1070000}"/>
    <cellStyle name="Note 3 2 4 2 4" xfId="1973" xr:uid="{00000000-0005-0000-0000-0000B2070000}"/>
    <cellStyle name="Note 3 2 4 2 5" xfId="1974" xr:uid="{00000000-0005-0000-0000-0000B3070000}"/>
    <cellStyle name="Note 3 2 4 3" xfId="1975" xr:uid="{00000000-0005-0000-0000-0000B4070000}"/>
    <cellStyle name="Note 3 2 4 3 2" xfId="1976" xr:uid="{00000000-0005-0000-0000-0000B5070000}"/>
    <cellStyle name="Note 3 2 4 3 2 2" xfId="1977" xr:uid="{00000000-0005-0000-0000-0000B6070000}"/>
    <cellStyle name="Note 3 2 4 3 2 3" xfId="1978" xr:uid="{00000000-0005-0000-0000-0000B7070000}"/>
    <cellStyle name="Note 3 2 4 3 2 4" xfId="1979" xr:uid="{00000000-0005-0000-0000-0000B8070000}"/>
    <cellStyle name="Note 3 2 4 3 2 5" xfId="1980" xr:uid="{00000000-0005-0000-0000-0000B9070000}"/>
    <cellStyle name="Note 3 2 4 3 3" xfId="1981" xr:uid="{00000000-0005-0000-0000-0000BA070000}"/>
    <cellStyle name="Note 3 2 4 3 4" xfId="1982" xr:uid="{00000000-0005-0000-0000-0000BB070000}"/>
    <cellStyle name="Note 3 2 4 3 5" xfId="1983" xr:uid="{00000000-0005-0000-0000-0000BC070000}"/>
    <cellStyle name="Note 3 2 4 4" xfId="1984" xr:uid="{00000000-0005-0000-0000-0000BD070000}"/>
    <cellStyle name="Note 3 2 4 4 2" xfId="1985" xr:uid="{00000000-0005-0000-0000-0000BE070000}"/>
    <cellStyle name="Note 3 2 4 4 3" xfId="1986" xr:uid="{00000000-0005-0000-0000-0000BF070000}"/>
    <cellStyle name="Note 3 2 4 4 4" xfId="1987" xr:uid="{00000000-0005-0000-0000-0000C0070000}"/>
    <cellStyle name="Note 3 2 4 4 5" xfId="1988" xr:uid="{00000000-0005-0000-0000-0000C1070000}"/>
    <cellStyle name="Note 3 2 4 5" xfId="1989" xr:uid="{00000000-0005-0000-0000-0000C2070000}"/>
    <cellStyle name="Note 3 2 4 6" xfId="1990" xr:uid="{00000000-0005-0000-0000-0000C3070000}"/>
    <cellStyle name="Note 3 2 4 7" xfId="1991" xr:uid="{00000000-0005-0000-0000-0000C4070000}"/>
    <cellStyle name="Note 3 2 5" xfId="1992" xr:uid="{00000000-0005-0000-0000-0000C5070000}"/>
    <cellStyle name="Note 3 2 5 2" xfId="1993" xr:uid="{00000000-0005-0000-0000-0000C6070000}"/>
    <cellStyle name="Note 3 2 5 2 2" xfId="1994" xr:uid="{00000000-0005-0000-0000-0000C7070000}"/>
    <cellStyle name="Note 3 2 5 2 3" xfId="1995" xr:uid="{00000000-0005-0000-0000-0000C8070000}"/>
    <cellStyle name="Note 3 2 5 2 4" xfId="1996" xr:uid="{00000000-0005-0000-0000-0000C9070000}"/>
    <cellStyle name="Note 3 2 5 2 5" xfId="1997" xr:uid="{00000000-0005-0000-0000-0000CA070000}"/>
    <cellStyle name="Note 3 2 5 3" xfId="1998" xr:uid="{00000000-0005-0000-0000-0000CB070000}"/>
    <cellStyle name="Note 3 2 5 4" xfId="1999" xr:uid="{00000000-0005-0000-0000-0000CC070000}"/>
    <cellStyle name="Note 3 2 5 5" xfId="2000" xr:uid="{00000000-0005-0000-0000-0000CD070000}"/>
    <cellStyle name="Note 3 2 6" xfId="2001" xr:uid="{00000000-0005-0000-0000-0000CE070000}"/>
    <cellStyle name="Note 3 2 6 2" xfId="2002" xr:uid="{00000000-0005-0000-0000-0000CF070000}"/>
    <cellStyle name="Note 3 2 6 2 2" xfId="2003" xr:uid="{00000000-0005-0000-0000-0000D0070000}"/>
    <cellStyle name="Note 3 2 6 2 3" xfId="2004" xr:uid="{00000000-0005-0000-0000-0000D1070000}"/>
    <cellStyle name="Note 3 2 6 2 4" xfId="2005" xr:uid="{00000000-0005-0000-0000-0000D2070000}"/>
    <cellStyle name="Note 3 2 6 2 5" xfId="2006" xr:uid="{00000000-0005-0000-0000-0000D3070000}"/>
    <cellStyle name="Note 3 2 6 3" xfId="2007" xr:uid="{00000000-0005-0000-0000-0000D4070000}"/>
    <cellStyle name="Note 3 2 6 4" xfId="2008" xr:uid="{00000000-0005-0000-0000-0000D5070000}"/>
    <cellStyle name="Note 3 2 6 5" xfId="2009" xr:uid="{00000000-0005-0000-0000-0000D6070000}"/>
    <cellStyle name="Note 3 2 7" xfId="2010" xr:uid="{00000000-0005-0000-0000-0000D7070000}"/>
    <cellStyle name="Note 3 3" xfId="2011" xr:uid="{00000000-0005-0000-0000-0000D8070000}"/>
    <cellStyle name="Note 3 3 2" xfId="2012" xr:uid="{00000000-0005-0000-0000-0000D9070000}"/>
    <cellStyle name="Note 3 3 2 2" xfId="2013" xr:uid="{00000000-0005-0000-0000-0000DA070000}"/>
    <cellStyle name="Note 3 3 2 2 2" xfId="2014" xr:uid="{00000000-0005-0000-0000-0000DB070000}"/>
    <cellStyle name="Note 3 3 2 2 3" xfId="2015" xr:uid="{00000000-0005-0000-0000-0000DC070000}"/>
    <cellStyle name="Note 3 3 2 2 4" xfId="2016" xr:uid="{00000000-0005-0000-0000-0000DD070000}"/>
    <cellStyle name="Note 3 3 2 2 5" xfId="2017" xr:uid="{00000000-0005-0000-0000-0000DE070000}"/>
    <cellStyle name="Note 3 3 2 3" xfId="2018" xr:uid="{00000000-0005-0000-0000-0000DF070000}"/>
    <cellStyle name="Note 3 3 2 4" xfId="2019" xr:uid="{00000000-0005-0000-0000-0000E0070000}"/>
    <cellStyle name="Note 3 3 2 5" xfId="2020" xr:uid="{00000000-0005-0000-0000-0000E1070000}"/>
    <cellStyle name="Note 3 3 3" xfId="2021" xr:uid="{00000000-0005-0000-0000-0000E2070000}"/>
    <cellStyle name="Note 3 3 3 2" xfId="2022" xr:uid="{00000000-0005-0000-0000-0000E3070000}"/>
    <cellStyle name="Note 3 3 3 2 2" xfId="2023" xr:uid="{00000000-0005-0000-0000-0000E4070000}"/>
    <cellStyle name="Note 3 3 3 2 3" xfId="2024" xr:uid="{00000000-0005-0000-0000-0000E5070000}"/>
    <cellStyle name="Note 3 3 3 2 4" xfId="2025" xr:uid="{00000000-0005-0000-0000-0000E6070000}"/>
    <cellStyle name="Note 3 3 3 2 5" xfId="2026" xr:uid="{00000000-0005-0000-0000-0000E7070000}"/>
    <cellStyle name="Note 3 3 3 3" xfId="2027" xr:uid="{00000000-0005-0000-0000-0000E8070000}"/>
    <cellStyle name="Note 3 3 3 4" xfId="2028" xr:uid="{00000000-0005-0000-0000-0000E9070000}"/>
    <cellStyle name="Note 3 3 3 5" xfId="2029" xr:uid="{00000000-0005-0000-0000-0000EA070000}"/>
    <cellStyle name="Note 3 3 4" xfId="2030" xr:uid="{00000000-0005-0000-0000-0000EB070000}"/>
    <cellStyle name="Note 3 3 4 2" xfId="2031" xr:uid="{00000000-0005-0000-0000-0000EC070000}"/>
    <cellStyle name="Note 3 3 4 3" xfId="2032" xr:uid="{00000000-0005-0000-0000-0000ED070000}"/>
    <cellStyle name="Note 3 3 4 4" xfId="2033" xr:uid="{00000000-0005-0000-0000-0000EE070000}"/>
    <cellStyle name="Note 3 3 4 5" xfId="2034" xr:uid="{00000000-0005-0000-0000-0000EF070000}"/>
    <cellStyle name="Note 3 3 5" xfId="2035" xr:uid="{00000000-0005-0000-0000-0000F0070000}"/>
    <cellStyle name="Note 3 3 6" xfId="2036" xr:uid="{00000000-0005-0000-0000-0000F1070000}"/>
    <cellStyle name="Note 3 3 7" xfId="2037" xr:uid="{00000000-0005-0000-0000-0000F2070000}"/>
    <cellStyle name="Note 3 4" xfId="2038" xr:uid="{00000000-0005-0000-0000-0000F3070000}"/>
    <cellStyle name="Note 3 4 2" xfId="2039" xr:uid="{00000000-0005-0000-0000-0000F4070000}"/>
    <cellStyle name="Note 3 4 2 2" xfId="2040" xr:uid="{00000000-0005-0000-0000-0000F5070000}"/>
    <cellStyle name="Note 3 4 2 2 2" xfId="2041" xr:uid="{00000000-0005-0000-0000-0000F6070000}"/>
    <cellStyle name="Note 3 4 2 2 3" xfId="2042" xr:uid="{00000000-0005-0000-0000-0000F7070000}"/>
    <cellStyle name="Note 3 4 2 2 4" xfId="2043" xr:uid="{00000000-0005-0000-0000-0000F8070000}"/>
    <cellStyle name="Note 3 4 2 2 5" xfId="2044" xr:uid="{00000000-0005-0000-0000-0000F9070000}"/>
    <cellStyle name="Note 3 4 2 3" xfId="2045" xr:uid="{00000000-0005-0000-0000-0000FA070000}"/>
    <cellStyle name="Note 3 4 2 4" xfId="2046" xr:uid="{00000000-0005-0000-0000-0000FB070000}"/>
    <cellStyle name="Note 3 4 2 5" xfId="2047" xr:uid="{00000000-0005-0000-0000-0000FC070000}"/>
    <cellStyle name="Note 3 4 3" xfId="2048" xr:uid="{00000000-0005-0000-0000-0000FD070000}"/>
    <cellStyle name="Note 3 4 3 2" xfId="2049" xr:uid="{00000000-0005-0000-0000-0000FE070000}"/>
    <cellStyle name="Note 3 4 3 2 2" xfId="2050" xr:uid="{00000000-0005-0000-0000-0000FF070000}"/>
    <cellStyle name="Note 3 4 3 2 3" xfId="2051" xr:uid="{00000000-0005-0000-0000-000000080000}"/>
    <cellStyle name="Note 3 4 3 2 4" xfId="2052" xr:uid="{00000000-0005-0000-0000-000001080000}"/>
    <cellStyle name="Note 3 4 3 2 5" xfId="2053" xr:uid="{00000000-0005-0000-0000-000002080000}"/>
    <cellStyle name="Note 3 4 3 3" xfId="2054" xr:uid="{00000000-0005-0000-0000-000003080000}"/>
    <cellStyle name="Note 3 4 3 4" xfId="2055" xr:uid="{00000000-0005-0000-0000-000004080000}"/>
    <cellStyle name="Note 3 4 3 5" xfId="2056" xr:uid="{00000000-0005-0000-0000-000005080000}"/>
    <cellStyle name="Note 3 4 4" xfId="2057" xr:uid="{00000000-0005-0000-0000-000006080000}"/>
    <cellStyle name="Note 3 4 4 2" xfId="2058" xr:uid="{00000000-0005-0000-0000-000007080000}"/>
    <cellStyle name="Note 3 4 4 3" xfId="2059" xr:uid="{00000000-0005-0000-0000-000008080000}"/>
    <cellStyle name="Note 3 4 4 4" xfId="2060" xr:uid="{00000000-0005-0000-0000-000009080000}"/>
    <cellStyle name="Note 3 4 4 5" xfId="2061" xr:uid="{00000000-0005-0000-0000-00000A080000}"/>
    <cellStyle name="Note 3 4 5" xfId="2062" xr:uid="{00000000-0005-0000-0000-00000B080000}"/>
    <cellStyle name="Note 3 4 6" xfId="2063" xr:uid="{00000000-0005-0000-0000-00000C080000}"/>
    <cellStyle name="Note 3 4 7" xfId="2064" xr:uid="{00000000-0005-0000-0000-00000D080000}"/>
    <cellStyle name="Note 3 5" xfId="2065" xr:uid="{00000000-0005-0000-0000-00000E080000}"/>
    <cellStyle name="Note 3 5 2" xfId="2066" xr:uid="{00000000-0005-0000-0000-00000F080000}"/>
    <cellStyle name="Note 3 5 2 2" xfId="2067" xr:uid="{00000000-0005-0000-0000-000010080000}"/>
    <cellStyle name="Note 3 5 2 2 2" xfId="2068" xr:uid="{00000000-0005-0000-0000-000011080000}"/>
    <cellStyle name="Note 3 5 2 2 3" xfId="2069" xr:uid="{00000000-0005-0000-0000-000012080000}"/>
    <cellStyle name="Note 3 5 2 2 4" xfId="2070" xr:uid="{00000000-0005-0000-0000-000013080000}"/>
    <cellStyle name="Note 3 5 2 2 5" xfId="2071" xr:uid="{00000000-0005-0000-0000-000014080000}"/>
    <cellStyle name="Note 3 5 2 3" xfId="2072" xr:uid="{00000000-0005-0000-0000-000015080000}"/>
    <cellStyle name="Note 3 5 2 4" xfId="2073" xr:uid="{00000000-0005-0000-0000-000016080000}"/>
    <cellStyle name="Note 3 5 2 5" xfId="2074" xr:uid="{00000000-0005-0000-0000-000017080000}"/>
    <cellStyle name="Note 3 5 3" xfId="2075" xr:uid="{00000000-0005-0000-0000-000018080000}"/>
    <cellStyle name="Note 3 5 3 2" xfId="2076" xr:uid="{00000000-0005-0000-0000-000019080000}"/>
    <cellStyle name="Note 3 5 3 2 2" xfId="2077" xr:uid="{00000000-0005-0000-0000-00001A080000}"/>
    <cellStyle name="Note 3 5 3 2 3" xfId="2078" xr:uid="{00000000-0005-0000-0000-00001B080000}"/>
    <cellStyle name="Note 3 5 3 2 4" xfId="2079" xr:uid="{00000000-0005-0000-0000-00001C080000}"/>
    <cellStyle name="Note 3 5 3 2 5" xfId="2080" xr:uid="{00000000-0005-0000-0000-00001D080000}"/>
    <cellStyle name="Note 3 5 3 3" xfId="2081" xr:uid="{00000000-0005-0000-0000-00001E080000}"/>
    <cellStyle name="Note 3 5 3 4" xfId="2082" xr:uid="{00000000-0005-0000-0000-00001F080000}"/>
    <cellStyle name="Note 3 5 3 5" xfId="2083" xr:uid="{00000000-0005-0000-0000-000020080000}"/>
    <cellStyle name="Note 3 5 4" xfId="2084" xr:uid="{00000000-0005-0000-0000-000021080000}"/>
    <cellStyle name="Note 3 5 4 2" xfId="2085" xr:uid="{00000000-0005-0000-0000-000022080000}"/>
    <cellStyle name="Note 3 5 4 3" xfId="2086" xr:uid="{00000000-0005-0000-0000-000023080000}"/>
    <cellStyle name="Note 3 5 4 4" xfId="2087" xr:uid="{00000000-0005-0000-0000-000024080000}"/>
    <cellStyle name="Note 3 5 4 5" xfId="2088" xr:uid="{00000000-0005-0000-0000-000025080000}"/>
    <cellStyle name="Note 3 5 5" xfId="2089" xr:uid="{00000000-0005-0000-0000-000026080000}"/>
    <cellStyle name="Note 3 5 6" xfId="2090" xr:uid="{00000000-0005-0000-0000-000027080000}"/>
    <cellStyle name="Note 3 5 7" xfId="2091" xr:uid="{00000000-0005-0000-0000-000028080000}"/>
    <cellStyle name="Note 3 6" xfId="2092" xr:uid="{00000000-0005-0000-0000-000029080000}"/>
    <cellStyle name="Note 4" xfId="2093" xr:uid="{00000000-0005-0000-0000-00002A080000}"/>
    <cellStyle name="Note 4 2" xfId="2094" xr:uid="{00000000-0005-0000-0000-00002B080000}"/>
    <cellStyle name="Note 5" xfId="2095" xr:uid="{00000000-0005-0000-0000-00002C080000}"/>
    <cellStyle name="OLELink" xfId="2096" xr:uid="{00000000-0005-0000-0000-00002D080000}"/>
    <cellStyle name="Optional input" xfId="2097" xr:uid="{00000000-0005-0000-0000-00002E080000}"/>
    <cellStyle name="Or-Ma Spectrum" xfId="2098" xr:uid="{00000000-0005-0000-0000-00002F080000}"/>
    <cellStyle name="Output 2" xfId="2099" xr:uid="{00000000-0005-0000-0000-000030080000}"/>
    <cellStyle name="Output 2 2" xfId="2100" xr:uid="{00000000-0005-0000-0000-000031080000}"/>
    <cellStyle name="Output 2 2 2" xfId="2101" xr:uid="{00000000-0005-0000-0000-000032080000}"/>
    <cellStyle name="Output 2 2 2 2" xfId="2102" xr:uid="{00000000-0005-0000-0000-000033080000}"/>
    <cellStyle name="Output 2 2 2 2 2" xfId="2103" xr:uid="{00000000-0005-0000-0000-000034080000}"/>
    <cellStyle name="Output 2 2 2 2 2 2" xfId="2104" xr:uid="{00000000-0005-0000-0000-000035080000}"/>
    <cellStyle name="Output 2 2 2 2 2 3" xfId="2105" xr:uid="{00000000-0005-0000-0000-000036080000}"/>
    <cellStyle name="Output 2 2 2 2 2 4" xfId="2106" xr:uid="{00000000-0005-0000-0000-000037080000}"/>
    <cellStyle name="Output 2 2 2 2 2 5" xfId="2107" xr:uid="{00000000-0005-0000-0000-000038080000}"/>
    <cellStyle name="Output 2 2 2 2 3" xfId="2108" xr:uid="{00000000-0005-0000-0000-000039080000}"/>
    <cellStyle name="Output 2 2 2 2 4" xfId="2109" xr:uid="{00000000-0005-0000-0000-00003A080000}"/>
    <cellStyle name="Output 2 2 2 2 5" xfId="2110" xr:uid="{00000000-0005-0000-0000-00003B080000}"/>
    <cellStyle name="Output 2 2 2 3" xfId="2111" xr:uid="{00000000-0005-0000-0000-00003C080000}"/>
    <cellStyle name="Output 2 2 2 3 2" xfId="2112" xr:uid="{00000000-0005-0000-0000-00003D080000}"/>
    <cellStyle name="Output 2 2 2 3 2 2" xfId="2113" xr:uid="{00000000-0005-0000-0000-00003E080000}"/>
    <cellStyle name="Output 2 2 2 3 2 3" xfId="2114" xr:uid="{00000000-0005-0000-0000-00003F080000}"/>
    <cellStyle name="Output 2 2 2 3 2 4" xfId="2115" xr:uid="{00000000-0005-0000-0000-000040080000}"/>
    <cellStyle name="Output 2 2 2 3 2 5" xfId="2116" xr:uid="{00000000-0005-0000-0000-000041080000}"/>
    <cellStyle name="Output 2 2 2 3 3" xfId="2117" xr:uid="{00000000-0005-0000-0000-000042080000}"/>
    <cellStyle name="Output 2 2 2 3 4" xfId="2118" xr:uid="{00000000-0005-0000-0000-000043080000}"/>
    <cellStyle name="Output 2 2 2 3 5" xfId="2119" xr:uid="{00000000-0005-0000-0000-000044080000}"/>
    <cellStyle name="Output 2 2 2 4" xfId="2120" xr:uid="{00000000-0005-0000-0000-000045080000}"/>
    <cellStyle name="Output 2 2 2 4 2" xfId="2121" xr:uid="{00000000-0005-0000-0000-000046080000}"/>
    <cellStyle name="Output 2 2 2 4 3" xfId="2122" xr:uid="{00000000-0005-0000-0000-000047080000}"/>
    <cellStyle name="Output 2 2 2 4 4" xfId="2123" xr:uid="{00000000-0005-0000-0000-000048080000}"/>
    <cellStyle name="Output 2 2 2 4 5" xfId="2124" xr:uid="{00000000-0005-0000-0000-000049080000}"/>
    <cellStyle name="Output 2 2 2 5" xfId="2125" xr:uid="{00000000-0005-0000-0000-00004A080000}"/>
    <cellStyle name="Output 2 2 2 6" xfId="2126" xr:uid="{00000000-0005-0000-0000-00004B080000}"/>
    <cellStyle name="Output 2 2 2 7" xfId="2127" xr:uid="{00000000-0005-0000-0000-00004C080000}"/>
    <cellStyle name="Output 2 2 3" xfId="2128" xr:uid="{00000000-0005-0000-0000-00004D080000}"/>
    <cellStyle name="Output 2 2 3 2" xfId="2129" xr:uid="{00000000-0005-0000-0000-00004E080000}"/>
    <cellStyle name="Output 2 2 3 2 2" xfId="2130" xr:uid="{00000000-0005-0000-0000-00004F080000}"/>
    <cellStyle name="Output 2 2 3 2 2 2" xfId="2131" xr:uid="{00000000-0005-0000-0000-000050080000}"/>
    <cellStyle name="Output 2 2 3 2 2 3" xfId="2132" xr:uid="{00000000-0005-0000-0000-000051080000}"/>
    <cellStyle name="Output 2 2 3 2 2 4" xfId="2133" xr:uid="{00000000-0005-0000-0000-000052080000}"/>
    <cellStyle name="Output 2 2 3 2 2 5" xfId="2134" xr:uid="{00000000-0005-0000-0000-000053080000}"/>
    <cellStyle name="Output 2 2 3 2 3" xfId="2135" xr:uid="{00000000-0005-0000-0000-000054080000}"/>
    <cellStyle name="Output 2 2 3 2 4" xfId="2136" xr:uid="{00000000-0005-0000-0000-000055080000}"/>
    <cellStyle name="Output 2 2 3 2 5" xfId="2137" xr:uid="{00000000-0005-0000-0000-000056080000}"/>
    <cellStyle name="Output 2 2 3 3" xfId="2138" xr:uid="{00000000-0005-0000-0000-000057080000}"/>
    <cellStyle name="Output 2 2 3 3 2" xfId="2139" xr:uid="{00000000-0005-0000-0000-000058080000}"/>
    <cellStyle name="Output 2 2 3 3 2 2" xfId="2140" xr:uid="{00000000-0005-0000-0000-000059080000}"/>
    <cellStyle name="Output 2 2 3 3 2 3" xfId="2141" xr:uid="{00000000-0005-0000-0000-00005A080000}"/>
    <cellStyle name="Output 2 2 3 3 2 4" xfId="2142" xr:uid="{00000000-0005-0000-0000-00005B080000}"/>
    <cellStyle name="Output 2 2 3 3 2 5" xfId="2143" xr:uid="{00000000-0005-0000-0000-00005C080000}"/>
    <cellStyle name="Output 2 2 3 3 3" xfId="2144" xr:uid="{00000000-0005-0000-0000-00005D080000}"/>
    <cellStyle name="Output 2 2 3 3 4" xfId="2145" xr:uid="{00000000-0005-0000-0000-00005E080000}"/>
    <cellStyle name="Output 2 2 3 3 5" xfId="2146" xr:uid="{00000000-0005-0000-0000-00005F080000}"/>
    <cellStyle name="Output 2 2 3 4" xfId="2147" xr:uid="{00000000-0005-0000-0000-000060080000}"/>
    <cellStyle name="Output 2 2 3 4 2" xfId="2148" xr:uid="{00000000-0005-0000-0000-000061080000}"/>
    <cellStyle name="Output 2 2 3 4 3" xfId="2149" xr:uid="{00000000-0005-0000-0000-000062080000}"/>
    <cellStyle name="Output 2 2 3 4 4" xfId="2150" xr:uid="{00000000-0005-0000-0000-000063080000}"/>
    <cellStyle name="Output 2 2 3 4 5" xfId="2151" xr:uid="{00000000-0005-0000-0000-000064080000}"/>
    <cellStyle name="Output 2 2 3 5" xfId="2152" xr:uid="{00000000-0005-0000-0000-000065080000}"/>
    <cellStyle name="Output 2 2 3 6" xfId="2153" xr:uid="{00000000-0005-0000-0000-000066080000}"/>
    <cellStyle name="Output 2 2 3 7" xfId="2154" xr:uid="{00000000-0005-0000-0000-000067080000}"/>
    <cellStyle name="Output 2 2 4" xfId="2155" xr:uid="{00000000-0005-0000-0000-000068080000}"/>
    <cellStyle name="Output 2 2 4 2" xfId="2156" xr:uid="{00000000-0005-0000-0000-000069080000}"/>
    <cellStyle name="Output 2 2 4 2 2" xfId="2157" xr:uid="{00000000-0005-0000-0000-00006A080000}"/>
    <cellStyle name="Output 2 2 4 2 2 2" xfId="2158" xr:uid="{00000000-0005-0000-0000-00006B080000}"/>
    <cellStyle name="Output 2 2 4 2 2 3" xfId="2159" xr:uid="{00000000-0005-0000-0000-00006C080000}"/>
    <cellStyle name="Output 2 2 4 2 2 4" xfId="2160" xr:uid="{00000000-0005-0000-0000-00006D080000}"/>
    <cellStyle name="Output 2 2 4 2 2 5" xfId="2161" xr:uid="{00000000-0005-0000-0000-00006E080000}"/>
    <cellStyle name="Output 2 2 4 2 3" xfId="2162" xr:uid="{00000000-0005-0000-0000-00006F080000}"/>
    <cellStyle name="Output 2 2 4 2 4" xfId="2163" xr:uid="{00000000-0005-0000-0000-000070080000}"/>
    <cellStyle name="Output 2 2 4 2 5" xfId="2164" xr:uid="{00000000-0005-0000-0000-000071080000}"/>
    <cellStyle name="Output 2 2 4 3" xfId="2165" xr:uid="{00000000-0005-0000-0000-000072080000}"/>
    <cellStyle name="Output 2 2 4 3 2" xfId="2166" xr:uid="{00000000-0005-0000-0000-000073080000}"/>
    <cellStyle name="Output 2 2 4 3 2 2" xfId="2167" xr:uid="{00000000-0005-0000-0000-000074080000}"/>
    <cellStyle name="Output 2 2 4 3 2 3" xfId="2168" xr:uid="{00000000-0005-0000-0000-000075080000}"/>
    <cellStyle name="Output 2 2 4 3 2 4" xfId="2169" xr:uid="{00000000-0005-0000-0000-000076080000}"/>
    <cellStyle name="Output 2 2 4 3 2 5" xfId="2170" xr:uid="{00000000-0005-0000-0000-000077080000}"/>
    <cellStyle name="Output 2 2 4 3 3" xfId="2171" xr:uid="{00000000-0005-0000-0000-000078080000}"/>
    <cellStyle name="Output 2 2 4 3 4" xfId="2172" xr:uid="{00000000-0005-0000-0000-000079080000}"/>
    <cellStyle name="Output 2 2 4 3 5" xfId="2173" xr:uid="{00000000-0005-0000-0000-00007A080000}"/>
    <cellStyle name="Output 2 2 4 4" xfId="2174" xr:uid="{00000000-0005-0000-0000-00007B080000}"/>
    <cellStyle name="Output 2 2 4 4 2" xfId="2175" xr:uid="{00000000-0005-0000-0000-00007C080000}"/>
    <cellStyle name="Output 2 2 4 4 3" xfId="2176" xr:uid="{00000000-0005-0000-0000-00007D080000}"/>
    <cellStyle name="Output 2 2 4 4 4" xfId="2177" xr:uid="{00000000-0005-0000-0000-00007E080000}"/>
    <cellStyle name="Output 2 2 4 4 5" xfId="2178" xr:uid="{00000000-0005-0000-0000-00007F080000}"/>
    <cellStyle name="Output 2 2 4 5" xfId="2179" xr:uid="{00000000-0005-0000-0000-000080080000}"/>
    <cellStyle name="Output 2 2 4 6" xfId="2180" xr:uid="{00000000-0005-0000-0000-000081080000}"/>
    <cellStyle name="Output 2 2 4 7" xfId="2181" xr:uid="{00000000-0005-0000-0000-000082080000}"/>
    <cellStyle name="Output 2 2 5" xfId="2182" xr:uid="{00000000-0005-0000-0000-000083080000}"/>
    <cellStyle name="Output 2 2 5 2" xfId="2183" xr:uid="{00000000-0005-0000-0000-000084080000}"/>
    <cellStyle name="Output 2 2 5 2 2" xfId="2184" xr:uid="{00000000-0005-0000-0000-000085080000}"/>
    <cellStyle name="Output 2 2 5 2 3" xfId="2185" xr:uid="{00000000-0005-0000-0000-000086080000}"/>
    <cellStyle name="Output 2 2 5 2 4" xfId="2186" xr:uid="{00000000-0005-0000-0000-000087080000}"/>
    <cellStyle name="Output 2 2 5 2 5" xfId="2187" xr:uid="{00000000-0005-0000-0000-000088080000}"/>
    <cellStyle name="Output 2 2 5 3" xfId="2188" xr:uid="{00000000-0005-0000-0000-000089080000}"/>
    <cellStyle name="Output 2 2 5 4" xfId="2189" xr:uid="{00000000-0005-0000-0000-00008A080000}"/>
    <cellStyle name="Output 2 2 5 5" xfId="2190" xr:uid="{00000000-0005-0000-0000-00008B080000}"/>
    <cellStyle name="Output 2 2 6" xfId="2191" xr:uid="{00000000-0005-0000-0000-00008C080000}"/>
    <cellStyle name="Output 2 2 6 2" xfId="2192" xr:uid="{00000000-0005-0000-0000-00008D080000}"/>
    <cellStyle name="Output 2 2 6 2 2" xfId="2193" xr:uid="{00000000-0005-0000-0000-00008E080000}"/>
    <cellStyle name="Output 2 2 6 2 3" xfId="2194" xr:uid="{00000000-0005-0000-0000-00008F080000}"/>
    <cellStyle name="Output 2 2 6 2 4" xfId="2195" xr:uid="{00000000-0005-0000-0000-000090080000}"/>
    <cellStyle name="Output 2 2 6 2 5" xfId="2196" xr:uid="{00000000-0005-0000-0000-000091080000}"/>
    <cellStyle name="Output 2 2 6 3" xfId="2197" xr:uid="{00000000-0005-0000-0000-000092080000}"/>
    <cellStyle name="Output 2 2 6 4" xfId="2198" xr:uid="{00000000-0005-0000-0000-000093080000}"/>
    <cellStyle name="Output 2 2 6 5" xfId="2199" xr:uid="{00000000-0005-0000-0000-000094080000}"/>
    <cellStyle name="Output 2 2 7" xfId="2200" xr:uid="{00000000-0005-0000-0000-000095080000}"/>
    <cellStyle name="Output 2 3" xfId="2201" xr:uid="{00000000-0005-0000-0000-000096080000}"/>
    <cellStyle name="Output 2 3 2" xfId="2202" xr:uid="{00000000-0005-0000-0000-000097080000}"/>
    <cellStyle name="Output 2 3 2 2" xfId="2203" xr:uid="{00000000-0005-0000-0000-000098080000}"/>
    <cellStyle name="Output 2 3 2 2 2" xfId="2204" xr:uid="{00000000-0005-0000-0000-000099080000}"/>
    <cellStyle name="Output 2 3 2 2 3" xfId="2205" xr:uid="{00000000-0005-0000-0000-00009A080000}"/>
    <cellStyle name="Output 2 3 2 2 4" xfId="2206" xr:uid="{00000000-0005-0000-0000-00009B080000}"/>
    <cellStyle name="Output 2 3 2 2 5" xfId="2207" xr:uid="{00000000-0005-0000-0000-00009C080000}"/>
    <cellStyle name="Output 2 3 2 3" xfId="2208" xr:uid="{00000000-0005-0000-0000-00009D080000}"/>
    <cellStyle name="Output 2 3 2 4" xfId="2209" xr:uid="{00000000-0005-0000-0000-00009E080000}"/>
    <cellStyle name="Output 2 3 2 5" xfId="2210" xr:uid="{00000000-0005-0000-0000-00009F080000}"/>
    <cellStyle name="Output 2 3 3" xfId="2211" xr:uid="{00000000-0005-0000-0000-0000A0080000}"/>
    <cellStyle name="Output 2 3 3 2" xfId="2212" xr:uid="{00000000-0005-0000-0000-0000A1080000}"/>
    <cellStyle name="Output 2 3 3 2 2" xfId="2213" xr:uid="{00000000-0005-0000-0000-0000A2080000}"/>
    <cellStyle name="Output 2 3 3 2 3" xfId="2214" xr:uid="{00000000-0005-0000-0000-0000A3080000}"/>
    <cellStyle name="Output 2 3 3 2 4" xfId="2215" xr:uid="{00000000-0005-0000-0000-0000A4080000}"/>
    <cellStyle name="Output 2 3 3 2 5" xfId="2216" xr:uid="{00000000-0005-0000-0000-0000A5080000}"/>
    <cellStyle name="Output 2 3 3 3" xfId="2217" xr:uid="{00000000-0005-0000-0000-0000A6080000}"/>
    <cellStyle name="Output 2 3 3 4" xfId="2218" xr:uid="{00000000-0005-0000-0000-0000A7080000}"/>
    <cellStyle name="Output 2 3 3 5" xfId="2219" xr:uid="{00000000-0005-0000-0000-0000A8080000}"/>
    <cellStyle name="Output 2 3 4" xfId="2220" xr:uid="{00000000-0005-0000-0000-0000A9080000}"/>
    <cellStyle name="Output 2 3 4 2" xfId="2221" xr:uid="{00000000-0005-0000-0000-0000AA080000}"/>
    <cellStyle name="Output 2 3 4 3" xfId="2222" xr:uid="{00000000-0005-0000-0000-0000AB080000}"/>
    <cellStyle name="Output 2 3 4 4" xfId="2223" xr:uid="{00000000-0005-0000-0000-0000AC080000}"/>
    <cellStyle name="Output 2 3 4 5" xfId="2224" xr:uid="{00000000-0005-0000-0000-0000AD080000}"/>
    <cellStyle name="Output 2 3 5" xfId="2225" xr:uid="{00000000-0005-0000-0000-0000AE080000}"/>
    <cellStyle name="Output 2 3 6" xfId="2226" xr:uid="{00000000-0005-0000-0000-0000AF080000}"/>
    <cellStyle name="Output 2 3 7" xfId="2227" xr:uid="{00000000-0005-0000-0000-0000B0080000}"/>
    <cellStyle name="Output 2 4" xfId="2228" xr:uid="{00000000-0005-0000-0000-0000B1080000}"/>
    <cellStyle name="Output 2 4 2" xfId="2229" xr:uid="{00000000-0005-0000-0000-0000B2080000}"/>
    <cellStyle name="Output 2 4 2 2" xfId="2230" xr:uid="{00000000-0005-0000-0000-0000B3080000}"/>
    <cellStyle name="Output 2 4 2 2 2" xfId="2231" xr:uid="{00000000-0005-0000-0000-0000B4080000}"/>
    <cellStyle name="Output 2 4 2 2 3" xfId="2232" xr:uid="{00000000-0005-0000-0000-0000B5080000}"/>
    <cellStyle name="Output 2 4 2 2 4" xfId="2233" xr:uid="{00000000-0005-0000-0000-0000B6080000}"/>
    <cellStyle name="Output 2 4 2 2 5" xfId="2234" xr:uid="{00000000-0005-0000-0000-0000B7080000}"/>
    <cellStyle name="Output 2 4 2 3" xfId="2235" xr:uid="{00000000-0005-0000-0000-0000B8080000}"/>
    <cellStyle name="Output 2 4 2 4" xfId="2236" xr:uid="{00000000-0005-0000-0000-0000B9080000}"/>
    <cellStyle name="Output 2 4 2 5" xfId="2237" xr:uid="{00000000-0005-0000-0000-0000BA080000}"/>
    <cellStyle name="Output 2 4 3" xfId="2238" xr:uid="{00000000-0005-0000-0000-0000BB080000}"/>
    <cellStyle name="Output 2 4 3 2" xfId="2239" xr:uid="{00000000-0005-0000-0000-0000BC080000}"/>
    <cellStyle name="Output 2 4 3 2 2" xfId="2240" xr:uid="{00000000-0005-0000-0000-0000BD080000}"/>
    <cellStyle name="Output 2 4 3 2 3" xfId="2241" xr:uid="{00000000-0005-0000-0000-0000BE080000}"/>
    <cellStyle name="Output 2 4 3 2 4" xfId="2242" xr:uid="{00000000-0005-0000-0000-0000BF080000}"/>
    <cellStyle name="Output 2 4 3 2 5" xfId="2243" xr:uid="{00000000-0005-0000-0000-0000C0080000}"/>
    <cellStyle name="Output 2 4 3 3" xfId="2244" xr:uid="{00000000-0005-0000-0000-0000C1080000}"/>
    <cellStyle name="Output 2 4 3 4" xfId="2245" xr:uid="{00000000-0005-0000-0000-0000C2080000}"/>
    <cellStyle name="Output 2 4 3 5" xfId="2246" xr:uid="{00000000-0005-0000-0000-0000C3080000}"/>
    <cellStyle name="Output 2 4 4" xfId="2247" xr:uid="{00000000-0005-0000-0000-0000C4080000}"/>
    <cellStyle name="Output 2 4 4 2" xfId="2248" xr:uid="{00000000-0005-0000-0000-0000C5080000}"/>
    <cellStyle name="Output 2 4 4 3" xfId="2249" xr:uid="{00000000-0005-0000-0000-0000C6080000}"/>
    <cellStyle name="Output 2 4 4 4" xfId="2250" xr:uid="{00000000-0005-0000-0000-0000C7080000}"/>
    <cellStyle name="Output 2 4 4 5" xfId="2251" xr:uid="{00000000-0005-0000-0000-0000C8080000}"/>
    <cellStyle name="Output 2 4 5" xfId="2252" xr:uid="{00000000-0005-0000-0000-0000C9080000}"/>
    <cellStyle name="Output 2 4 6" xfId="2253" xr:uid="{00000000-0005-0000-0000-0000CA080000}"/>
    <cellStyle name="Output 2 4 7" xfId="2254" xr:uid="{00000000-0005-0000-0000-0000CB080000}"/>
    <cellStyle name="Output 2 5" xfId="2255" xr:uid="{00000000-0005-0000-0000-0000CC080000}"/>
    <cellStyle name="Output 2 5 2" xfId="2256" xr:uid="{00000000-0005-0000-0000-0000CD080000}"/>
    <cellStyle name="Output 2 5 2 2" xfId="2257" xr:uid="{00000000-0005-0000-0000-0000CE080000}"/>
    <cellStyle name="Output 2 5 2 2 2" xfId="2258" xr:uid="{00000000-0005-0000-0000-0000CF080000}"/>
    <cellStyle name="Output 2 5 2 2 3" xfId="2259" xr:uid="{00000000-0005-0000-0000-0000D0080000}"/>
    <cellStyle name="Output 2 5 2 2 4" xfId="2260" xr:uid="{00000000-0005-0000-0000-0000D1080000}"/>
    <cellStyle name="Output 2 5 2 2 5" xfId="2261" xr:uid="{00000000-0005-0000-0000-0000D2080000}"/>
    <cellStyle name="Output 2 5 2 3" xfId="2262" xr:uid="{00000000-0005-0000-0000-0000D3080000}"/>
    <cellStyle name="Output 2 5 2 4" xfId="2263" xr:uid="{00000000-0005-0000-0000-0000D4080000}"/>
    <cellStyle name="Output 2 5 2 5" xfId="2264" xr:uid="{00000000-0005-0000-0000-0000D5080000}"/>
    <cellStyle name="Output 2 5 3" xfId="2265" xr:uid="{00000000-0005-0000-0000-0000D6080000}"/>
    <cellStyle name="Output 2 5 3 2" xfId="2266" xr:uid="{00000000-0005-0000-0000-0000D7080000}"/>
    <cellStyle name="Output 2 5 3 2 2" xfId="2267" xr:uid="{00000000-0005-0000-0000-0000D8080000}"/>
    <cellStyle name="Output 2 5 3 2 3" xfId="2268" xr:uid="{00000000-0005-0000-0000-0000D9080000}"/>
    <cellStyle name="Output 2 5 3 2 4" xfId="2269" xr:uid="{00000000-0005-0000-0000-0000DA080000}"/>
    <cellStyle name="Output 2 5 3 2 5" xfId="2270" xr:uid="{00000000-0005-0000-0000-0000DB080000}"/>
    <cellStyle name="Output 2 5 3 3" xfId="2271" xr:uid="{00000000-0005-0000-0000-0000DC080000}"/>
    <cellStyle name="Output 2 5 3 4" xfId="2272" xr:uid="{00000000-0005-0000-0000-0000DD080000}"/>
    <cellStyle name="Output 2 5 3 5" xfId="2273" xr:uid="{00000000-0005-0000-0000-0000DE080000}"/>
    <cellStyle name="Output 2 5 4" xfId="2274" xr:uid="{00000000-0005-0000-0000-0000DF080000}"/>
    <cellStyle name="Output 2 5 4 2" xfId="2275" xr:uid="{00000000-0005-0000-0000-0000E0080000}"/>
    <cellStyle name="Output 2 5 4 3" xfId="2276" xr:uid="{00000000-0005-0000-0000-0000E1080000}"/>
    <cellStyle name="Output 2 5 4 4" xfId="2277" xr:uid="{00000000-0005-0000-0000-0000E2080000}"/>
    <cellStyle name="Output 2 5 4 5" xfId="2278" xr:uid="{00000000-0005-0000-0000-0000E3080000}"/>
    <cellStyle name="Output 2 5 5" xfId="2279" xr:uid="{00000000-0005-0000-0000-0000E4080000}"/>
    <cellStyle name="Output 2 5 6" xfId="2280" xr:uid="{00000000-0005-0000-0000-0000E5080000}"/>
    <cellStyle name="Output 2 5 7" xfId="2281" xr:uid="{00000000-0005-0000-0000-0000E6080000}"/>
    <cellStyle name="Output 2 6" xfId="2282" xr:uid="{00000000-0005-0000-0000-0000E7080000}"/>
    <cellStyle name="Output 2 7" xfId="2283" xr:uid="{00000000-0005-0000-0000-0000E8080000}"/>
    <cellStyle name="Output 3" xfId="2284" xr:uid="{00000000-0005-0000-0000-0000E9080000}"/>
    <cellStyle name="Output 3 2" xfId="2285" xr:uid="{00000000-0005-0000-0000-0000EA080000}"/>
    <cellStyle name="Output 3 2 2" xfId="2286" xr:uid="{00000000-0005-0000-0000-0000EB080000}"/>
    <cellStyle name="Output 3 2 2 2" xfId="2287" xr:uid="{00000000-0005-0000-0000-0000EC080000}"/>
    <cellStyle name="Output 3 2 2 2 2" xfId="2288" xr:uid="{00000000-0005-0000-0000-0000ED080000}"/>
    <cellStyle name="Output 3 2 2 2 2 2" xfId="2289" xr:uid="{00000000-0005-0000-0000-0000EE080000}"/>
    <cellStyle name="Output 3 2 2 2 2 3" xfId="2290" xr:uid="{00000000-0005-0000-0000-0000EF080000}"/>
    <cellStyle name="Output 3 2 2 2 2 4" xfId="2291" xr:uid="{00000000-0005-0000-0000-0000F0080000}"/>
    <cellStyle name="Output 3 2 2 2 2 5" xfId="2292" xr:uid="{00000000-0005-0000-0000-0000F1080000}"/>
    <cellStyle name="Output 3 2 2 2 3" xfId="2293" xr:uid="{00000000-0005-0000-0000-0000F2080000}"/>
    <cellStyle name="Output 3 2 2 2 4" xfId="2294" xr:uid="{00000000-0005-0000-0000-0000F3080000}"/>
    <cellStyle name="Output 3 2 2 2 5" xfId="2295" xr:uid="{00000000-0005-0000-0000-0000F4080000}"/>
    <cellStyle name="Output 3 2 2 3" xfId="2296" xr:uid="{00000000-0005-0000-0000-0000F5080000}"/>
    <cellStyle name="Output 3 2 2 3 2" xfId="2297" xr:uid="{00000000-0005-0000-0000-0000F6080000}"/>
    <cellStyle name="Output 3 2 2 3 2 2" xfId="2298" xr:uid="{00000000-0005-0000-0000-0000F7080000}"/>
    <cellStyle name="Output 3 2 2 3 2 3" xfId="2299" xr:uid="{00000000-0005-0000-0000-0000F8080000}"/>
    <cellStyle name="Output 3 2 2 3 2 4" xfId="2300" xr:uid="{00000000-0005-0000-0000-0000F9080000}"/>
    <cellStyle name="Output 3 2 2 3 2 5" xfId="2301" xr:uid="{00000000-0005-0000-0000-0000FA080000}"/>
    <cellStyle name="Output 3 2 2 3 3" xfId="2302" xr:uid="{00000000-0005-0000-0000-0000FB080000}"/>
    <cellStyle name="Output 3 2 2 3 4" xfId="2303" xr:uid="{00000000-0005-0000-0000-0000FC080000}"/>
    <cellStyle name="Output 3 2 2 3 5" xfId="2304" xr:uid="{00000000-0005-0000-0000-0000FD080000}"/>
    <cellStyle name="Output 3 2 2 4" xfId="2305" xr:uid="{00000000-0005-0000-0000-0000FE080000}"/>
    <cellStyle name="Output 3 2 2 4 2" xfId="2306" xr:uid="{00000000-0005-0000-0000-0000FF080000}"/>
    <cellStyle name="Output 3 2 2 4 3" xfId="2307" xr:uid="{00000000-0005-0000-0000-000000090000}"/>
    <cellStyle name="Output 3 2 2 4 4" xfId="2308" xr:uid="{00000000-0005-0000-0000-000001090000}"/>
    <cellStyle name="Output 3 2 2 4 5" xfId="2309" xr:uid="{00000000-0005-0000-0000-000002090000}"/>
    <cellStyle name="Output 3 2 2 5" xfId="2310" xr:uid="{00000000-0005-0000-0000-000003090000}"/>
    <cellStyle name="Output 3 2 2 6" xfId="2311" xr:uid="{00000000-0005-0000-0000-000004090000}"/>
    <cellStyle name="Output 3 2 2 7" xfId="2312" xr:uid="{00000000-0005-0000-0000-000005090000}"/>
    <cellStyle name="Output 3 2 3" xfId="2313" xr:uid="{00000000-0005-0000-0000-000006090000}"/>
    <cellStyle name="Output 3 2 3 2" xfId="2314" xr:uid="{00000000-0005-0000-0000-000007090000}"/>
    <cellStyle name="Output 3 2 3 2 2" xfId="2315" xr:uid="{00000000-0005-0000-0000-000008090000}"/>
    <cellStyle name="Output 3 2 3 2 2 2" xfId="2316" xr:uid="{00000000-0005-0000-0000-000009090000}"/>
    <cellStyle name="Output 3 2 3 2 2 3" xfId="2317" xr:uid="{00000000-0005-0000-0000-00000A090000}"/>
    <cellStyle name="Output 3 2 3 2 2 4" xfId="2318" xr:uid="{00000000-0005-0000-0000-00000B090000}"/>
    <cellStyle name="Output 3 2 3 2 2 5" xfId="2319" xr:uid="{00000000-0005-0000-0000-00000C090000}"/>
    <cellStyle name="Output 3 2 3 2 3" xfId="2320" xr:uid="{00000000-0005-0000-0000-00000D090000}"/>
    <cellStyle name="Output 3 2 3 2 4" xfId="2321" xr:uid="{00000000-0005-0000-0000-00000E090000}"/>
    <cellStyle name="Output 3 2 3 2 5" xfId="2322" xr:uid="{00000000-0005-0000-0000-00000F090000}"/>
    <cellStyle name="Output 3 2 3 3" xfId="2323" xr:uid="{00000000-0005-0000-0000-000010090000}"/>
    <cellStyle name="Output 3 2 3 3 2" xfId="2324" xr:uid="{00000000-0005-0000-0000-000011090000}"/>
    <cellStyle name="Output 3 2 3 3 2 2" xfId="2325" xr:uid="{00000000-0005-0000-0000-000012090000}"/>
    <cellStyle name="Output 3 2 3 3 2 3" xfId="2326" xr:uid="{00000000-0005-0000-0000-000013090000}"/>
    <cellStyle name="Output 3 2 3 3 2 4" xfId="2327" xr:uid="{00000000-0005-0000-0000-000014090000}"/>
    <cellStyle name="Output 3 2 3 3 2 5" xfId="2328" xr:uid="{00000000-0005-0000-0000-000015090000}"/>
    <cellStyle name="Output 3 2 3 3 3" xfId="2329" xr:uid="{00000000-0005-0000-0000-000016090000}"/>
    <cellStyle name="Output 3 2 3 3 4" xfId="2330" xr:uid="{00000000-0005-0000-0000-000017090000}"/>
    <cellStyle name="Output 3 2 3 3 5" xfId="2331" xr:uid="{00000000-0005-0000-0000-000018090000}"/>
    <cellStyle name="Output 3 2 3 4" xfId="2332" xr:uid="{00000000-0005-0000-0000-000019090000}"/>
    <cellStyle name="Output 3 2 3 4 2" xfId="2333" xr:uid="{00000000-0005-0000-0000-00001A090000}"/>
    <cellStyle name="Output 3 2 3 4 3" xfId="2334" xr:uid="{00000000-0005-0000-0000-00001B090000}"/>
    <cellStyle name="Output 3 2 3 4 4" xfId="2335" xr:uid="{00000000-0005-0000-0000-00001C090000}"/>
    <cellStyle name="Output 3 2 3 4 5" xfId="2336" xr:uid="{00000000-0005-0000-0000-00001D090000}"/>
    <cellStyle name="Output 3 2 3 5" xfId="2337" xr:uid="{00000000-0005-0000-0000-00001E090000}"/>
    <cellStyle name="Output 3 2 3 6" xfId="2338" xr:uid="{00000000-0005-0000-0000-00001F090000}"/>
    <cellStyle name="Output 3 2 3 7" xfId="2339" xr:uid="{00000000-0005-0000-0000-000020090000}"/>
    <cellStyle name="Output 3 2 4" xfId="2340" xr:uid="{00000000-0005-0000-0000-000021090000}"/>
    <cellStyle name="Output 3 2 4 2" xfId="2341" xr:uid="{00000000-0005-0000-0000-000022090000}"/>
    <cellStyle name="Output 3 2 4 2 2" xfId="2342" xr:uid="{00000000-0005-0000-0000-000023090000}"/>
    <cellStyle name="Output 3 2 4 2 2 2" xfId="2343" xr:uid="{00000000-0005-0000-0000-000024090000}"/>
    <cellStyle name="Output 3 2 4 2 2 3" xfId="2344" xr:uid="{00000000-0005-0000-0000-000025090000}"/>
    <cellStyle name="Output 3 2 4 2 2 4" xfId="2345" xr:uid="{00000000-0005-0000-0000-000026090000}"/>
    <cellStyle name="Output 3 2 4 2 2 5" xfId="2346" xr:uid="{00000000-0005-0000-0000-000027090000}"/>
    <cellStyle name="Output 3 2 4 2 3" xfId="2347" xr:uid="{00000000-0005-0000-0000-000028090000}"/>
    <cellStyle name="Output 3 2 4 2 4" xfId="2348" xr:uid="{00000000-0005-0000-0000-000029090000}"/>
    <cellStyle name="Output 3 2 4 2 5" xfId="2349" xr:uid="{00000000-0005-0000-0000-00002A090000}"/>
    <cellStyle name="Output 3 2 4 3" xfId="2350" xr:uid="{00000000-0005-0000-0000-00002B090000}"/>
    <cellStyle name="Output 3 2 4 3 2" xfId="2351" xr:uid="{00000000-0005-0000-0000-00002C090000}"/>
    <cellStyle name="Output 3 2 4 3 2 2" xfId="2352" xr:uid="{00000000-0005-0000-0000-00002D090000}"/>
    <cellStyle name="Output 3 2 4 3 2 3" xfId="2353" xr:uid="{00000000-0005-0000-0000-00002E090000}"/>
    <cellStyle name="Output 3 2 4 3 2 4" xfId="2354" xr:uid="{00000000-0005-0000-0000-00002F090000}"/>
    <cellStyle name="Output 3 2 4 3 2 5" xfId="2355" xr:uid="{00000000-0005-0000-0000-000030090000}"/>
    <cellStyle name="Output 3 2 4 3 3" xfId="2356" xr:uid="{00000000-0005-0000-0000-000031090000}"/>
    <cellStyle name="Output 3 2 4 3 4" xfId="2357" xr:uid="{00000000-0005-0000-0000-000032090000}"/>
    <cellStyle name="Output 3 2 4 3 5" xfId="2358" xr:uid="{00000000-0005-0000-0000-000033090000}"/>
    <cellStyle name="Output 3 2 4 4" xfId="2359" xr:uid="{00000000-0005-0000-0000-000034090000}"/>
    <cellStyle name="Output 3 2 4 4 2" xfId="2360" xr:uid="{00000000-0005-0000-0000-000035090000}"/>
    <cellStyle name="Output 3 2 4 4 3" xfId="2361" xr:uid="{00000000-0005-0000-0000-000036090000}"/>
    <cellStyle name="Output 3 2 4 4 4" xfId="2362" xr:uid="{00000000-0005-0000-0000-000037090000}"/>
    <cellStyle name="Output 3 2 4 4 5" xfId="2363" xr:uid="{00000000-0005-0000-0000-000038090000}"/>
    <cellStyle name="Output 3 2 4 5" xfId="2364" xr:uid="{00000000-0005-0000-0000-000039090000}"/>
    <cellStyle name="Output 3 2 4 6" xfId="2365" xr:uid="{00000000-0005-0000-0000-00003A090000}"/>
    <cellStyle name="Output 3 2 4 7" xfId="2366" xr:uid="{00000000-0005-0000-0000-00003B090000}"/>
    <cellStyle name="Output 3 2 5" xfId="2367" xr:uid="{00000000-0005-0000-0000-00003C090000}"/>
    <cellStyle name="Output 3 2 5 2" xfId="2368" xr:uid="{00000000-0005-0000-0000-00003D090000}"/>
    <cellStyle name="Output 3 2 5 2 2" xfId="2369" xr:uid="{00000000-0005-0000-0000-00003E090000}"/>
    <cellStyle name="Output 3 2 5 2 3" xfId="2370" xr:uid="{00000000-0005-0000-0000-00003F090000}"/>
    <cellStyle name="Output 3 2 5 2 4" xfId="2371" xr:uid="{00000000-0005-0000-0000-000040090000}"/>
    <cellStyle name="Output 3 2 5 2 5" xfId="2372" xr:uid="{00000000-0005-0000-0000-000041090000}"/>
    <cellStyle name="Output 3 2 5 3" xfId="2373" xr:uid="{00000000-0005-0000-0000-000042090000}"/>
    <cellStyle name="Output 3 2 5 4" xfId="2374" xr:uid="{00000000-0005-0000-0000-000043090000}"/>
    <cellStyle name="Output 3 2 5 5" xfId="2375" xr:uid="{00000000-0005-0000-0000-000044090000}"/>
    <cellStyle name="Output 3 2 6" xfId="2376" xr:uid="{00000000-0005-0000-0000-000045090000}"/>
    <cellStyle name="Output 3 2 6 2" xfId="2377" xr:uid="{00000000-0005-0000-0000-000046090000}"/>
    <cellStyle name="Output 3 2 6 2 2" xfId="2378" xr:uid="{00000000-0005-0000-0000-000047090000}"/>
    <cellStyle name="Output 3 2 6 2 3" xfId="2379" xr:uid="{00000000-0005-0000-0000-000048090000}"/>
    <cellStyle name="Output 3 2 6 2 4" xfId="2380" xr:uid="{00000000-0005-0000-0000-000049090000}"/>
    <cellStyle name="Output 3 2 6 2 5" xfId="2381" xr:uid="{00000000-0005-0000-0000-00004A090000}"/>
    <cellStyle name="Output 3 2 6 3" xfId="2382" xr:uid="{00000000-0005-0000-0000-00004B090000}"/>
    <cellStyle name="Output 3 2 6 4" xfId="2383" xr:uid="{00000000-0005-0000-0000-00004C090000}"/>
    <cellStyle name="Output 3 2 6 5" xfId="2384" xr:uid="{00000000-0005-0000-0000-00004D090000}"/>
    <cellStyle name="Output 3 2 7" xfId="2385" xr:uid="{00000000-0005-0000-0000-00004E090000}"/>
    <cellStyle name="Output 3 3" xfId="2386" xr:uid="{00000000-0005-0000-0000-00004F090000}"/>
    <cellStyle name="Output 3 3 2" xfId="2387" xr:uid="{00000000-0005-0000-0000-000050090000}"/>
    <cellStyle name="Output 3 3 2 2" xfId="2388" xr:uid="{00000000-0005-0000-0000-000051090000}"/>
    <cellStyle name="Output 3 3 2 2 2" xfId="2389" xr:uid="{00000000-0005-0000-0000-000052090000}"/>
    <cellStyle name="Output 3 3 2 2 3" xfId="2390" xr:uid="{00000000-0005-0000-0000-000053090000}"/>
    <cellStyle name="Output 3 3 2 2 4" xfId="2391" xr:uid="{00000000-0005-0000-0000-000054090000}"/>
    <cellStyle name="Output 3 3 2 2 5" xfId="2392" xr:uid="{00000000-0005-0000-0000-000055090000}"/>
    <cellStyle name="Output 3 3 2 3" xfId="2393" xr:uid="{00000000-0005-0000-0000-000056090000}"/>
    <cellStyle name="Output 3 3 2 4" xfId="2394" xr:uid="{00000000-0005-0000-0000-000057090000}"/>
    <cellStyle name="Output 3 3 2 5" xfId="2395" xr:uid="{00000000-0005-0000-0000-000058090000}"/>
    <cellStyle name="Output 3 3 3" xfId="2396" xr:uid="{00000000-0005-0000-0000-000059090000}"/>
    <cellStyle name="Output 3 3 3 2" xfId="2397" xr:uid="{00000000-0005-0000-0000-00005A090000}"/>
    <cellStyle name="Output 3 3 3 2 2" xfId="2398" xr:uid="{00000000-0005-0000-0000-00005B090000}"/>
    <cellStyle name="Output 3 3 3 2 3" xfId="2399" xr:uid="{00000000-0005-0000-0000-00005C090000}"/>
    <cellStyle name="Output 3 3 3 2 4" xfId="2400" xr:uid="{00000000-0005-0000-0000-00005D090000}"/>
    <cellStyle name="Output 3 3 3 2 5" xfId="2401" xr:uid="{00000000-0005-0000-0000-00005E090000}"/>
    <cellStyle name="Output 3 3 3 3" xfId="2402" xr:uid="{00000000-0005-0000-0000-00005F090000}"/>
    <cellStyle name="Output 3 3 3 4" xfId="2403" xr:uid="{00000000-0005-0000-0000-000060090000}"/>
    <cellStyle name="Output 3 3 3 5" xfId="2404" xr:uid="{00000000-0005-0000-0000-000061090000}"/>
    <cellStyle name="Output 3 3 4" xfId="2405" xr:uid="{00000000-0005-0000-0000-000062090000}"/>
    <cellStyle name="Output 3 3 4 2" xfId="2406" xr:uid="{00000000-0005-0000-0000-000063090000}"/>
    <cellStyle name="Output 3 3 4 3" xfId="2407" xr:uid="{00000000-0005-0000-0000-000064090000}"/>
    <cellStyle name="Output 3 3 4 4" xfId="2408" xr:uid="{00000000-0005-0000-0000-000065090000}"/>
    <cellStyle name="Output 3 3 4 5" xfId="2409" xr:uid="{00000000-0005-0000-0000-000066090000}"/>
    <cellStyle name="Output 3 3 5" xfId="2410" xr:uid="{00000000-0005-0000-0000-000067090000}"/>
    <cellStyle name="Output 3 3 6" xfId="2411" xr:uid="{00000000-0005-0000-0000-000068090000}"/>
    <cellStyle name="Output 3 3 7" xfId="2412" xr:uid="{00000000-0005-0000-0000-000069090000}"/>
    <cellStyle name="Output 3 4" xfId="2413" xr:uid="{00000000-0005-0000-0000-00006A090000}"/>
    <cellStyle name="Output 3 4 2" xfId="2414" xr:uid="{00000000-0005-0000-0000-00006B090000}"/>
    <cellStyle name="Output 3 4 2 2" xfId="2415" xr:uid="{00000000-0005-0000-0000-00006C090000}"/>
    <cellStyle name="Output 3 4 2 2 2" xfId="2416" xr:uid="{00000000-0005-0000-0000-00006D090000}"/>
    <cellStyle name="Output 3 4 2 2 3" xfId="2417" xr:uid="{00000000-0005-0000-0000-00006E090000}"/>
    <cellStyle name="Output 3 4 2 2 4" xfId="2418" xr:uid="{00000000-0005-0000-0000-00006F090000}"/>
    <cellStyle name="Output 3 4 2 2 5" xfId="2419" xr:uid="{00000000-0005-0000-0000-000070090000}"/>
    <cellStyle name="Output 3 4 2 3" xfId="2420" xr:uid="{00000000-0005-0000-0000-000071090000}"/>
    <cellStyle name="Output 3 4 2 4" xfId="2421" xr:uid="{00000000-0005-0000-0000-000072090000}"/>
    <cellStyle name="Output 3 4 2 5" xfId="2422" xr:uid="{00000000-0005-0000-0000-000073090000}"/>
    <cellStyle name="Output 3 4 3" xfId="2423" xr:uid="{00000000-0005-0000-0000-000074090000}"/>
    <cellStyle name="Output 3 4 3 2" xfId="2424" xr:uid="{00000000-0005-0000-0000-000075090000}"/>
    <cellStyle name="Output 3 4 3 2 2" xfId="2425" xr:uid="{00000000-0005-0000-0000-000076090000}"/>
    <cellStyle name="Output 3 4 3 2 3" xfId="2426" xr:uid="{00000000-0005-0000-0000-000077090000}"/>
    <cellStyle name="Output 3 4 3 2 4" xfId="2427" xr:uid="{00000000-0005-0000-0000-000078090000}"/>
    <cellStyle name="Output 3 4 3 2 5" xfId="2428" xr:uid="{00000000-0005-0000-0000-000079090000}"/>
    <cellStyle name="Output 3 4 3 3" xfId="2429" xr:uid="{00000000-0005-0000-0000-00007A090000}"/>
    <cellStyle name="Output 3 4 3 4" xfId="2430" xr:uid="{00000000-0005-0000-0000-00007B090000}"/>
    <cellStyle name="Output 3 4 3 5" xfId="2431" xr:uid="{00000000-0005-0000-0000-00007C090000}"/>
    <cellStyle name="Output 3 4 4" xfId="2432" xr:uid="{00000000-0005-0000-0000-00007D090000}"/>
    <cellStyle name="Output 3 4 4 2" xfId="2433" xr:uid="{00000000-0005-0000-0000-00007E090000}"/>
    <cellStyle name="Output 3 4 4 3" xfId="2434" xr:uid="{00000000-0005-0000-0000-00007F090000}"/>
    <cellStyle name="Output 3 4 4 4" xfId="2435" xr:uid="{00000000-0005-0000-0000-000080090000}"/>
    <cellStyle name="Output 3 4 4 5" xfId="2436" xr:uid="{00000000-0005-0000-0000-000081090000}"/>
    <cellStyle name="Output 3 4 5" xfId="2437" xr:uid="{00000000-0005-0000-0000-000082090000}"/>
    <cellStyle name="Output 3 4 6" xfId="2438" xr:uid="{00000000-0005-0000-0000-000083090000}"/>
    <cellStyle name="Output 3 4 7" xfId="2439" xr:uid="{00000000-0005-0000-0000-000084090000}"/>
    <cellStyle name="Output 3 5" xfId="2440" xr:uid="{00000000-0005-0000-0000-000085090000}"/>
    <cellStyle name="Output 3 5 2" xfId="2441" xr:uid="{00000000-0005-0000-0000-000086090000}"/>
    <cellStyle name="Output 3 5 2 2" xfId="2442" xr:uid="{00000000-0005-0000-0000-000087090000}"/>
    <cellStyle name="Output 3 5 2 2 2" xfId="2443" xr:uid="{00000000-0005-0000-0000-000088090000}"/>
    <cellStyle name="Output 3 5 2 2 3" xfId="2444" xr:uid="{00000000-0005-0000-0000-000089090000}"/>
    <cellStyle name="Output 3 5 2 2 4" xfId="2445" xr:uid="{00000000-0005-0000-0000-00008A090000}"/>
    <cellStyle name="Output 3 5 2 2 5" xfId="2446" xr:uid="{00000000-0005-0000-0000-00008B090000}"/>
    <cellStyle name="Output 3 5 2 3" xfId="2447" xr:uid="{00000000-0005-0000-0000-00008C090000}"/>
    <cellStyle name="Output 3 5 2 4" xfId="2448" xr:uid="{00000000-0005-0000-0000-00008D090000}"/>
    <cellStyle name="Output 3 5 2 5" xfId="2449" xr:uid="{00000000-0005-0000-0000-00008E090000}"/>
    <cellStyle name="Output 3 5 3" xfId="2450" xr:uid="{00000000-0005-0000-0000-00008F090000}"/>
    <cellStyle name="Output 3 5 3 2" xfId="2451" xr:uid="{00000000-0005-0000-0000-000090090000}"/>
    <cellStyle name="Output 3 5 3 2 2" xfId="2452" xr:uid="{00000000-0005-0000-0000-000091090000}"/>
    <cellStyle name="Output 3 5 3 2 3" xfId="2453" xr:uid="{00000000-0005-0000-0000-000092090000}"/>
    <cellStyle name="Output 3 5 3 2 4" xfId="2454" xr:uid="{00000000-0005-0000-0000-000093090000}"/>
    <cellStyle name="Output 3 5 3 2 5" xfId="2455" xr:uid="{00000000-0005-0000-0000-000094090000}"/>
    <cellStyle name="Output 3 5 3 3" xfId="2456" xr:uid="{00000000-0005-0000-0000-000095090000}"/>
    <cellStyle name="Output 3 5 3 4" xfId="2457" xr:uid="{00000000-0005-0000-0000-000096090000}"/>
    <cellStyle name="Output 3 5 3 5" xfId="2458" xr:uid="{00000000-0005-0000-0000-000097090000}"/>
    <cellStyle name="Output 3 5 4" xfId="2459" xr:uid="{00000000-0005-0000-0000-000098090000}"/>
    <cellStyle name="Output 3 5 4 2" xfId="2460" xr:uid="{00000000-0005-0000-0000-000099090000}"/>
    <cellStyle name="Output 3 5 4 3" xfId="2461" xr:uid="{00000000-0005-0000-0000-00009A090000}"/>
    <cellStyle name="Output 3 5 4 4" xfId="2462" xr:uid="{00000000-0005-0000-0000-00009B090000}"/>
    <cellStyle name="Output 3 5 4 5" xfId="2463" xr:uid="{00000000-0005-0000-0000-00009C090000}"/>
    <cellStyle name="Output 3 5 5" xfId="2464" xr:uid="{00000000-0005-0000-0000-00009D090000}"/>
    <cellStyle name="Output 3 5 6" xfId="2465" xr:uid="{00000000-0005-0000-0000-00009E090000}"/>
    <cellStyle name="Output 3 5 7" xfId="2466" xr:uid="{00000000-0005-0000-0000-00009F090000}"/>
    <cellStyle name="Output 3 6" xfId="2467" xr:uid="{00000000-0005-0000-0000-0000A0090000}"/>
    <cellStyle name="Percent" xfId="3043" builtinId="5"/>
    <cellStyle name="Percent (0dp)" xfId="2468" xr:uid="{00000000-0005-0000-0000-0000A2090000}"/>
    <cellStyle name="Percent (2dp)" xfId="2469" xr:uid="{00000000-0005-0000-0000-0000A3090000}"/>
    <cellStyle name="Percent 10" xfId="2470" xr:uid="{00000000-0005-0000-0000-0000A4090000}"/>
    <cellStyle name="Percent 10 2" xfId="2471" xr:uid="{00000000-0005-0000-0000-0000A5090000}"/>
    <cellStyle name="Percent 11" xfId="2472" xr:uid="{00000000-0005-0000-0000-0000A6090000}"/>
    <cellStyle name="Percent 11 2" xfId="9" xr:uid="{00000000-0005-0000-0000-0000A7090000}"/>
    <cellStyle name="Percent 11 3" xfId="2473" xr:uid="{00000000-0005-0000-0000-0000A8090000}"/>
    <cellStyle name="Percent 12" xfId="2474" xr:uid="{00000000-0005-0000-0000-0000A9090000}"/>
    <cellStyle name="Percent 12 2" xfId="2475" xr:uid="{00000000-0005-0000-0000-0000AA090000}"/>
    <cellStyle name="Percent 12 2 2" xfId="2476" xr:uid="{00000000-0005-0000-0000-0000AB090000}"/>
    <cellStyle name="Percent 12 3" xfId="2477" xr:uid="{00000000-0005-0000-0000-0000AC090000}"/>
    <cellStyle name="Percent 13" xfId="2478" xr:uid="{00000000-0005-0000-0000-0000AD090000}"/>
    <cellStyle name="Percent 13 2" xfId="2479" xr:uid="{00000000-0005-0000-0000-0000AE090000}"/>
    <cellStyle name="Percent 14" xfId="2480" xr:uid="{00000000-0005-0000-0000-0000AF090000}"/>
    <cellStyle name="Percent 14 2" xfId="2481" xr:uid="{00000000-0005-0000-0000-0000B0090000}"/>
    <cellStyle name="Percent 15" xfId="2482" xr:uid="{00000000-0005-0000-0000-0000B1090000}"/>
    <cellStyle name="Percent 15 2" xfId="2483" xr:uid="{00000000-0005-0000-0000-0000B2090000}"/>
    <cellStyle name="Percent 16" xfId="2484" xr:uid="{00000000-0005-0000-0000-0000B3090000}"/>
    <cellStyle name="Percent 16 2" xfId="2485" xr:uid="{00000000-0005-0000-0000-0000B4090000}"/>
    <cellStyle name="Percent 17" xfId="2486" xr:uid="{00000000-0005-0000-0000-0000B5090000}"/>
    <cellStyle name="Percent 17 2" xfId="2487" xr:uid="{00000000-0005-0000-0000-0000B6090000}"/>
    <cellStyle name="Percent 18" xfId="2488" xr:uid="{00000000-0005-0000-0000-0000B7090000}"/>
    <cellStyle name="Percent 18 2" xfId="2489" xr:uid="{00000000-0005-0000-0000-0000B8090000}"/>
    <cellStyle name="Percent 19" xfId="2490" xr:uid="{00000000-0005-0000-0000-0000B9090000}"/>
    <cellStyle name="Percent 19 2" xfId="2491" xr:uid="{00000000-0005-0000-0000-0000BA090000}"/>
    <cellStyle name="Percent 2" xfId="6" xr:uid="{00000000-0005-0000-0000-0000BB090000}"/>
    <cellStyle name="Percent 2 2" xfId="2492" xr:uid="{00000000-0005-0000-0000-0000BC090000}"/>
    <cellStyle name="Percent 2 2 2" xfId="2493" xr:uid="{00000000-0005-0000-0000-0000BD090000}"/>
    <cellStyle name="Percent 2 2 2 2" xfId="2494" xr:uid="{00000000-0005-0000-0000-0000BE090000}"/>
    <cellStyle name="Percent 2 2 3" xfId="2495" xr:uid="{00000000-0005-0000-0000-0000BF090000}"/>
    <cellStyle name="Percent 2 2 4" xfId="2496" xr:uid="{00000000-0005-0000-0000-0000C0090000}"/>
    <cellStyle name="Percent 2 3" xfId="2497" xr:uid="{00000000-0005-0000-0000-0000C1090000}"/>
    <cellStyle name="Percent 2 3 2" xfId="2498" xr:uid="{00000000-0005-0000-0000-0000C2090000}"/>
    <cellStyle name="Percent 2 3 3" xfId="2499" xr:uid="{00000000-0005-0000-0000-0000C3090000}"/>
    <cellStyle name="Percent 2 4" xfId="2500" xr:uid="{00000000-0005-0000-0000-0000C4090000}"/>
    <cellStyle name="Percent 2 4 2" xfId="2501" xr:uid="{00000000-0005-0000-0000-0000C5090000}"/>
    <cellStyle name="Percent 2 4 2 2" xfId="2502" xr:uid="{00000000-0005-0000-0000-0000C6090000}"/>
    <cellStyle name="Percent 2 4 2 3" xfId="2503" xr:uid="{00000000-0005-0000-0000-0000C7090000}"/>
    <cellStyle name="Percent 2 4 2 4" xfId="2504" xr:uid="{00000000-0005-0000-0000-0000C8090000}"/>
    <cellStyle name="Percent 2 4 2 5" xfId="2505" xr:uid="{00000000-0005-0000-0000-0000C9090000}"/>
    <cellStyle name="Percent 2 4 3" xfId="2506" xr:uid="{00000000-0005-0000-0000-0000CA090000}"/>
    <cellStyle name="Percent 2 5" xfId="2507" xr:uid="{00000000-0005-0000-0000-0000CB090000}"/>
    <cellStyle name="Percent 2 5 2" xfId="2508" xr:uid="{00000000-0005-0000-0000-0000CC090000}"/>
    <cellStyle name="Percent 2 5 3" xfId="2509" xr:uid="{00000000-0005-0000-0000-0000CD090000}"/>
    <cellStyle name="Percent 2 5 4" xfId="2510" xr:uid="{00000000-0005-0000-0000-0000CE090000}"/>
    <cellStyle name="Percent 2 6" xfId="2511" xr:uid="{00000000-0005-0000-0000-0000CF090000}"/>
    <cellStyle name="Percent 2 6 2" xfId="2512" xr:uid="{00000000-0005-0000-0000-0000D0090000}"/>
    <cellStyle name="Percent 2 6 2 2" xfId="2513" xr:uid="{00000000-0005-0000-0000-0000D1090000}"/>
    <cellStyle name="Percent 2 6 2 2 2" xfId="2514" xr:uid="{00000000-0005-0000-0000-0000D2090000}"/>
    <cellStyle name="Percent 2 6 2 3" xfId="2515" xr:uid="{00000000-0005-0000-0000-0000D3090000}"/>
    <cellStyle name="Percent 2 7" xfId="2516" xr:uid="{00000000-0005-0000-0000-0000D4090000}"/>
    <cellStyle name="Percent 2 7 2" xfId="2517" xr:uid="{00000000-0005-0000-0000-0000D5090000}"/>
    <cellStyle name="Percent 2 7 2 2" xfId="2518" xr:uid="{00000000-0005-0000-0000-0000D6090000}"/>
    <cellStyle name="Percent 2 7 2 2 2" xfId="2519" xr:uid="{00000000-0005-0000-0000-0000D7090000}"/>
    <cellStyle name="Percent 2 7 2 3" xfId="2520" xr:uid="{00000000-0005-0000-0000-0000D8090000}"/>
    <cellStyle name="Percent 2 7 2 3 2" xfId="2521" xr:uid="{00000000-0005-0000-0000-0000D9090000}"/>
    <cellStyle name="Percent 2 7 2 4" xfId="2522" xr:uid="{00000000-0005-0000-0000-0000DA090000}"/>
    <cellStyle name="Percent 2 7 3" xfId="2523" xr:uid="{00000000-0005-0000-0000-0000DB090000}"/>
    <cellStyle name="Percent 2 7 3 2" xfId="2524" xr:uid="{00000000-0005-0000-0000-0000DC090000}"/>
    <cellStyle name="Percent 2 7 4" xfId="2525" xr:uid="{00000000-0005-0000-0000-0000DD090000}"/>
    <cellStyle name="Percent 2 8" xfId="2526" xr:uid="{00000000-0005-0000-0000-0000DE090000}"/>
    <cellStyle name="Percent 2 8 2" xfId="2527" xr:uid="{00000000-0005-0000-0000-0000DF090000}"/>
    <cellStyle name="Percent 2 8 3" xfId="2528" xr:uid="{00000000-0005-0000-0000-0000E0090000}"/>
    <cellStyle name="Percent 2 9" xfId="2529" xr:uid="{00000000-0005-0000-0000-0000E1090000}"/>
    <cellStyle name="Percent 2 9 2" xfId="2530" xr:uid="{00000000-0005-0000-0000-0000E2090000}"/>
    <cellStyle name="Percent 20" xfId="2531" xr:uid="{00000000-0005-0000-0000-0000E3090000}"/>
    <cellStyle name="Percent 20 2" xfId="2532" xr:uid="{00000000-0005-0000-0000-0000E4090000}"/>
    <cellStyle name="Percent 21" xfId="2533" xr:uid="{00000000-0005-0000-0000-0000E5090000}"/>
    <cellStyle name="Percent 21 2" xfId="2534" xr:uid="{00000000-0005-0000-0000-0000E6090000}"/>
    <cellStyle name="Percent 22" xfId="2535" xr:uid="{00000000-0005-0000-0000-0000E7090000}"/>
    <cellStyle name="Percent 22 2" xfId="2536" xr:uid="{00000000-0005-0000-0000-0000E8090000}"/>
    <cellStyle name="Percent 23" xfId="2537" xr:uid="{00000000-0005-0000-0000-0000E9090000}"/>
    <cellStyle name="Percent 23 2" xfId="2538" xr:uid="{00000000-0005-0000-0000-0000EA090000}"/>
    <cellStyle name="Percent 24" xfId="2539" xr:uid="{00000000-0005-0000-0000-0000EB090000}"/>
    <cellStyle name="Percent 24 2" xfId="2540" xr:uid="{00000000-0005-0000-0000-0000EC090000}"/>
    <cellStyle name="Percent 25" xfId="2541" xr:uid="{00000000-0005-0000-0000-0000ED090000}"/>
    <cellStyle name="Percent 25 2" xfId="2542" xr:uid="{00000000-0005-0000-0000-0000EE090000}"/>
    <cellStyle name="Percent 26" xfId="2543" xr:uid="{00000000-0005-0000-0000-0000EF090000}"/>
    <cellStyle name="Percent 27" xfId="2544" xr:uid="{00000000-0005-0000-0000-0000F0090000}"/>
    <cellStyle name="Percent 28" xfId="2545" xr:uid="{00000000-0005-0000-0000-0000F1090000}"/>
    <cellStyle name="Percent 29" xfId="2546" xr:uid="{00000000-0005-0000-0000-0000F2090000}"/>
    <cellStyle name="Percent 3" xfId="2547" xr:uid="{00000000-0005-0000-0000-0000F3090000}"/>
    <cellStyle name="Percent 3 10" xfId="2548" xr:uid="{00000000-0005-0000-0000-0000F4090000}"/>
    <cellStyle name="Percent 3 2" xfId="2549" xr:uid="{00000000-0005-0000-0000-0000F5090000}"/>
    <cellStyle name="Percent 3 2 2" xfId="2550" xr:uid="{00000000-0005-0000-0000-0000F6090000}"/>
    <cellStyle name="Percent 3 2 3" xfId="2551" xr:uid="{00000000-0005-0000-0000-0000F7090000}"/>
    <cellStyle name="Percent 3 2 4" xfId="2552" xr:uid="{00000000-0005-0000-0000-0000F8090000}"/>
    <cellStyle name="Percent 3 3" xfId="2553" xr:uid="{00000000-0005-0000-0000-0000F9090000}"/>
    <cellStyle name="Percent 3 4" xfId="2554" xr:uid="{00000000-0005-0000-0000-0000FA090000}"/>
    <cellStyle name="Percent 3 5" xfId="2555" xr:uid="{00000000-0005-0000-0000-0000FB090000}"/>
    <cellStyle name="Percent 3 6" xfId="2556" xr:uid="{00000000-0005-0000-0000-0000FC090000}"/>
    <cellStyle name="Percent 3 7" xfId="2557" xr:uid="{00000000-0005-0000-0000-0000FD090000}"/>
    <cellStyle name="Percent 3 7 2" xfId="2558" xr:uid="{00000000-0005-0000-0000-0000FE090000}"/>
    <cellStyle name="Percent 3 7 2 2" xfId="2559" xr:uid="{00000000-0005-0000-0000-0000FF090000}"/>
    <cellStyle name="Percent 3 7 3" xfId="2560" xr:uid="{00000000-0005-0000-0000-0000000A0000}"/>
    <cellStyle name="Percent 3 7 3 2" xfId="2561" xr:uid="{00000000-0005-0000-0000-0000010A0000}"/>
    <cellStyle name="Percent 3 7 4" xfId="2562" xr:uid="{00000000-0005-0000-0000-0000020A0000}"/>
    <cellStyle name="Percent 3 8" xfId="2563" xr:uid="{00000000-0005-0000-0000-0000030A0000}"/>
    <cellStyle name="Percent 3 8 2" xfId="2564" xr:uid="{00000000-0005-0000-0000-0000040A0000}"/>
    <cellStyle name="Percent 3 9" xfId="2565" xr:uid="{00000000-0005-0000-0000-0000050A0000}"/>
    <cellStyle name="Percent 30" xfId="2566" xr:uid="{00000000-0005-0000-0000-0000060A0000}"/>
    <cellStyle name="Percent 31" xfId="2567" xr:uid="{00000000-0005-0000-0000-0000070A0000}"/>
    <cellStyle name="Percent 32" xfId="2568" xr:uid="{00000000-0005-0000-0000-0000080A0000}"/>
    <cellStyle name="Percent 33" xfId="2569" xr:uid="{00000000-0005-0000-0000-0000090A0000}"/>
    <cellStyle name="Percent 34" xfId="2570" xr:uid="{00000000-0005-0000-0000-00000A0A0000}"/>
    <cellStyle name="Percent 35" xfId="2571" xr:uid="{00000000-0005-0000-0000-00000B0A0000}"/>
    <cellStyle name="Percent 4" xfId="2572" xr:uid="{00000000-0005-0000-0000-00000C0A0000}"/>
    <cellStyle name="Percent 4 10" xfId="2573" xr:uid="{00000000-0005-0000-0000-00000D0A0000}"/>
    <cellStyle name="Percent 4 2" xfId="2574" xr:uid="{00000000-0005-0000-0000-00000E0A0000}"/>
    <cellStyle name="Percent 4 2 2" xfId="2575" xr:uid="{00000000-0005-0000-0000-00000F0A0000}"/>
    <cellStyle name="Percent 4 2 2 2" xfId="2576" xr:uid="{00000000-0005-0000-0000-0000100A0000}"/>
    <cellStyle name="Percent 4 2 2 2 2" xfId="2577" xr:uid="{00000000-0005-0000-0000-0000110A0000}"/>
    <cellStyle name="Percent 4 2 2 3" xfId="2578" xr:uid="{00000000-0005-0000-0000-0000120A0000}"/>
    <cellStyle name="Percent 4 2 3" xfId="2579" xr:uid="{00000000-0005-0000-0000-0000130A0000}"/>
    <cellStyle name="Percent 4 2 3 2" xfId="2580" xr:uid="{00000000-0005-0000-0000-0000140A0000}"/>
    <cellStyle name="Percent 4 2 4" xfId="2581" xr:uid="{00000000-0005-0000-0000-0000150A0000}"/>
    <cellStyle name="Percent 4 2 4 2" xfId="2582" xr:uid="{00000000-0005-0000-0000-0000160A0000}"/>
    <cellStyle name="Percent 4 2 5" xfId="2583" xr:uid="{00000000-0005-0000-0000-0000170A0000}"/>
    <cellStyle name="Percent 4 2 5 2" xfId="2584" xr:uid="{00000000-0005-0000-0000-0000180A0000}"/>
    <cellStyle name="Percent 4 2 6" xfId="2585" xr:uid="{00000000-0005-0000-0000-0000190A0000}"/>
    <cellStyle name="Percent 4 2 6 2" xfId="2586" xr:uid="{00000000-0005-0000-0000-00001A0A0000}"/>
    <cellStyle name="Percent 4 2 7" xfId="2587" xr:uid="{00000000-0005-0000-0000-00001B0A0000}"/>
    <cellStyle name="Percent 4 3" xfId="2588" xr:uid="{00000000-0005-0000-0000-00001C0A0000}"/>
    <cellStyle name="Percent 4 3 2" xfId="2589" xr:uid="{00000000-0005-0000-0000-00001D0A0000}"/>
    <cellStyle name="Percent 4 3 2 2" xfId="2590" xr:uid="{00000000-0005-0000-0000-00001E0A0000}"/>
    <cellStyle name="Percent 4 3 2 2 2" xfId="2591" xr:uid="{00000000-0005-0000-0000-00001F0A0000}"/>
    <cellStyle name="Percent 4 3 2 2 2 2" xfId="2592" xr:uid="{00000000-0005-0000-0000-0000200A0000}"/>
    <cellStyle name="Percent 4 3 2 2 3" xfId="2593" xr:uid="{00000000-0005-0000-0000-0000210A0000}"/>
    <cellStyle name="Percent 4 3 2 3" xfId="2594" xr:uid="{00000000-0005-0000-0000-0000220A0000}"/>
    <cellStyle name="Percent 4 3 2 3 2" xfId="2595" xr:uid="{00000000-0005-0000-0000-0000230A0000}"/>
    <cellStyle name="Percent 4 3 2 4" xfId="2596" xr:uid="{00000000-0005-0000-0000-0000240A0000}"/>
    <cellStyle name="Percent 4 3 2 4 2" xfId="2597" xr:uid="{00000000-0005-0000-0000-0000250A0000}"/>
    <cellStyle name="Percent 4 3 2 5" xfId="2598" xr:uid="{00000000-0005-0000-0000-0000260A0000}"/>
    <cellStyle name="Percent 4 3 2 5 2" xfId="2599" xr:uid="{00000000-0005-0000-0000-0000270A0000}"/>
    <cellStyle name="Percent 4 3 2 6" xfId="2600" xr:uid="{00000000-0005-0000-0000-0000280A0000}"/>
    <cellStyle name="Percent 4 3 2 6 2" xfId="2601" xr:uid="{00000000-0005-0000-0000-0000290A0000}"/>
    <cellStyle name="Percent 4 3 2 7" xfId="2602" xr:uid="{00000000-0005-0000-0000-00002A0A0000}"/>
    <cellStyle name="Percent 4 3 3" xfId="2603" xr:uid="{00000000-0005-0000-0000-00002B0A0000}"/>
    <cellStyle name="Percent 4 3 3 2" xfId="2604" xr:uid="{00000000-0005-0000-0000-00002C0A0000}"/>
    <cellStyle name="Percent 4 3 3 2 2" xfId="2605" xr:uid="{00000000-0005-0000-0000-00002D0A0000}"/>
    <cellStyle name="Percent 4 3 3 3" xfId="2606" xr:uid="{00000000-0005-0000-0000-00002E0A0000}"/>
    <cellStyle name="Percent 4 3 4" xfId="2607" xr:uid="{00000000-0005-0000-0000-00002F0A0000}"/>
    <cellStyle name="Percent 4 3 4 2" xfId="2608" xr:uid="{00000000-0005-0000-0000-0000300A0000}"/>
    <cellStyle name="Percent 4 3 5" xfId="2609" xr:uid="{00000000-0005-0000-0000-0000310A0000}"/>
    <cellStyle name="Percent 4 3 5 2" xfId="2610" xr:uid="{00000000-0005-0000-0000-0000320A0000}"/>
    <cellStyle name="Percent 4 3 6" xfId="2611" xr:uid="{00000000-0005-0000-0000-0000330A0000}"/>
    <cellStyle name="Percent 4 3 6 2" xfId="2612" xr:uid="{00000000-0005-0000-0000-0000340A0000}"/>
    <cellStyle name="Percent 4 3 7" xfId="2613" xr:uid="{00000000-0005-0000-0000-0000350A0000}"/>
    <cellStyle name="Percent 4 3 7 2" xfId="2614" xr:uid="{00000000-0005-0000-0000-0000360A0000}"/>
    <cellStyle name="Percent 4 3 8" xfId="2615" xr:uid="{00000000-0005-0000-0000-0000370A0000}"/>
    <cellStyle name="Percent 4 4" xfId="2616" xr:uid="{00000000-0005-0000-0000-0000380A0000}"/>
    <cellStyle name="Percent 4 4 2" xfId="2617" xr:uid="{00000000-0005-0000-0000-0000390A0000}"/>
    <cellStyle name="Percent 4 4 2 2" xfId="2618" xr:uid="{00000000-0005-0000-0000-00003A0A0000}"/>
    <cellStyle name="Percent 4 4 3" xfId="2619" xr:uid="{00000000-0005-0000-0000-00003B0A0000}"/>
    <cellStyle name="Percent 4 5" xfId="2620" xr:uid="{00000000-0005-0000-0000-00003C0A0000}"/>
    <cellStyle name="Percent 4 5 2" xfId="2621" xr:uid="{00000000-0005-0000-0000-00003D0A0000}"/>
    <cellStyle name="Percent 4 6" xfId="2622" xr:uid="{00000000-0005-0000-0000-00003E0A0000}"/>
    <cellStyle name="Percent 4 6 2" xfId="2623" xr:uid="{00000000-0005-0000-0000-00003F0A0000}"/>
    <cellStyle name="Percent 4 7" xfId="2624" xr:uid="{00000000-0005-0000-0000-0000400A0000}"/>
    <cellStyle name="Percent 4 7 2" xfId="2625" xr:uid="{00000000-0005-0000-0000-0000410A0000}"/>
    <cellStyle name="Percent 4 8" xfId="2626" xr:uid="{00000000-0005-0000-0000-0000420A0000}"/>
    <cellStyle name="Percent 4 8 2" xfId="2627" xr:uid="{00000000-0005-0000-0000-0000430A0000}"/>
    <cellStyle name="Percent 4 9" xfId="2628" xr:uid="{00000000-0005-0000-0000-0000440A0000}"/>
    <cellStyle name="Percent 5" xfId="2629" xr:uid="{00000000-0005-0000-0000-0000450A0000}"/>
    <cellStyle name="Percent 5 2" xfId="2630" xr:uid="{00000000-0005-0000-0000-0000460A0000}"/>
    <cellStyle name="Percent 5 3" xfId="2631" xr:uid="{00000000-0005-0000-0000-0000470A0000}"/>
    <cellStyle name="Percent 5 4" xfId="4" xr:uid="{00000000-0005-0000-0000-0000480A0000}"/>
    <cellStyle name="Percent 6" xfId="2632" xr:uid="{00000000-0005-0000-0000-0000490A0000}"/>
    <cellStyle name="Percent 6 2" xfId="2633" xr:uid="{00000000-0005-0000-0000-00004A0A0000}"/>
    <cellStyle name="Percent 6 3" xfId="2634" xr:uid="{00000000-0005-0000-0000-00004B0A0000}"/>
    <cellStyle name="Percent 6 3 2" xfId="2635" xr:uid="{00000000-0005-0000-0000-00004C0A0000}"/>
    <cellStyle name="Percent 6 3 2 2" xfId="2636" xr:uid="{00000000-0005-0000-0000-00004D0A0000}"/>
    <cellStyle name="Percent 6 3 3" xfId="2637" xr:uid="{00000000-0005-0000-0000-00004E0A0000}"/>
    <cellStyle name="Percent 6 3 3 2" xfId="2638" xr:uid="{00000000-0005-0000-0000-00004F0A0000}"/>
    <cellStyle name="Percent 6 3 4" xfId="2639" xr:uid="{00000000-0005-0000-0000-0000500A0000}"/>
    <cellStyle name="Percent 6 4" xfId="2640" xr:uid="{00000000-0005-0000-0000-0000510A0000}"/>
    <cellStyle name="Percent 6 5" xfId="2641" xr:uid="{00000000-0005-0000-0000-0000520A0000}"/>
    <cellStyle name="Percent 6 6" xfId="2642" xr:uid="{00000000-0005-0000-0000-0000530A0000}"/>
    <cellStyle name="Percent 7" xfId="2643" xr:uid="{00000000-0005-0000-0000-0000540A0000}"/>
    <cellStyle name="Percent 7 2" xfId="2644" xr:uid="{00000000-0005-0000-0000-0000550A0000}"/>
    <cellStyle name="Percent 8" xfId="2645" xr:uid="{00000000-0005-0000-0000-0000560A0000}"/>
    <cellStyle name="Percent 8 2" xfId="2646" xr:uid="{00000000-0005-0000-0000-0000570A0000}"/>
    <cellStyle name="Percent 8 3" xfId="2647" xr:uid="{00000000-0005-0000-0000-0000580A0000}"/>
    <cellStyle name="Percent 9" xfId="2648" xr:uid="{00000000-0005-0000-0000-0000590A0000}"/>
    <cellStyle name="Percent 9 2" xfId="2649" xr:uid="{00000000-0005-0000-0000-00005A0A0000}"/>
    <cellStyle name="Percentage" xfId="2650" xr:uid="{00000000-0005-0000-0000-00005B0A0000}"/>
    <cellStyle name="PV Heading" xfId="2651" xr:uid="{00000000-0005-0000-0000-00005C0A0000}"/>
    <cellStyle name="Reference ID" xfId="2652" xr:uid="{00000000-0005-0000-0000-00005D0A0000}"/>
    <cellStyle name="Standard_moria_holding_mngmtcase_031029" xfId="2653" xr:uid="{00000000-0005-0000-0000-00005E0A0000}"/>
    <cellStyle name="Std_%" xfId="2654" xr:uid="{00000000-0005-0000-0000-00005F0A0000}"/>
    <cellStyle name="Style 1" xfId="2655" xr:uid="{00000000-0005-0000-0000-0000600A0000}"/>
    <cellStyle name="Subtitle" xfId="2656" xr:uid="{00000000-0005-0000-0000-0000610A0000}"/>
    <cellStyle name="Subtotal" xfId="2657" xr:uid="{00000000-0005-0000-0000-0000620A0000}"/>
    <cellStyle name="SWH Heading" xfId="2658" xr:uid="{00000000-0005-0000-0000-0000630A0000}"/>
    <cellStyle name="Table" xfId="2659" xr:uid="{00000000-0005-0000-0000-0000640A0000}"/>
    <cellStyle name="Table Heading" xfId="2660" xr:uid="{00000000-0005-0000-0000-0000650A0000}"/>
    <cellStyle name="Table Heading, Blue" xfId="2661" xr:uid="{00000000-0005-0000-0000-0000660A0000}"/>
    <cellStyle name="Table Text 1" xfId="2662" xr:uid="{00000000-0005-0000-0000-0000670A0000}"/>
    <cellStyle name="Table Text 2" xfId="2663" xr:uid="{00000000-0005-0000-0000-0000680A0000}"/>
    <cellStyle name="Thousands" xfId="2664" xr:uid="{00000000-0005-0000-0000-0000690A0000}"/>
    <cellStyle name="Title 2" xfId="2665" xr:uid="{00000000-0005-0000-0000-00006A0A0000}"/>
    <cellStyle name="Title 2 2" xfId="2666" xr:uid="{00000000-0005-0000-0000-00006B0A0000}"/>
    <cellStyle name="Title 3" xfId="2667" xr:uid="{00000000-0005-0000-0000-00006C0A0000}"/>
    <cellStyle name="Total 2" xfId="2668" xr:uid="{00000000-0005-0000-0000-00006D0A0000}"/>
    <cellStyle name="Total 2 2" xfId="2669" xr:uid="{00000000-0005-0000-0000-00006E0A0000}"/>
    <cellStyle name="Total 2 2 2" xfId="2670" xr:uid="{00000000-0005-0000-0000-00006F0A0000}"/>
    <cellStyle name="Total 2 2 2 2" xfId="2671" xr:uid="{00000000-0005-0000-0000-0000700A0000}"/>
    <cellStyle name="Total 2 2 2 2 2" xfId="2672" xr:uid="{00000000-0005-0000-0000-0000710A0000}"/>
    <cellStyle name="Total 2 2 2 2 2 2" xfId="2673" xr:uid="{00000000-0005-0000-0000-0000720A0000}"/>
    <cellStyle name="Total 2 2 2 2 2 3" xfId="2674" xr:uid="{00000000-0005-0000-0000-0000730A0000}"/>
    <cellStyle name="Total 2 2 2 2 2 4" xfId="2675" xr:uid="{00000000-0005-0000-0000-0000740A0000}"/>
    <cellStyle name="Total 2 2 2 2 2 5" xfId="2676" xr:uid="{00000000-0005-0000-0000-0000750A0000}"/>
    <cellStyle name="Total 2 2 2 2 3" xfId="2677" xr:uid="{00000000-0005-0000-0000-0000760A0000}"/>
    <cellStyle name="Total 2 2 2 2 4" xfId="2678" xr:uid="{00000000-0005-0000-0000-0000770A0000}"/>
    <cellStyle name="Total 2 2 2 2 5" xfId="2679" xr:uid="{00000000-0005-0000-0000-0000780A0000}"/>
    <cellStyle name="Total 2 2 2 3" xfId="2680" xr:uid="{00000000-0005-0000-0000-0000790A0000}"/>
    <cellStyle name="Total 2 2 2 3 2" xfId="2681" xr:uid="{00000000-0005-0000-0000-00007A0A0000}"/>
    <cellStyle name="Total 2 2 2 3 2 2" xfId="2682" xr:uid="{00000000-0005-0000-0000-00007B0A0000}"/>
    <cellStyle name="Total 2 2 2 3 2 3" xfId="2683" xr:uid="{00000000-0005-0000-0000-00007C0A0000}"/>
    <cellStyle name="Total 2 2 2 3 2 4" xfId="2684" xr:uid="{00000000-0005-0000-0000-00007D0A0000}"/>
    <cellStyle name="Total 2 2 2 3 2 5" xfId="2685" xr:uid="{00000000-0005-0000-0000-00007E0A0000}"/>
    <cellStyle name="Total 2 2 2 3 3" xfId="2686" xr:uid="{00000000-0005-0000-0000-00007F0A0000}"/>
    <cellStyle name="Total 2 2 2 3 4" xfId="2687" xr:uid="{00000000-0005-0000-0000-0000800A0000}"/>
    <cellStyle name="Total 2 2 2 3 5" xfId="2688" xr:uid="{00000000-0005-0000-0000-0000810A0000}"/>
    <cellStyle name="Total 2 2 2 4" xfId="2689" xr:uid="{00000000-0005-0000-0000-0000820A0000}"/>
    <cellStyle name="Total 2 2 2 4 2" xfId="2690" xr:uid="{00000000-0005-0000-0000-0000830A0000}"/>
    <cellStyle name="Total 2 2 2 4 3" xfId="2691" xr:uid="{00000000-0005-0000-0000-0000840A0000}"/>
    <cellStyle name="Total 2 2 2 4 4" xfId="2692" xr:uid="{00000000-0005-0000-0000-0000850A0000}"/>
    <cellStyle name="Total 2 2 2 4 5" xfId="2693" xr:uid="{00000000-0005-0000-0000-0000860A0000}"/>
    <cellStyle name="Total 2 2 2 5" xfId="2694" xr:uid="{00000000-0005-0000-0000-0000870A0000}"/>
    <cellStyle name="Total 2 2 2 6" xfId="2695" xr:uid="{00000000-0005-0000-0000-0000880A0000}"/>
    <cellStyle name="Total 2 2 2 7" xfId="2696" xr:uid="{00000000-0005-0000-0000-0000890A0000}"/>
    <cellStyle name="Total 2 2 3" xfId="2697" xr:uid="{00000000-0005-0000-0000-00008A0A0000}"/>
    <cellStyle name="Total 2 2 3 2" xfId="2698" xr:uid="{00000000-0005-0000-0000-00008B0A0000}"/>
    <cellStyle name="Total 2 2 3 2 2" xfId="2699" xr:uid="{00000000-0005-0000-0000-00008C0A0000}"/>
    <cellStyle name="Total 2 2 3 2 2 2" xfId="2700" xr:uid="{00000000-0005-0000-0000-00008D0A0000}"/>
    <cellStyle name="Total 2 2 3 2 2 3" xfId="2701" xr:uid="{00000000-0005-0000-0000-00008E0A0000}"/>
    <cellStyle name="Total 2 2 3 2 2 4" xfId="2702" xr:uid="{00000000-0005-0000-0000-00008F0A0000}"/>
    <cellStyle name="Total 2 2 3 2 2 5" xfId="2703" xr:uid="{00000000-0005-0000-0000-0000900A0000}"/>
    <cellStyle name="Total 2 2 3 2 3" xfId="2704" xr:uid="{00000000-0005-0000-0000-0000910A0000}"/>
    <cellStyle name="Total 2 2 3 2 4" xfId="2705" xr:uid="{00000000-0005-0000-0000-0000920A0000}"/>
    <cellStyle name="Total 2 2 3 2 5" xfId="2706" xr:uid="{00000000-0005-0000-0000-0000930A0000}"/>
    <cellStyle name="Total 2 2 3 3" xfId="2707" xr:uid="{00000000-0005-0000-0000-0000940A0000}"/>
    <cellStyle name="Total 2 2 3 3 2" xfId="2708" xr:uid="{00000000-0005-0000-0000-0000950A0000}"/>
    <cellStyle name="Total 2 2 3 3 2 2" xfId="2709" xr:uid="{00000000-0005-0000-0000-0000960A0000}"/>
    <cellStyle name="Total 2 2 3 3 2 3" xfId="2710" xr:uid="{00000000-0005-0000-0000-0000970A0000}"/>
    <cellStyle name="Total 2 2 3 3 2 4" xfId="2711" xr:uid="{00000000-0005-0000-0000-0000980A0000}"/>
    <cellStyle name="Total 2 2 3 3 2 5" xfId="2712" xr:uid="{00000000-0005-0000-0000-0000990A0000}"/>
    <cellStyle name="Total 2 2 3 3 3" xfId="2713" xr:uid="{00000000-0005-0000-0000-00009A0A0000}"/>
    <cellStyle name="Total 2 2 3 3 4" xfId="2714" xr:uid="{00000000-0005-0000-0000-00009B0A0000}"/>
    <cellStyle name="Total 2 2 3 3 5" xfId="2715" xr:uid="{00000000-0005-0000-0000-00009C0A0000}"/>
    <cellStyle name="Total 2 2 3 4" xfId="2716" xr:uid="{00000000-0005-0000-0000-00009D0A0000}"/>
    <cellStyle name="Total 2 2 3 4 2" xfId="2717" xr:uid="{00000000-0005-0000-0000-00009E0A0000}"/>
    <cellStyle name="Total 2 2 3 4 3" xfId="2718" xr:uid="{00000000-0005-0000-0000-00009F0A0000}"/>
    <cellStyle name="Total 2 2 3 4 4" xfId="2719" xr:uid="{00000000-0005-0000-0000-0000A00A0000}"/>
    <cellStyle name="Total 2 2 3 4 5" xfId="2720" xr:uid="{00000000-0005-0000-0000-0000A10A0000}"/>
    <cellStyle name="Total 2 2 3 5" xfId="2721" xr:uid="{00000000-0005-0000-0000-0000A20A0000}"/>
    <cellStyle name="Total 2 2 3 6" xfId="2722" xr:uid="{00000000-0005-0000-0000-0000A30A0000}"/>
    <cellStyle name="Total 2 2 3 7" xfId="2723" xr:uid="{00000000-0005-0000-0000-0000A40A0000}"/>
    <cellStyle name="Total 2 2 4" xfId="2724" xr:uid="{00000000-0005-0000-0000-0000A50A0000}"/>
    <cellStyle name="Total 2 2 4 2" xfId="2725" xr:uid="{00000000-0005-0000-0000-0000A60A0000}"/>
    <cellStyle name="Total 2 2 4 2 2" xfId="2726" xr:uid="{00000000-0005-0000-0000-0000A70A0000}"/>
    <cellStyle name="Total 2 2 4 2 2 2" xfId="2727" xr:uid="{00000000-0005-0000-0000-0000A80A0000}"/>
    <cellStyle name="Total 2 2 4 2 2 3" xfId="2728" xr:uid="{00000000-0005-0000-0000-0000A90A0000}"/>
    <cellStyle name="Total 2 2 4 2 2 4" xfId="2729" xr:uid="{00000000-0005-0000-0000-0000AA0A0000}"/>
    <cellStyle name="Total 2 2 4 2 2 5" xfId="2730" xr:uid="{00000000-0005-0000-0000-0000AB0A0000}"/>
    <cellStyle name="Total 2 2 4 2 3" xfId="2731" xr:uid="{00000000-0005-0000-0000-0000AC0A0000}"/>
    <cellStyle name="Total 2 2 4 2 4" xfId="2732" xr:uid="{00000000-0005-0000-0000-0000AD0A0000}"/>
    <cellStyle name="Total 2 2 4 2 5" xfId="2733" xr:uid="{00000000-0005-0000-0000-0000AE0A0000}"/>
    <cellStyle name="Total 2 2 4 3" xfId="2734" xr:uid="{00000000-0005-0000-0000-0000AF0A0000}"/>
    <cellStyle name="Total 2 2 4 3 2" xfId="2735" xr:uid="{00000000-0005-0000-0000-0000B00A0000}"/>
    <cellStyle name="Total 2 2 4 3 2 2" xfId="2736" xr:uid="{00000000-0005-0000-0000-0000B10A0000}"/>
    <cellStyle name="Total 2 2 4 3 2 3" xfId="2737" xr:uid="{00000000-0005-0000-0000-0000B20A0000}"/>
    <cellStyle name="Total 2 2 4 3 2 4" xfId="2738" xr:uid="{00000000-0005-0000-0000-0000B30A0000}"/>
    <cellStyle name="Total 2 2 4 3 2 5" xfId="2739" xr:uid="{00000000-0005-0000-0000-0000B40A0000}"/>
    <cellStyle name="Total 2 2 4 3 3" xfId="2740" xr:uid="{00000000-0005-0000-0000-0000B50A0000}"/>
    <cellStyle name="Total 2 2 4 3 4" xfId="2741" xr:uid="{00000000-0005-0000-0000-0000B60A0000}"/>
    <cellStyle name="Total 2 2 4 3 5" xfId="2742" xr:uid="{00000000-0005-0000-0000-0000B70A0000}"/>
    <cellStyle name="Total 2 2 4 4" xfId="2743" xr:uid="{00000000-0005-0000-0000-0000B80A0000}"/>
    <cellStyle name="Total 2 2 4 4 2" xfId="2744" xr:uid="{00000000-0005-0000-0000-0000B90A0000}"/>
    <cellStyle name="Total 2 2 4 4 3" xfId="2745" xr:uid="{00000000-0005-0000-0000-0000BA0A0000}"/>
    <cellStyle name="Total 2 2 4 4 4" xfId="2746" xr:uid="{00000000-0005-0000-0000-0000BB0A0000}"/>
    <cellStyle name="Total 2 2 4 4 5" xfId="2747" xr:uid="{00000000-0005-0000-0000-0000BC0A0000}"/>
    <cellStyle name="Total 2 2 4 5" xfId="2748" xr:uid="{00000000-0005-0000-0000-0000BD0A0000}"/>
    <cellStyle name="Total 2 2 4 6" xfId="2749" xr:uid="{00000000-0005-0000-0000-0000BE0A0000}"/>
    <cellStyle name="Total 2 2 4 7" xfId="2750" xr:uid="{00000000-0005-0000-0000-0000BF0A0000}"/>
    <cellStyle name="Total 2 2 5" xfId="2751" xr:uid="{00000000-0005-0000-0000-0000C00A0000}"/>
    <cellStyle name="Total 2 2 5 2" xfId="2752" xr:uid="{00000000-0005-0000-0000-0000C10A0000}"/>
    <cellStyle name="Total 2 2 5 2 2" xfId="2753" xr:uid="{00000000-0005-0000-0000-0000C20A0000}"/>
    <cellStyle name="Total 2 2 5 2 3" xfId="2754" xr:uid="{00000000-0005-0000-0000-0000C30A0000}"/>
    <cellStyle name="Total 2 2 5 2 4" xfId="2755" xr:uid="{00000000-0005-0000-0000-0000C40A0000}"/>
    <cellStyle name="Total 2 2 5 2 5" xfId="2756" xr:uid="{00000000-0005-0000-0000-0000C50A0000}"/>
    <cellStyle name="Total 2 2 5 3" xfId="2757" xr:uid="{00000000-0005-0000-0000-0000C60A0000}"/>
    <cellStyle name="Total 2 2 5 4" xfId="2758" xr:uid="{00000000-0005-0000-0000-0000C70A0000}"/>
    <cellStyle name="Total 2 2 5 5" xfId="2759" xr:uid="{00000000-0005-0000-0000-0000C80A0000}"/>
    <cellStyle name="Total 2 2 6" xfId="2760" xr:uid="{00000000-0005-0000-0000-0000C90A0000}"/>
    <cellStyle name="Total 2 2 6 2" xfId="2761" xr:uid="{00000000-0005-0000-0000-0000CA0A0000}"/>
    <cellStyle name="Total 2 2 6 2 2" xfId="2762" xr:uid="{00000000-0005-0000-0000-0000CB0A0000}"/>
    <cellStyle name="Total 2 2 6 2 3" xfId="2763" xr:uid="{00000000-0005-0000-0000-0000CC0A0000}"/>
    <cellStyle name="Total 2 2 6 2 4" xfId="2764" xr:uid="{00000000-0005-0000-0000-0000CD0A0000}"/>
    <cellStyle name="Total 2 2 6 2 5" xfId="2765" xr:uid="{00000000-0005-0000-0000-0000CE0A0000}"/>
    <cellStyle name="Total 2 2 6 3" xfId="2766" xr:uid="{00000000-0005-0000-0000-0000CF0A0000}"/>
    <cellStyle name="Total 2 2 6 4" xfId="2767" xr:uid="{00000000-0005-0000-0000-0000D00A0000}"/>
    <cellStyle name="Total 2 2 6 5" xfId="2768" xr:uid="{00000000-0005-0000-0000-0000D10A0000}"/>
    <cellStyle name="Total 2 2 7" xfId="2769" xr:uid="{00000000-0005-0000-0000-0000D20A0000}"/>
    <cellStyle name="Total 2 3" xfId="2770" xr:uid="{00000000-0005-0000-0000-0000D30A0000}"/>
    <cellStyle name="Total 2 3 2" xfId="2771" xr:uid="{00000000-0005-0000-0000-0000D40A0000}"/>
    <cellStyle name="Total 2 3 2 2" xfId="2772" xr:uid="{00000000-0005-0000-0000-0000D50A0000}"/>
    <cellStyle name="Total 2 3 2 2 2" xfId="2773" xr:uid="{00000000-0005-0000-0000-0000D60A0000}"/>
    <cellStyle name="Total 2 3 2 2 3" xfId="2774" xr:uid="{00000000-0005-0000-0000-0000D70A0000}"/>
    <cellStyle name="Total 2 3 2 2 4" xfId="2775" xr:uid="{00000000-0005-0000-0000-0000D80A0000}"/>
    <cellStyle name="Total 2 3 2 2 5" xfId="2776" xr:uid="{00000000-0005-0000-0000-0000D90A0000}"/>
    <cellStyle name="Total 2 3 2 3" xfId="2777" xr:uid="{00000000-0005-0000-0000-0000DA0A0000}"/>
    <cellStyle name="Total 2 3 2 4" xfId="2778" xr:uid="{00000000-0005-0000-0000-0000DB0A0000}"/>
    <cellStyle name="Total 2 3 2 5" xfId="2779" xr:uid="{00000000-0005-0000-0000-0000DC0A0000}"/>
    <cellStyle name="Total 2 3 3" xfId="2780" xr:uid="{00000000-0005-0000-0000-0000DD0A0000}"/>
    <cellStyle name="Total 2 3 3 2" xfId="2781" xr:uid="{00000000-0005-0000-0000-0000DE0A0000}"/>
    <cellStyle name="Total 2 3 3 2 2" xfId="2782" xr:uid="{00000000-0005-0000-0000-0000DF0A0000}"/>
    <cellStyle name="Total 2 3 3 2 3" xfId="2783" xr:uid="{00000000-0005-0000-0000-0000E00A0000}"/>
    <cellStyle name="Total 2 3 3 2 4" xfId="2784" xr:uid="{00000000-0005-0000-0000-0000E10A0000}"/>
    <cellStyle name="Total 2 3 3 2 5" xfId="2785" xr:uid="{00000000-0005-0000-0000-0000E20A0000}"/>
    <cellStyle name="Total 2 3 3 3" xfId="2786" xr:uid="{00000000-0005-0000-0000-0000E30A0000}"/>
    <cellStyle name="Total 2 3 3 4" xfId="2787" xr:uid="{00000000-0005-0000-0000-0000E40A0000}"/>
    <cellStyle name="Total 2 3 3 5" xfId="2788" xr:uid="{00000000-0005-0000-0000-0000E50A0000}"/>
    <cellStyle name="Total 2 3 4" xfId="2789" xr:uid="{00000000-0005-0000-0000-0000E60A0000}"/>
    <cellStyle name="Total 2 3 4 2" xfId="2790" xr:uid="{00000000-0005-0000-0000-0000E70A0000}"/>
    <cellStyle name="Total 2 3 4 3" xfId="2791" xr:uid="{00000000-0005-0000-0000-0000E80A0000}"/>
    <cellStyle name="Total 2 3 4 4" xfId="2792" xr:uid="{00000000-0005-0000-0000-0000E90A0000}"/>
    <cellStyle name="Total 2 3 4 5" xfId="2793" xr:uid="{00000000-0005-0000-0000-0000EA0A0000}"/>
    <cellStyle name="Total 2 3 5" xfId="2794" xr:uid="{00000000-0005-0000-0000-0000EB0A0000}"/>
    <cellStyle name="Total 2 3 6" xfId="2795" xr:uid="{00000000-0005-0000-0000-0000EC0A0000}"/>
    <cellStyle name="Total 2 3 7" xfId="2796" xr:uid="{00000000-0005-0000-0000-0000ED0A0000}"/>
    <cellStyle name="Total 2 4" xfId="2797" xr:uid="{00000000-0005-0000-0000-0000EE0A0000}"/>
    <cellStyle name="Total 2 4 2" xfId="2798" xr:uid="{00000000-0005-0000-0000-0000EF0A0000}"/>
    <cellStyle name="Total 2 4 2 2" xfId="2799" xr:uid="{00000000-0005-0000-0000-0000F00A0000}"/>
    <cellStyle name="Total 2 4 2 2 2" xfId="2800" xr:uid="{00000000-0005-0000-0000-0000F10A0000}"/>
    <cellStyle name="Total 2 4 2 2 3" xfId="2801" xr:uid="{00000000-0005-0000-0000-0000F20A0000}"/>
    <cellStyle name="Total 2 4 2 2 4" xfId="2802" xr:uid="{00000000-0005-0000-0000-0000F30A0000}"/>
    <cellStyle name="Total 2 4 2 2 5" xfId="2803" xr:uid="{00000000-0005-0000-0000-0000F40A0000}"/>
    <cellStyle name="Total 2 4 2 3" xfId="2804" xr:uid="{00000000-0005-0000-0000-0000F50A0000}"/>
    <cellStyle name="Total 2 4 2 4" xfId="2805" xr:uid="{00000000-0005-0000-0000-0000F60A0000}"/>
    <cellStyle name="Total 2 4 2 5" xfId="2806" xr:uid="{00000000-0005-0000-0000-0000F70A0000}"/>
    <cellStyle name="Total 2 4 3" xfId="2807" xr:uid="{00000000-0005-0000-0000-0000F80A0000}"/>
    <cellStyle name="Total 2 4 3 2" xfId="2808" xr:uid="{00000000-0005-0000-0000-0000F90A0000}"/>
    <cellStyle name="Total 2 4 3 2 2" xfId="2809" xr:uid="{00000000-0005-0000-0000-0000FA0A0000}"/>
    <cellStyle name="Total 2 4 3 2 3" xfId="2810" xr:uid="{00000000-0005-0000-0000-0000FB0A0000}"/>
    <cellStyle name="Total 2 4 3 2 4" xfId="2811" xr:uid="{00000000-0005-0000-0000-0000FC0A0000}"/>
    <cellStyle name="Total 2 4 3 2 5" xfId="2812" xr:uid="{00000000-0005-0000-0000-0000FD0A0000}"/>
    <cellStyle name="Total 2 4 3 3" xfId="2813" xr:uid="{00000000-0005-0000-0000-0000FE0A0000}"/>
    <cellStyle name="Total 2 4 3 4" xfId="2814" xr:uid="{00000000-0005-0000-0000-0000FF0A0000}"/>
    <cellStyle name="Total 2 4 3 5" xfId="2815" xr:uid="{00000000-0005-0000-0000-0000000B0000}"/>
    <cellStyle name="Total 2 4 4" xfId="2816" xr:uid="{00000000-0005-0000-0000-0000010B0000}"/>
    <cellStyle name="Total 2 4 4 2" xfId="2817" xr:uid="{00000000-0005-0000-0000-0000020B0000}"/>
    <cellStyle name="Total 2 4 4 3" xfId="2818" xr:uid="{00000000-0005-0000-0000-0000030B0000}"/>
    <cellStyle name="Total 2 4 4 4" xfId="2819" xr:uid="{00000000-0005-0000-0000-0000040B0000}"/>
    <cellStyle name="Total 2 4 4 5" xfId="2820" xr:uid="{00000000-0005-0000-0000-0000050B0000}"/>
    <cellStyle name="Total 2 4 5" xfId="2821" xr:uid="{00000000-0005-0000-0000-0000060B0000}"/>
    <cellStyle name="Total 2 4 6" xfId="2822" xr:uid="{00000000-0005-0000-0000-0000070B0000}"/>
    <cellStyle name="Total 2 4 7" xfId="2823" xr:uid="{00000000-0005-0000-0000-0000080B0000}"/>
    <cellStyle name="Total 2 5" xfId="2824" xr:uid="{00000000-0005-0000-0000-0000090B0000}"/>
    <cellStyle name="Total 2 5 2" xfId="2825" xr:uid="{00000000-0005-0000-0000-00000A0B0000}"/>
    <cellStyle name="Total 2 5 2 2" xfId="2826" xr:uid="{00000000-0005-0000-0000-00000B0B0000}"/>
    <cellStyle name="Total 2 5 2 2 2" xfId="2827" xr:uid="{00000000-0005-0000-0000-00000C0B0000}"/>
    <cellStyle name="Total 2 5 2 2 3" xfId="2828" xr:uid="{00000000-0005-0000-0000-00000D0B0000}"/>
    <cellStyle name="Total 2 5 2 2 4" xfId="2829" xr:uid="{00000000-0005-0000-0000-00000E0B0000}"/>
    <cellStyle name="Total 2 5 2 2 5" xfId="2830" xr:uid="{00000000-0005-0000-0000-00000F0B0000}"/>
    <cellStyle name="Total 2 5 2 3" xfId="2831" xr:uid="{00000000-0005-0000-0000-0000100B0000}"/>
    <cellStyle name="Total 2 5 2 4" xfId="2832" xr:uid="{00000000-0005-0000-0000-0000110B0000}"/>
    <cellStyle name="Total 2 5 2 5" xfId="2833" xr:uid="{00000000-0005-0000-0000-0000120B0000}"/>
    <cellStyle name="Total 2 5 3" xfId="2834" xr:uid="{00000000-0005-0000-0000-0000130B0000}"/>
    <cellStyle name="Total 2 5 3 2" xfId="2835" xr:uid="{00000000-0005-0000-0000-0000140B0000}"/>
    <cellStyle name="Total 2 5 3 2 2" xfId="2836" xr:uid="{00000000-0005-0000-0000-0000150B0000}"/>
    <cellStyle name="Total 2 5 3 2 3" xfId="2837" xr:uid="{00000000-0005-0000-0000-0000160B0000}"/>
    <cellStyle name="Total 2 5 3 2 4" xfId="2838" xr:uid="{00000000-0005-0000-0000-0000170B0000}"/>
    <cellStyle name="Total 2 5 3 2 5" xfId="2839" xr:uid="{00000000-0005-0000-0000-0000180B0000}"/>
    <cellStyle name="Total 2 5 3 3" xfId="2840" xr:uid="{00000000-0005-0000-0000-0000190B0000}"/>
    <cellStyle name="Total 2 5 3 4" xfId="2841" xr:uid="{00000000-0005-0000-0000-00001A0B0000}"/>
    <cellStyle name="Total 2 5 3 5" xfId="2842" xr:uid="{00000000-0005-0000-0000-00001B0B0000}"/>
    <cellStyle name="Total 2 5 4" xfId="2843" xr:uid="{00000000-0005-0000-0000-00001C0B0000}"/>
    <cellStyle name="Total 2 5 4 2" xfId="2844" xr:uid="{00000000-0005-0000-0000-00001D0B0000}"/>
    <cellStyle name="Total 2 5 4 3" xfId="2845" xr:uid="{00000000-0005-0000-0000-00001E0B0000}"/>
    <cellStyle name="Total 2 5 4 4" xfId="2846" xr:uid="{00000000-0005-0000-0000-00001F0B0000}"/>
    <cellStyle name="Total 2 5 4 5" xfId="2847" xr:uid="{00000000-0005-0000-0000-0000200B0000}"/>
    <cellStyle name="Total 2 5 5" xfId="2848" xr:uid="{00000000-0005-0000-0000-0000210B0000}"/>
    <cellStyle name="Total 2 5 6" xfId="2849" xr:uid="{00000000-0005-0000-0000-0000220B0000}"/>
    <cellStyle name="Total 2 5 7" xfId="2850" xr:uid="{00000000-0005-0000-0000-0000230B0000}"/>
    <cellStyle name="Total 2 6" xfId="2851" xr:uid="{00000000-0005-0000-0000-0000240B0000}"/>
    <cellStyle name="Total 2 7" xfId="2852" xr:uid="{00000000-0005-0000-0000-0000250B0000}"/>
    <cellStyle name="Total 3" xfId="2853" xr:uid="{00000000-0005-0000-0000-0000260B0000}"/>
    <cellStyle name="Total 3 2" xfId="2854" xr:uid="{00000000-0005-0000-0000-0000270B0000}"/>
    <cellStyle name="Total 3 2 2" xfId="2855" xr:uid="{00000000-0005-0000-0000-0000280B0000}"/>
    <cellStyle name="Total 3 2 2 2" xfId="2856" xr:uid="{00000000-0005-0000-0000-0000290B0000}"/>
    <cellStyle name="Total 3 2 2 2 2" xfId="2857" xr:uid="{00000000-0005-0000-0000-00002A0B0000}"/>
    <cellStyle name="Total 3 2 2 2 2 2" xfId="2858" xr:uid="{00000000-0005-0000-0000-00002B0B0000}"/>
    <cellStyle name="Total 3 2 2 2 2 3" xfId="2859" xr:uid="{00000000-0005-0000-0000-00002C0B0000}"/>
    <cellStyle name="Total 3 2 2 2 2 4" xfId="2860" xr:uid="{00000000-0005-0000-0000-00002D0B0000}"/>
    <cellStyle name="Total 3 2 2 2 2 5" xfId="2861" xr:uid="{00000000-0005-0000-0000-00002E0B0000}"/>
    <cellStyle name="Total 3 2 2 2 3" xfId="2862" xr:uid="{00000000-0005-0000-0000-00002F0B0000}"/>
    <cellStyle name="Total 3 2 2 2 4" xfId="2863" xr:uid="{00000000-0005-0000-0000-0000300B0000}"/>
    <cellStyle name="Total 3 2 2 2 5" xfId="2864" xr:uid="{00000000-0005-0000-0000-0000310B0000}"/>
    <cellStyle name="Total 3 2 2 3" xfId="2865" xr:uid="{00000000-0005-0000-0000-0000320B0000}"/>
    <cellStyle name="Total 3 2 2 3 2" xfId="2866" xr:uid="{00000000-0005-0000-0000-0000330B0000}"/>
    <cellStyle name="Total 3 2 2 3 2 2" xfId="2867" xr:uid="{00000000-0005-0000-0000-0000340B0000}"/>
    <cellStyle name="Total 3 2 2 3 2 3" xfId="2868" xr:uid="{00000000-0005-0000-0000-0000350B0000}"/>
    <cellStyle name="Total 3 2 2 3 2 4" xfId="2869" xr:uid="{00000000-0005-0000-0000-0000360B0000}"/>
    <cellStyle name="Total 3 2 2 3 2 5" xfId="2870" xr:uid="{00000000-0005-0000-0000-0000370B0000}"/>
    <cellStyle name="Total 3 2 2 3 3" xfId="2871" xr:uid="{00000000-0005-0000-0000-0000380B0000}"/>
    <cellStyle name="Total 3 2 2 3 4" xfId="2872" xr:uid="{00000000-0005-0000-0000-0000390B0000}"/>
    <cellStyle name="Total 3 2 2 3 5" xfId="2873" xr:uid="{00000000-0005-0000-0000-00003A0B0000}"/>
    <cellStyle name="Total 3 2 2 4" xfId="2874" xr:uid="{00000000-0005-0000-0000-00003B0B0000}"/>
    <cellStyle name="Total 3 2 2 4 2" xfId="2875" xr:uid="{00000000-0005-0000-0000-00003C0B0000}"/>
    <cellStyle name="Total 3 2 2 4 3" xfId="2876" xr:uid="{00000000-0005-0000-0000-00003D0B0000}"/>
    <cellStyle name="Total 3 2 2 4 4" xfId="2877" xr:uid="{00000000-0005-0000-0000-00003E0B0000}"/>
    <cellStyle name="Total 3 2 2 4 5" xfId="2878" xr:uid="{00000000-0005-0000-0000-00003F0B0000}"/>
    <cellStyle name="Total 3 2 2 5" xfId="2879" xr:uid="{00000000-0005-0000-0000-0000400B0000}"/>
    <cellStyle name="Total 3 2 2 6" xfId="2880" xr:uid="{00000000-0005-0000-0000-0000410B0000}"/>
    <cellStyle name="Total 3 2 2 7" xfId="2881" xr:uid="{00000000-0005-0000-0000-0000420B0000}"/>
    <cellStyle name="Total 3 2 3" xfId="2882" xr:uid="{00000000-0005-0000-0000-0000430B0000}"/>
    <cellStyle name="Total 3 2 3 2" xfId="2883" xr:uid="{00000000-0005-0000-0000-0000440B0000}"/>
    <cellStyle name="Total 3 2 3 2 2" xfId="2884" xr:uid="{00000000-0005-0000-0000-0000450B0000}"/>
    <cellStyle name="Total 3 2 3 2 2 2" xfId="2885" xr:uid="{00000000-0005-0000-0000-0000460B0000}"/>
    <cellStyle name="Total 3 2 3 2 2 3" xfId="2886" xr:uid="{00000000-0005-0000-0000-0000470B0000}"/>
    <cellStyle name="Total 3 2 3 2 2 4" xfId="2887" xr:uid="{00000000-0005-0000-0000-0000480B0000}"/>
    <cellStyle name="Total 3 2 3 2 2 5" xfId="2888" xr:uid="{00000000-0005-0000-0000-0000490B0000}"/>
    <cellStyle name="Total 3 2 3 2 3" xfId="2889" xr:uid="{00000000-0005-0000-0000-00004A0B0000}"/>
    <cellStyle name="Total 3 2 3 2 4" xfId="2890" xr:uid="{00000000-0005-0000-0000-00004B0B0000}"/>
    <cellStyle name="Total 3 2 3 2 5" xfId="2891" xr:uid="{00000000-0005-0000-0000-00004C0B0000}"/>
    <cellStyle name="Total 3 2 3 3" xfId="2892" xr:uid="{00000000-0005-0000-0000-00004D0B0000}"/>
    <cellStyle name="Total 3 2 3 3 2" xfId="2893" xr:uid="{00000000-0005-0000-0000-00004E0B0000}"/>
    <cellStyle name="Total 3 2 3 3 2 2" xfId="2894" xr:uid="{00000000-0005-0000-0000-00004F0B0000}"/>
    <cellStyle name="Total 3 2 3 3 2 3" xfId="2895" xr:uid="{00000000-0005-0000-0000-0000500B0000}"/>
    <cellStyle name="Total 3 2 3 3 2 4" xfId="2896" xr:uid="{00000000-0005-0000-0000-0000510B0000}"/>
    <cellStyle name="Total 3 2 3 3 2 5" xfId="2897" xr:uid="{00000000-0005-0000-0000-0000520B0000}"/>
    <cellStyle name="Total 3 2 3 3 3" xfId="2898" xr:uid="{00000000-0005-0000-0000-0000530B0000}"/>
    <cellStyle name="Total 3 2 3 3 4" xfId="2899" xr:uid="{00000000-0005-0000-0000-0000540B0000}"/>
    <cellStyle name="Total 3 2 3 3 5" xfId="2900" xr:uid="{00000000-0005-0000-0000-0000550B0000}"/>
    <cellStyle name="Total 3 2 3 4" xfId="2901" xr:uid="{00000000-0005-0000-0000-0000560B0000}"/>
    <cellStyle name="Total 3 2 3 4 2" xfId="2902" xr:uid="{00000000-0005-0000-0000-0000570B0000}"/>
    <cellStyle name="Total 3 2 3 4 3" xfId="2903" xr:uid="{00000000-0005-0000-0000-0000580B0000}"/>
    <cellStyle name="Total 3 2 3 4 4" xfId="2904" xr:uid="{00000000-0005-0000-0000-0000590B0000}"/>
    <cellStyle name="Total 3 2 3 4 5" xfId="2905" xr:uid="{00000000-0005-0000-0000-00005A0B0000}"/>
    <cellStyle name="Total 3 2 3 5" xfId="2906" xr:uid="{00000000-0005-0000-0000-00005B0B0000}"/>
    <cellStyle name="Total 3 2 3 6" xfId="2907" xr:uid="{00000000-0005-0000-0000-00005C0B0000}"/>
    <cellStyle name="Total 3 2 3 7" xfId="2908" xr:uid="{00000000-0005-0000-0000-00005D0B0000}"/>
    <cellStyle name="Total 3 2 4" xfId="2909" xr:uid="{00000000-0005-0000-0000-00005E0B0000}"/>
    <cellStyle name="Total 3 2 4 2" xfId="2910" xr:uid="{00000000-0005-0000-0000-00005F0B0000}"/>
    <cellStyle name="Total 3 2 4 2 2" xfId="2911" xr:uid="{00000000-0005-0000-0000-0000600B0000}"/>
    <cellStyle name="Total 3 2 4 2 2 2" xfId="2912" xr:uid="{00000000-0005-0000-0000-0000610B0000}"/>
    <cellStyle name="Total 3 2 4 2 2 3" xfId="2913" xr:uid="{00000000-0005-0000-0000-0000620B0000}"/>
    <cellStyle name="Total 3 2 4 2 2 4" xfId="2914" xr:uid="{00000000-0005-0000-0000-0000630B0000}"/>
    <cellStyle name="Total 3 2 4 2 2 5" xfId="2915" xr:uid="{00000000-0005-0000-0000-0000640B0000}"/>
    <cellStyle name="Total 3 2 4 2 3" xfId="2916" xr:uid="{00000000-0005-0000-0000-0000650B0000}"/>
    <cellStyle name="Total 3 2 4 2 4" xfId="2917" xr:uid="{00000000-0005-0000-0000-0000660B0000}"/>
    <cellStyle name="Total 3 2 4 2 5" xfId="2918" xr:uid="{00000000-0005-0000-0000-0000670B0000}"/>
    <cellStyle name="Total 3 2 4 3" xfId="2919" xr:uid="{00000000-0005-0000-0000-0000680B0000}"/>
    <cellStyle name="Total 3 2 4 3 2" xfId="2920" xr:uid="{00000000-0005-0000-0000-0000690B0000}"/>
    <cellStyle name="Total 3 2 4 3 2 2" xfId="2921" xr:uid="{00000000-0005-0000-0000-00006A0B0000}"/>
    <cellStyle name="Total 3 2 4 3 2 3" xfId="2922" xr:uid="{00000000-0005-0000-0000-00006B0B0000}"/>
    <cellStyle name="Total 3 2 4 3 2 4" xfId="2923" xr:uid="{00000000-0005-0000-0000-00006C0B0000}"/>
    <cellStyle name="Total 3 2 4 3 2 5" xfId="2924" xr:uid="{00000000-0005-0000-0000-00006D0B0000}"/>
    <cellStyle name="Total 3 2 4 3 3" xfId="2925" xr:uid="{00000000-0005-0000-0000-00006E0B0000}"/>
    <cellStyle name="Total 3 2 4 3 4" xfId="2926" xr:uid="{00000000-0005-0000-0000-00006F0B0000}"/>
    <cellStyle name="Total 3 2 4 3 5" xfId="2927" xr:uid="{00000000-0005-0000-0000-0000700B0000}"/>
    <cellStyle name="Total 3 2 4 4" xfId="2928" xr:uid="{00000000-0005-0000-0000-0000710B0000}"/>
    <cellStyle name="Total 3 2 4 4 2" xfId="2929" xr:uid="{00000000-0005-0000-0000-0000720B0000}"/>
    <cellStyle name="Total 3 2 4 4 3" xfId="2930" xr:uid="{00000000-0005-0000-0000-0000730B0000}"/>
    <cellStyle name="Total 3 2 4 4 4" xfId="2931" xr:uid="{00000000-0005-0000-0000-0000740B0000}"/>
    <cellStyle name="Total 3 2 4 4 5" xfId="2932" xr:uid="{00000000-0005-0000-0000-0000750B0000}"/>
    <cellStyle name="Total 3 2 4 5" xfId="2933" xr:uid="{00000000-0005-0000-0000-0000760B0000}"/>
    <cellStyle name="Total 3 2 4 6" xfId="2934" xr:uid="{00000000-0005-0000-0000-0000770B0000}"/>
    <cellStyle name="Total 3 2 4 7" xfId="2935" xr:uid="{00000000-0005-0000-0000-0000780B0000}"/>
    <cellStyle name="Total 3 2 5" xfId="2936" xr:uid="{00000000-0005-0000-0000-0000790B0000}"/>
    <cellStyle name="Total 3 2 5 2" xfId="2937" xr:uid="{00000000-0005-0000-0000-00007A0B0000}"/>
    <cellStyle name="Total 3 2 5 2 2" xfId="2938" xr:uid="{00000000-0005-0000-0000-00007B0B0000}"/>
    <cellStyle name="Total 3 2 5 2 3" xfId="2939" xr:uid="{00000000-0005-0000-0000-00007C0B0000}"/>
    <cellStyle name="Total 3 2 5 2 4" xfId="2940" xr:uid="{00000000-0005-0000-0000-00007D0B0000}"/>
    <cellStyle name="Total 3 2 5 2 5" xfId="2941" xr:uid="{00000000-0005-0000-0000-00007E0B0000}"/>
    <cellStyle name="Total 3 2 5 3" xfId="2942" xr:uid="{00000000-0005-0000-0000-00007F0B0000}"/>
    <cellStyle name="Total 3 2 5 4" xfId="2943" xr:uid="{00000000-0005-0000-0000-0000800B0000}"/>
    <cellStyle name="Total 3 2 5 5" xfId="2944" xr:uid="{00000000-0005-0000-0000-0000810B0000}"/>
    <cellStyle name="Total 3 2 6" xfId="2945" xr:uid="{00000000-0005-0000-0000-0000820B0000}"/>
    <cellStyle name="Total 3 2 6 2" xfId="2946" xr:uid="{00000000-0005-0000-0000-0000830B0000}"/>
    <cellStyle name="Total 3 2 6 2 2" xfId="2947" xr:uid="{00000000-0005-0000-0000-0000840B0000}"/>
    <cellStyle name="Total 3 2 6 2 3" xfId="2948" xr:uid="{00000000-0005-0000-0000-0000850B0000}"/>
    <cellStyle name="Total 3 2 6 2 4" xfId="2949" xr:uid="{00000000-0005-0000-0000-0000860B0000}"/>
    <cellStyle name="Total 3 2 6 2 5" xfId="2950" xr:uid="{00000000-0005-0000-0000-0000870B0000}"/>
    <cellStyle name="Total 3 2 6 3" xfId="2951" xr:uid="{00000000-0005-0000-0000-0000880B0000}"/>
    <cellStyle name="Total 3 2 6 4" xfId="2952" xr:uid="{00000000-0005-0000-0000-0000890B0000}"/>
    <cellStyle name="Total 3 2 6 5" xfId="2953" xr:uid="{00000000-0005-0000-0000-00008A0B0000}"/>
    <cellStyle name="Total 3 2 7" xfId="2954" xr:uid="{00000000-0005-0000-0000-00008B0B0000}"/>
    <cellStyle name="Total 3 3" xfId="2955" xr:uid="{00000000-0005-0000-0000-00008C0B0000}"/>
    <cellStyle name="Total 3 3 2" xfId="2956" xr:uid="{00000000-0005-0000-0000-00008D0B0000}"/>
    <cellStyle name="Total 3 3 2 2" xfId="2957" xr:uid="{00000000-0005-0000-0000-00008E0B0000}"/>
    <cellStyle name="Total 3 3 2 2 2" xfId="2958" xr:uid="{00000000-0005-0000-0000-00008F0B0000}"/>
    <cellStyle name="Total 3 3 2 2 3" xfId="2959" xr:uid="{00000000-0005-0000-0000-0000900B0000}"/>
    <cellStyle name="Total 3 3 2 2 4" xfId="2960" xr:uid="{00000000-0005-0000-0000-0000910B0000}"/>
    <cellStyle name="Total 3 3 2 2 5" xfId="2961" xr:uid="{00000000-0005-0000-0000-0000920B0000}"/>
    <cellStyle name="Total 3 3 2 3" xfId="2962" xr:uid="{00000000-0005-0000-0000-0000930B0000}"/>
    <cellStyle name="Total 3 3 2 4" xfId="2963" xr:uid="{00000000-0005-0000-0000-0000940B0000}"/>
    <cellStyle name="Total 3 3 2 5" xfId="2964" xr:uid="{00000000-0005-0000-0000-0000950B0000}"/>
    <cellStyle name="Total 3 3 3" xfId="2965" xr:uid="{00000000-0005-0000-0000-0000960B0000}"/>
    <cellStyle name="Total 3 3 3 2" xfId="2966" xr:uid="{00000000-0005-0000-0000-0000970B0000}"/>
    <cellStyle name="Total 3 3 3 2 2" xfId="2967" xr:uid="{00000000-0005-0000-0000-0000980B0000}"/>
    <cellStyle name="Total 3 3 3 2 3" xfId="2968" xr:uid="{00000000-0005-0000-0000-0000990B0000}"/>
    <cellStyle name="Total 3 3 3 2 4" xfId="2969" xr:uid="{00000000-0005-0000-0000-00009A0B0000}"/>
    <cellStyle name="Total 3 3 3 2 5" xfId="2970" xr:uid="{00000000-0005-0000-0000-00009B0B0000}"/>
    <cellStyle name="Total 3 3 3 3" xfId="2971" xr:uid="{00000000-0005-0000-0000-00009C0B0000}"/>
    <cellStyle name="Total 3 3 3 4" xfId="2972" xr:uid="{00000000-0005-0000-0000-00009D0B0000}"/>
    <cellStyle name="Total 3 3 3 5" xfId="2973" xr:uid="{00000000-0005-0000-0000-00009E0B0000}"/>
    <cellStyle name="Total 3 3 4" xfId="2974" xr:uid="{00000000-0005-0000-0000-00009F0B0000}"/>
    <cellStyle name="Total 3 3 4 2" xfId="2975" xr:uid="{00000000-0005-0000-0000-0000A00B0000}"/>
    <cellStyle name="Total 3 3 4 3" xfId="2976" xr:uid="{00000000-0005-0000-0000-0000A10B0000}"/>
    <cellStyle name="Total 3 3 4 4" xfId="2977" xr:uid="{00000000-0005-0000-0000-0000A20B0000}"/>
    <cellStyle name="Total 3 3 4 5" xfId="2978" xr:uid="{00000000-0005-0000-0000-0000A30B0000}"/>
    <cellStyle name="Total 3 3 5" xfId="2979" xr:uid="{00000000-0005-0000-0000-0000A40B0000}"/>
    <cellStyle name="Total 3 3 6" xfId="2980" xr:uid="{00000000-0005-0000-0000-0000A50B0000}"/>
    <cellStyle name="Total 3 3 7" xfId="2981" xr:uid="{00000000-0005-0000-0000-0000A60B0000}"/>
    <cellStyle name="Total 3 4" xfId="2982" xr:uid="{00000000-0005-0000-0000-0000A70B0000}"/>
    <cellStyle name="Total 3 4 2" xfId="2983" xr:uid="{00000000-0005-0000-0000-0000A80B0000}"/>
    <cellStyle name="Total 3 4 2 2" xfId="2984" xr:uid="{00000000-0005-0000-0000-0000A90B0000}"/>
    <cellStyle name="Total 3 4 2 2 2" xfId="2985" xr:uid="{00000000-0005-0000-0000-0000AA0B0000}"/>
    <cellStyle name="Total 3 4 2 2 3" xfId="2986" xr:uid="{00000000-0005-0000-0000-0000AB0B0000}"/>
    <cellStyle name="Total 3 4 2 2 4" xfId="2987" xr:uid="{00000000-0005-0000-0000-0000AC0B0000}"/>
    <cellStyle name="Total 3 4 2 2 5" xfId="2988" xr:uid="{00000000-0005-0000-0000-0000AD0B0000}"/>
    <cellStyle name="Total 3 4 2 3" xfId="2989" xr:uid="{00000000-0005-0000-0000-0000AE0B0000}"/>
    <cellStyle name="Total 3 4 2 4" xfId="2990" xr:uid="{00000000-0005-0000-0000-0000AF0B0000}"/>
    <cellStyle name="Total 3 4 2 5" xfId="2991" xr:uid="{00000000-0005-0000-0000-0000B00B0000}"/>
    <cellStyle name="Total 3 4 3" xfId="2992" xr:uid="{00000000-0005-0000-0000-0000B10B0000}"/>
    <cellStyle name="Total 3 4 3 2" xfId="2993" xr:uid="{00000000-0005-0000-0000-0000B20B0000}"/>
    <cellStyle name="Total 3 4 3 2 2" xfId="2994" xr:uid="{00000000-0005-0000-0000-0000B30B0000}"/>
    <cellStyle name="Total 3 4 3 2 3" xfId="2995" xr:uid="{00000000-0005-0000-0000-0000B40B0000}"/>
    <cellStyle name="Total 3 4 3 2 4" xfId="2996" xr:uid="{00000000-0005-0000-0000-0000B50B0000}"/>
    <cellStyle name="Total 3 4 3 2 5" xfId="2997" xr:uid="{00000000-0005-0000-0000-0000B60B0000}"/>
    <cellStyle name="Total 3 4 3 3" xfId="2998" xr:uid="{00000000-0005-0000-0000-0000B70B0000}"/>
    <cellStyle name="Total 3 4 3 4" xfId="2999" xr:uid="{00000000-0005-0000-0000-0000B80B0000}"/>
    <cellStyle name="Total 3 4 3 5" xfId="3000" xr:uid="{00000000-0005-0000-0000-0000B90B0000}"/>
    <cellStyle name="Total 3 4 4" xfId="3001" xr:uid="{00000000-0005-0000-0000-0000BA0B0000}"/>
    <cellStyle name="Total 3 4 4 2" xfId="3002" xr:uid="{00000000-0005-0000-0000-0000BB0B0000}"/>
    <cellStyle name="Total 3 4 4 3" xfId="3003" xr:uid="{00000000-0005-0000-0000-0000BC0B0000}"/>
    <cellStyle name="Total 3 4 4 4" xfId="3004" xr:uid="{00000000-0005-0000-0000-0000BD0B0000}"/>
    <cellStyle name="Total 3 4 4 5" xfId="3005" xr:uid="{00000000-0005-0000-0000-0000BE0B0000}"/>
    <cellStyle name="Total 3 4 5" xfId="3006" xr:uid="{00000000-0005-0000-0000-0000BF0B0000}"/>
    <cellStyle name="Total 3 4 6" xfId="3007" xr:uid="{00000000-0005-0000-0000-0000C00B0000}"/>
    <cellStyle name="Total 3 4 7" xfId="3008" xr:uid="{00000000-0005-0000-0000-0000C10B0000}"/>
    <cellStyle name="Total 3 5" xfId="3009" xr:uid="{00000000-0005-0000-0000-0000C20B0000}"/>
    <cellStyle name="Total 3 5 2" xfId="3010" xr:uid="{00000000-0005-0000-0000-0000C30B0000}"/>
    <cellStyle name="Total 3 5 2 2" xfId="3011" xr:uid="{00000000-0005-0000-0000-0000C40B0000}"/>
    <cellStyle name="Total 3 5 2 2 2" xfId="3012" xr:uid="{00000000-0005-0000-0000-0000C50B0000}"/>
    <cellStyle name="Total 3 5 2 2 3" xfId="3013" xr:uid="{00000000-0005-0000-0000-0000C60B0000}"/>
    <cellStyle name="Total 3 5 2 2 4" xfId="3014" xr:uid="{00000000-0005-0000-0000-0000C70B0000}"/>
    <cellStyle name="Total 3 5 2 2 5" xfId="3015" xr:uid="{00000000-0005-0000-0000-0000C80B0000}"/>
    <cellStyle name="Total 3 5 2 3" xfId="3016" xr:uid="{00000000-0005-0000-0000-0000C90B0000}"/>
    <cellStyle name="Total 3 5 2 4" xfId="3017" xr:uid="{00000000-0005-0000-0000-0000CA0B0000}"/>
    <cellStyle name="Total 3 5 2 5" xfId="3018" xr:uid="{00000000-0005-0000-0000-0000CB0B0000}"/>
    <cellStyle name="Total 3 5 3" xfId="3019" xr:uid="{00000000-0005-0000-0000-0000CC0B0000}"/>
    <cellStyle name="Total 3 5 3 2" xfId="3020" xr:uid="{00000000-0005-0000-0000-0000CD0B0000}"/>
    <cellStyle name="Total 3 5 3 2 2" xfId="3021" xr:uid="{00000000-0005-0000-0000-0000CE0B0000}"/>
    <cellStyle name="Total 3 5 3 2 3" xfId="3022" xr:uid="{00000000-0005-0000-0000-0000CF0B0000}"/>
    <cellStyle name="Total 3 5 3 2 4" xfId="3023" xr:uid="{00000000-0005-0000-0000-0000D00B0000}"/>
    <cellStyle name="Total 3 5 3 2 5" xfId="3024" xr:uid="{00000000-0005-0000-0000-0000D10B0000}"/>
    <cellStyle name="Total 3 5 3 3" xfId="3025" xr:uid="{00000000-0005-0000-0000-0000D20B0000}"/>
    <cellStyle name="Total 3 5 3 4" xfId="3026" xr:uid="{00000000-0005-0000-0000-0000D30B0000}"/>
    <cellStyle name="Total 3 5 3 5" xfId="3027" xr:uid="{00000000-0005-0000-0000-0000D40B0000}"/>
    <cellStyle name="Total 3 5 4" xfId="3028" xr:uid="{00000000-0005-0000-0000-0000D50B0000}"/>
    <cellStyle name="Total 3 5 4 2" xfId="3029" xr:uid="{00000000-0005-0000-0000-0000D60B0000}"/>
    <cellStyle name="Total 3 5 4 3" xfId="3030" xr:uid="{00000000-0005-0000-0000-0000D70B0000}"/>
    <cellStyle name="Total 3 5 4 4" xfId="3031" xr:uid="{00000000-0005-0000-0000-0000D80B0000}"/>
    <cellStyle name="Total 3 5 4 5" xfId="3032" xr:uid="{00000000-0005-0000-0000-0000D90B0000}"/>
    <cellStyle name="Total 3 5 5" xfId="3033" xr:uid="{00000000-0005-0000-0000-0000DA0B0000}"/>
    <cellStyle name="Total 3 5 6" xfId="3034" xr:uid="{00000000-0005-0000-0000-0000DB0B0000}"/>
    <cellStyle name="Total 3 5 7" xfId="3035" xr:uid="{00000000-0005-0000-0000-0000DC0B0000}"/>
    <cellStyle name="Total 3 6" xfId="3036" xr:uid="{00000000-0005-0000-0000-0000DD0B0000}"/>
    <cellStyle name="Units" xfId="3037" xr:uid="{00000000-0005-0000-0000-0000DE0B0000}"/>
    <cellStyle name="Warning Text 2" xfId="3038" xr:uid="{00000000-0005-0000-0000-0000DF0B0000}"/>
    <cellStyle name="Warning Text 2 2" xfId="3039" xr:uid="{00000000-0005-0000-0000-0000E00B0000}"/>
    <cellStyle name="Warning Text 2 3" xfId="3040" xr:uid="{00000000-0005-0000-0000-0000E10B0000}"/>
    <cellStyle name="Warning Text 3" xfId="3041" xr:uid="{00000000-0005-0000-0000-0000E20B0000}"/>
    <cellStyle name="Warning Text 3 2" xfId="3042" xr:uid="{00000000-0005-0000-0000-0000E30B0000}"/>
  </cellStyles>
  <dxfs count="0"/>
  <tableStyles count="0" defaultTableStyle="TableStyleMedium2" defaultPivotStyle="PivotStyleLight16"/>
  <colors>
    <mruColors>
      <color rgb="FF811644"/>
      <color rgb="FFCCFFFF"/>
      <color rgb="FFF2B4CF"/>
      <color rgb="FFA41C56"/>
      <color rgb="FFDA2673"/>
      <color rgb="FFE14D8C"/>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wuk\jobs\Documents%20and%20Settings\hamilf\Desktop\Overall%20Efficiency97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97 Efficiency"/>
      <sheetName val="Dec97 Meter"/>
      <sheetName val="Jan98 Efficiency"/>
      <sheetName val="Jan98 Meter"/>
      <sheetName val="Feb98 Efficiency"/>
      <sheetName val="Feb98 Meter"/>
      <sheetName val="mar 98 eff"/>
      <sheetName val="mar98 meter"/>
      <sheetName val="Apr98 eff"/>
      <sheetName val="apr98 meter"/>
      <sheetName val="may98 eff"/>
      <sheetName val="May98 meter"/>
      <sheetName val="Oct98eff"/>
      <sheetName val="Oct98 meter"/>
      <sheetName val="Nov98 eff"/>
      <sheetName val="Nov98 meter"/>
      <sheetName val="Dec98 eff"/>
      <sheetName val="Dec98 meter"/>
      <sheetName val="Jan99 eff"/>
      <sheetName val="Jan99 meter"/>
      <sheetName val="Feb99 eff"/>
      <sheetName val="Feb99 meter"/>
      <sheetName val="Mar99 eff"/>
      <sheetName val="Mar99 meter"/>
      <sheetName val="Apr99 eff"/>
      <sheetName val="Apr99 meter"/>
      <sheetName val="May99 eff"/>
      <sheetName val="May99 meter"/>
      <sheetName val="Efficiency"/>
      <sheetName val="march98"/>
      <sheetName val="Nov99 eff"/>
      <sheetName val="Nov99 meter"/>
      <sheetName val="Nov099 meter"/>
      <sheetName val="Nov0599 meter"/>
      <sheetName val="Nov059 meter"/>
      <sheetName val="Nov05 meter"/>
    </sheetNames>
    <sheetDataSet>
      <sheetData sheetId="0" refreshError="1">
        <row r="5">
          <cell r="B5">
            <v>35765</v>
          </cell>
          <cell r="C5">
            <v>35766</v>
          </cell>
          <cell r="D5">
            <v>35767</v>
          </cell>
          <cell r="E5">
            <v>35768</v>
          </cell>
          <cell r="F5">
            <v>35769</v>
          </cell>
          <cell r="G5">
            <v>35770</v>
          </cell>
          <cell r="H5">
            <v>35771</v>
          </cell>
          <cell r="I5">
            <v>35772</v>
          </cell>
          <cell r="J5">
            <v>35773</v>
          </cell>
          <cell r="K5">
            <v>35774</v>
          </cell>
          <cell r="L5">
            <v>35775</v>
          </cell>
          <cell r="M5">
            <v>35776</v>
          </cell>
          <cell r="N5">
            <v>35777</v>
          </cell>
          <cell r="O5">
            <v>35778</v>
          </cell>
          <cell r="P5">
            <v>35779</v>
          </cell>
          <cell r="Q5">
            <v>35780</v>
          </cell>
          <cell r="R5">
            <v>35781</v>
          </cell>
          <cell r="S5">
            <v>35782</v>
          </cell>
          <cell r="T5">
            <v>35783</v>
          </cell>
          <cell r="U5">
            <v>35784</v>
          </cell>
          <cell r="V5">
            <v>35785</v>
          </cell>
          <cell r="W5">
            <v>35786</v>
          </cell>
          <cell r="X5">
            <v>35787</v>
          </cell>
          <cell r="Y5">
            <v>35788</v>
          </cell>
          <cell r="Z5">
            <v>35789</v>
          </cell>
          <cell r="AA5">
            <v>35790</v>
          </cell>
          <cell r="AB5">
            <v>35791</v>
          </cell>
          <cell r="AC5">
            <v>35792</v>
          </cell>
          <cell r="AD5">
            <v>35793</v>
          </cell>
          <cell r="AE5">
            <v>35794</v>
          </cell>
          <cell r="AF5">
            <v>35795</v>
          </cell>
        </row>
        <row r="35">
          <cell r="B35">
            <v>0.80401680231031891</v>
          </cell>
          <cell r="C35">
            <v>0.80247189835975696</v>
          </cell>
          <cell r="D35">
            <v>0.74961994880771066</v>
          </cell>
          <cell r="E35">
            <v>0.79215174493899387</v>
          </cell>
          <cell r="F35">
            <v>0.79423650778912624</v>
          </cell>
          <cell r="G35">
            <v>0.76880589196956062</v>
          </cell>
          <cell r="H35">
            <v>0.80099471650157539</v>
          </cell>
          <cell r="I35">
            <v>0.78909731777082703</v>
          </cell>
          <cell r="J35">
            <v>0.75937953227677712</v>
          </cell>
          <cell r="K35">
            <v>0.83035501506286702</v>
          </cell>
          <cell r="L35">
            <v>0.75913942351174635</v>
          </cell>
          <cell r="M35">
            <v>0.93570819331727506</v>
          </cell>
          <cell r="N35">
            <v>0.78004142274519395</v>
          </cell>
          <cell r="O35">
            <v>0.76405067704681096</v>
          </cell>
          <cell r="P35">
            <v>0.79929864046646459</v>
          </cell>
          <cell r="Q35">
            <v>0.83398077547964389</v>
          </cell>
          <cell r="R35">
            <v>1.3445779032516514</v>
          </cell>
          <cell r="S35">
            <v>4.555259037092843</v>
          </cell>
          <cell r="T35">
            <v>0.84510192402527695</v>
          </cell>
          <cell r="U35">
            <v>0.85843169162461952</v>
          </cell>
          <cell r="V35">
            <v>0.78636351291406459</v>
          </cell>
          <cell r="W35">
            <v>0.78637985182855108</v>
          </cell>
          <cell r="X35">
            <v>0.84703757422384574</v>
          </cell>
          <cell r="Y35">
            <v>0.83031793658002706</v>
          </cell>
          <cell r="Z35">
            <v>0.78939554941990819</v>
          </cell>
          <cell r="AA35">
            <v>0.80214565686992911</v>
          </cell>
          <cell r="AB35">
            <v>0.79704880653966292</v>
          </cell>
          <cell r="AC35">
            <v>0.79664537837234184</v>
          </cell>
          <cell r="AD35">
            <v>0.80764087858973299</v>
          </cell>
          <cell r="AE35">
            <v>0.78481315628849779</v>
          </cell>
          <cell r="AF35">
            <v>0.81984639756764355</v>
          </cell>
        </row>
      </sheetData>
      <sheetData sheetId="1" refreshError="1"/>
      <sheetData sheetId="2" refreshError="1"/>
      <sheetData sheetId="3" refreshError="1"/>
      <sheetData sheetId="4" refreshError="1"/>
      <sheetData sheetId="5" refreshError="1"/>
      <sheetData sheetId="6" refreshError="1">
        <row r="35">
          <cell r="B35">
            <v>0.79395412725602299</v>
          </cell>
          <cell r="C35">
            <v>0.73294879182251804</v>
          </cell>
          <cell r="D35">
            <v>0.84611434896770299</v>
          </cell>
          <cell r="E35">
            <v>0.79273849906223071</v>
          </cell>
          <cell r="F35">
            <v>0.61021275316033496</v>
          </cell>
          <cell r="G35">
            <v>0.82458717073305299</v>
          </cell>
          <cell r="H35">
            <v>0</v>
          </cell>
          <cell r="I35">
            <v>0</v>
          </cell>
          <cell r="J35">
            <v>0</v>
          </cell>
          <cell r="K35">
            <v>0</v>
          </cell>
          <cell r="L35">
            <v>0.36344036827121418</v>
          </cell>
          <cell r="M35">
            <v>0.79758575387363062</v>
          </cell>
          <cell r="N35">
            <v>0.84439199386679253</v>
          </cell>
          <cell r="O35">
            <v>0.74224248418166594</v>
          </cell>
          <cell r="P35">
            <v>0.80334706736462769</v>
          </cell>
          <cell r="Q35">
            <v>0.81887851936328426</v>
          </cell>
          <cell r="R35">
            <v>0.73068247129680486</v>
          </cell>
          <cell r="S35">
            <v>0.85119761988797238</v>
          </cell>
          <cell r="T35">
            <v>0.81220121394491185</v>
          </cell>
          <cell r="U35">
            <v>0.79703740049148186</v>
          </cell>
          <cell r="V35">
            <v>0.80026369352799864</v>
          </cell>
          <cell r="W35">
            <v>0.78737254174172988</v>
          </cell>
          <cell r="X35">
            <v>0.78000111807826655</v>
          </cell>
          <cell r="Y35">
            <v>0.78951669708633088</v>
          </cell>
          <cell r="Z35">
            <v>0.79200172619776243</v>
          </cell>
          <cell r="AA35">
            <v>0.79119765686532684</v>
          </cell>
          <cell r="AB35">
            <v>0.69175968348873329</v>
          </cell>
          <cell r="AC35">
            <v>0.7964589449231011</v>
          </cell>
          <cell r="AD35">
            <v>0.78772264113144674</v>
          </cell>
          <cell r="AE35">
            <v>0.78732042761145959</v>
          </cell>
          <cell r="AF35">
            <v>0.78685330352554883</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811644"/>
  </sheetPr>
  <dimension ref="A1:XFD23"/>
  <sheetViews>
    <sheetView zoomScale="85" zoomScaleNormal="85" workbookViewId="0">
      <selection activeCell="N15" sqref="N15"/>
    </sheetView>
  </sheetViews>
  <sheetFormatPr defaultColWidth="9.140625" defaultRowHeight="12.75"/>
  <cols>
    <col min="1" max="1" width="17.28515625" style="152" customWidth="1"/>
    <col min="2" max="2" width="21" style="152" customWidth="1"/>
    <col min="3" max="16384" width="9.140625" style="152"/>
  </cols>
  <sheetData>
    <row r="1" spans="1:16384" s="153" customFormat="1" ht="40.5" customHeight="1">
      <c r="A1" s="351" t="s">
        <v>240</v>
      </c>
      <c r="B1" s="351"/>
      <c r="C1" s="351"/>
      <c r="D1" s="351"/>
      <c r="E1" s="351"/>
      <c r="F1" s="351"/>
      <c r="G1" s="351"/>
      <c r="H1" s="351"/>
      <c r="I1" s="351"/>
      <c r="J1" s="351"/>
    </row>
    <row r="2" spans="1:16384" ht="24.95" customHeight="1">
      <c r="A2" s="350" t="s">
        <v>87</v>
      </c>
      <c r="B2" s="350"/>
      <c r="C2" s="350"/>
      <c r="D2" s="350"/>
      <c r="E2" s="350"/>
      <c r="F2" s="350"/>
      <c r="G2" s="350"/>
      <c r="H2" s="350"/>
      <c r="I2" s="350"/>
      <c r="J2" s="350"/>
      <c r="K2" s="350"/>
      <c r="L2" s="350"/>
    </row>
    <row r="3" spans="1:16384" ht="72.75" customHeight="1">
      <c r="A3" s="348" t="s">
        <v>241</v>
      </c>
      <c r="B3" s="348"/>
      <c r="C3" s="348"/>
      <c r="D3" s="348"/>
      <c r="E3" s="348"/>
      <c r="F3" s="348"/>
      <c r="G3" s="348"/>
      <c r="H3" s="348"/>
      <c r="I3" s="348"/>
      <c r="J3" s="348"/>
      <c r="K3" s="348"/>
      <c r="L3" s="348"/>
    </row>
    <row r="4" spans="1:16384" ht="48" customHeight="1">
      <c r="A4" s="348" t="s">
        <v>258</v>
      </c>
      <c r="B4" s="348"/>
      <c r="C4" s="348"/>
      <c r="D4" s="348"/>
      <c r="E4" s="348"/>
      <c r="F4" s="348"/>
      <c r="G4" s="348"/>
      <c r="H4" s="348"/>
      <c r="I4" s="348"/>
      <c r="J4" s="348"/>
      <c r="K4" s="348"/>
      <c r="L4" s="348"/>
    </row>
    <row r="5" spans="1:16384" ht="81" customHeight="1">
      <c r="A5" s="348" t="s">
        <v>232</v>
      </c>
      <c r="B5" s="348"/>
      <c r="C5" s="348"/>
      <c r="D5" s="348"/>
      <c r="E5" s="348"/>
      <c r="F5" s="348"/>
      <c r="G5" s="348"/>
      <c r="H5" s="348"/>
      <c r="I5" s="348"/>
      <c r="J5" s="348"/>
      <c r="K5" s="348"/>
      <c r="L5" s="348"/>
    </row>
    <row r="6" spans="1:16384" ht="52.5" customHeight="1">
      <c r="A6" s="348" t="s">
        <v>233</v>
      </c>
      <c r="B6" s="348"/>
      <c r="C6" s="348"/>
      <c r="D6" s="348"/>
      <c r="E6" s="348"/>
      <c r="F6" s="348"/>
      <c r="G6" s="348"/>
      <c r="H6" s="348"/>
      <c r="I6" s="348"/>
      <c r="J6" s="348"/>
      <c r="K6" s="348"/>
      <c r="L6" s="348"/>
    </row>
    <row r="7" spans="1:16384" ht="53.25" customHeight="1">
      <c r="A7" s="348" t="s">
        <v>239</v>
      </c>
      <c r="B7" s="348"/>
      <c r="C7" s="348"/>
      <c r="D7" s="348"/>
      <c r="E7" s="348"/>
      <c r="F7" s="348"/>
      <c r="G7" s="348"/>
      <c r="H7" s="348"/>
      <c r="I7" s="348"/>
      <c r="J7" s="348"/>
      <c r="K7" s="348"/>
      <c r="L7" s="348"/>
    </row>
    <row r="8" spans="1:16384" ht="33" customHeight="1">
      <c r="A8" s="348" t="s">
        <v>234</v>
      </c>
      <c r="B8" s="348"/>
      <c r="C8" s="348"/>
      <c r="D8" s="348"/>
      <c r="E8" s="348"/>
      <c r="F8" s="348"/>
      <c r="G8" s="348"/>
      <c r="H8" s="348"/>
      <c r="I8" s="348"/>
      <c r="J8" s="348"/>
      <c r="K8" s="348"/>
      <c r="L8" s="348"/>
    </row>
    <row r="9" spans="1:16384" ht="36.75" customHeight="1">
      <c r="A9" s="349" t="s">
        <v>235</v>
      </c>
      <c r="B9" s="348"/>
      <c r="C9" s="348"/>
      <c r="D9" s="348"/>
      <c r="E9" s="348"/>
      <c r="F9" s="348"/>
      <c r="G9" s="348"/>
      <c r="H9" s="348"/>
      <c r="I9" s="348"/>
      <c r="J9" s="348"/>
      <c r="K9" s="348"/>
      <c r="L9" s="348"/>
    </row>
    <row r="10" spans="1:16384" ht="36.75" customHeight="1">
      <c r="A10" s="350" t="s">
        <v>86</v>
      </c>
      <c r="B10" s="350"/>
      <c r="C10" s="350"/>
      <c r="D10" s="350"/>
      <c r="E10" s="350"/>
      <c r="F10" s="350"/>
      <c r="G10" s="350"/>
      <c r="H10" s="350"/>
      <c r="I10" s="350"/>
      <c r="J10" s="350"/>
      <c r="K10" s="350"/>
      <c r="L10" s="350"/>
    </row>
    <row r="11" spans="1:16384" ht="33" customHeight="1">
      <c r="A11" s="348" t="s">
        <v>236</v>
      </c>
      <c r="B11" s="348"/>
      <c r="C11" s="348"/>
      <c r="D11" s="348"/>
      <c r="E11" s="348"/>
      <c r="F11" s="348"/>
      <c r="G11" s="348"/>
      <c r="H11" s="348"/>
      <c r="I11" s="348"/>
      <c r="J11" s="348"/>
      <c r="K11" s="348"/>
      <c r="L11" s="154"/>
      <c r="M11" s="348"/>
      <c r="N11" s="348"/>
      <c r="O11" s="348"/>
      <c r="P11" s="348"/>
      <c r="Q11" s="348"/>
      <c r="R11" s="348"/>
      <c r="S11" s="348"/>
      <c r="T11" s="348"/>
      <c r="U11" s="348"/>
      <c r="V11" s="348"/>
      <c r="W11" s="348"/>
      <c r="X11" s="348"/>
      <c r="Y11" s="348"/>
      <c r="Z11" s="348"/>
      <c r="AA11" s="348"/>
      <c r="AB11" s="348"/>
      <c r="AC11" s="348"/>
      <c r="AD11" s="348"/>
      <c r="AE11" s="348"/>
      <c r="AF11" s="348"/>
      <c r="AG11" s="348"/>
      <c r="AH11" s="348"/>
      <c r="AI11" s="348"/>
      <c r="AJ11" s="348"/>
      <c r="AK11" s="348"/>
      <c r="AL11" s="348"/>
      <c r="AM11" s="348"/>
      <c r="AN11" s="348"/>
      <c r="AO11" s="348"/>
      <c r="AP11" s="348"/>
      <c r="AQ11" s="348"/>
      <c r="AR11" s="348"/>
      <c r="AS11" s="348"/>
      <c r="AT11" s="348"/>
      <c r="AU11" s="348"/>
      <c r="AV11" s="348"/>
      <c r="AW11" s="348"/>
      <c r="AX11" s="348"/>
      <c r="AY11" s="348"/>
      <c r="AZ11" s="348"/>
      <c r="BA11" s="348"/>
      <c r="BB11" s="348"/>
      <c r="BC11" s="348"/>
      <c r="BD11" s="348"/>
      <c r="BE11" s="348"/>
      <c r="BF11" s="348"/>
      <c r="BG11" s="348"/>
      <c r="BH11" s="348"/>
      <c r="BI11" s="348"/>
      <c r="BJ11" s="348"/>
      <c r="BK11" s="348"/>
      <c r="BL11" s="348"/>
      <c r="BM11" s="348"/>
      <c r="BN11" s="348"/>
      <c r="BO11" s="348"/>
      <c r="BP11" s="348"/>
      <c r="BQ11" s="348"/>
      <c r="BR11" s="348"/>
      <c r="BS11" s="348"/>
      <c r="BT11" s="348"/>
      <c r="BU11" s="348"/>
      <c r="BV11" s="348"/>
      <c r="BW11" s="348"/>
      <c r="BX11" s="348"/>
      <c r="BY11" s="348"/>
      <c r="BZ11" s="348"/>
      <c r="CA11" s="348"/>
      <c r="CB11" s="348"/>
      <c r="CC11" s="348"/>
      <c r="CD11" s="348"/>
      <c r="CE11" s="348"/>
      <c r="CF11" s="348"/>
      <c r="CG11" s="348"/>
      <c r="CH11" s="348"/>
      <c r="CI11" s="348"/>
      <c r="CJ11" s="348"/>
      <c r="CK11" s="348"/>
      <c r="CL11" s="348"/>
      <c r="CM11" s="348"/>
      <c r="CN11" s="348"/>
      <c r="CO11" s="348"/>
      <c r="CP11" s="348"/>
      <c r="CQ11" s="348"/>
      <c r="CR11" s="348"/>
      <c r="CS11" s="348"/>
      <c r="CT11" s="348"/>
      <c r="CU11" s="348"/>
      <c r="CV11" s="348"/>
      <c r="CW11" s="348"/>
      <c r="CX11" s="348"/>
      <c r="CY11" s="348"/>
      <c r="CZ11" s="348"/>
      <c r="DA11" s="348"/>
      <c r="DB11" s="348"/>
      <c r="DC11" s="348"/>
      <c r="DD11" s="348"/>
      <c r="DE11" s="348"/>
      <c r="DF11" s="348"/>
      <c r="DG11" s="348"/>
      <c r="DH11" s="348"/>
      <c r="DI11" s="348"/>
      <c r="DJ11" s="348"/>
      <c r="DK11" s="348"/>
      <c r="DL11" s="348"/>
      <c r="DM11" s="348"/>
      <c r="DN11" s="348"/>
      <c r="DO11" s="348"/>
      <c r="DP11" s="348"/>
      <c r="DQ11" s="348"/>
      <c r="DR11" s="348"/>
      <c r="DS11" s="348"/>
      <c r="DT11" s="348"/>
      <c r="DU11" s="348"/>
      <c r="DV11" s="348"/>
      <c r="DW11" s="348"/>
      <c r="DX11" s="348"/>
      <c r="DY11" s="348"/>
      <c r="DZ11" s="348"/>
      <c r="EA11" s="348"/>
      <c r="EB11" s="348"/>
      <c r="EC11" s="348"/>
      <c r="ED11" s="348"/>
      <c r="EE11" s="348"/>
      <c r="EF11" s="348"/>
      <c r="EG11" s="348"/>
      <c r="EH11" s="348"/>
      <c r="EI11" s="348"/>
      <c r="EJ11" s="348"/>
      <c r="EK11" s="348"/>
      <c r="EL11" s="348"/>
      <c r="EM11" s="348"/>
      <c r="EN11" s="348"/>
      <c r="EO11" s="348"/>
      <c r="EP11" s="348"/>
      <c r="EQ11" s="348"/>
      <c r="ER11" s="348"/>
      <c r="ES11" s="348"/>
      <c r="ET11" s="348"/>
      <c r="EU11" s="348"/>
      <c r="EV11" s="348"/>
      <c r="EW11" s="348"/>
      <c r="EX11" s="348"/>
      <c r="EY11" s="348"/>
      <c r="EZ11" s="348"/>
      <c r="FA11" s="348"/>
      <c r="FB11" s="348"/>
      <c r="FC11" s="348"/>
      <c r="FD11" s="348"/>
      <c r="FE11" s="348"/>
      <c r="FF11" s="348"/>
      <c r="FG11" s="348"/>
      <c r="FH11" s="348"/>
      <c r="FI11" s="348"/>
      <c r="FJ11" s="348"/>
      <c r="FK11" s="348"/>
      <c r="FL11" s="348"/>
      <c r="FM11" s="348"/>
      <c r="FN11" s="348"/>
      <c r="FO11" s="348"/>
      <c r="FP11" s="348"/>
      <c r="FQ11" s="348"/>
      <c r="FR11" s="348"/>
      <c r="FS11" s="348"/>
      <c r="FT11" s="348"/>
      <c r="FU11" s="348"/>
      <c r="FV11" s="348"/>
      <c r="FW11" s="348"/>
      <c r="FX11" s="348"/>
      <c r="FY11" s="348"/>
      <c r="FZ11" s="348"/>
      <c r="GA11" s="348"/>
      <c r="GB11" s="348"/>
      <c r="GC11" s="348"/>
      <c r="GD11" s="348"/>
      <c r="GE11" s="348"/>
      <c r="GF11" s="348"/>
      <c r="GG11" s="348"/>
      <c r="GH11" s="348"/>
      <c r="GI11" s="348"/>
      <c r="GJ11" s="348"/>
      <c r="GK11" s="348"/>
      <c r="GL11" s="348"/>
      <c r="GM11" s="348"/>
      <c r="GN11" s="348"/>
      <c r="GO11" s="348"/>
      <c r="GP11" s="348"/>
      <c r="GQ11" s="348"/>
      <c r="GR11" s="348"/>
      <c r="GS11" s="348"/>
      <c r="GT11" s="348"/>
      <c r="GU11" s="348"/>
      <c r="GV11" s="348"/>
      <c r="GW11" s="348"/>
      <c r="GX11" s="348"/>
      <c r="GY11" s="348"/>
      <c r="GZ11" s="348"/>
      <c r="HA11" s="348"/>
      <c r="HB11" s="348"/>
      <c r="HC11" s="348"/>
      <c r="HD11" s="348"/>
      <c r="HE11" s="348"/>
      <c r="HF11" s="348"/>
      <c r="HG11" s="348"/>
      <c r="HH11" s="348"/>
      <c r="HI11" s="348"/>
      <c r="HJ11" s="348"/>
      <c r="HK11" s="348"/>
      <c r="HL11" s="348"/>
      <c r="HM11" s="348"/>
      <c r="HN11" s="348"/>
      <c r="HO11" s="348"/>
      <c r="HP11" s="348"/>
      <c r="HQ11" s="348"/>
      <c r="HR11" s="348"/>
      <c r="HS11" s="348"/>
      <c r="HT11" s="348"/>
      <c r="HU11" s="348"/>
      <c r="HV11" s="348"/>
      <c r="HW11" s="348"/>
      <c r="HX11" s="348"/>
      <c r="HY11" s="348"/>
      <c r="HZ11" s="348"/>
      <c r="IA11" s="348"/>
      <c r="IB11" s="348"/>
      <c r="IC11" s="348"/>
      <c r="ID11" s="348"/>
      <c r="IE11" s="348"/>
      <c r="IF11" s="348"/>
      <c r="IG11" s="348"/>
      <c r="IH11" s="348"/>
      <c r="II11" s="348"/>
      <c r="IJ11" s="348"/>
      <c r="IK11" s="348"/>
      <c r="IL11" s="348"/>
      <c r="IM11" s="348"/>
      <c r="IN11" s="348"/>
      <c r="IO11" s="348"/>
      <c r="IP11" s="348"/>
      <c r="IQ11" s="348"/>
      <c r="IR11" s="348"/>
      <c r="IS11" s="348"/>
      <c r="IT11" s="348"/>
      <c r="IU11" s="348"/>
      <c r="IV11" s="348"/>
      <c r="IW11" s="348"/>
      <c r="IX11" s="348"/>
      <c r="IY11" s="348"/>
      <c r="IZ11" s="348"/>
      <c r="JA11" s="348"/>
      <c r="JB11" s="348"/>
      <c r="JC11" s="348"/>
      <c r="JD11" s="348"/>
      <c r="JE11" s="348"/>
      <c r="JF11" s="348"/>
      <c r="JG11" s="348"/>
      <c r="JH11" s="348"/>
      <c r="JI11" s="348"/>
      <c r="JJ11" s="348"/>
      <c r="JK11" s="348"/>
      <c r="JL11" s="348"/>
      <c r="JM11" s="348"/>
      <c r="JN11" s="348"/>
      <c r="JO11" s="348"/>
      <c r="JP11" s="348"/>
      <c r="JQ11" s="348"/>
      <c r="JR11" s="348"/>
      <c r="JS11" s="348"/>
      <c r="JT11" s="348"/>
      <c r="JU11" s="348"/>
      <c r="JV11" s="348"/>
      <c r="JW11" s="348"/>
      <c r="JX11" s="348"/>
      <c r="JY11" s="348"/>
      <c r="JZ11" s="348"/>
      <c r="KA11" s="348"/>
      <c r="KB11" s="348"/>
      <c r="KC11" s="348"/>
      <c r="KD11" s="348"/>
      <c r="KE11" s="348"/>
      <c r="KF11" s="348"/>
      <c r="KG11" s="348"/>
      <c r="KH11" s="348"/>
      <c r="KI11" s="348"/>
      <c r="KJ11" s="348"/>
      <c r="KK11" s="348"/>
      <c r="KL11" s="348"/>
      <c r="KM11" s="348"/>
      <c r="KN11" s="348"/>
      <c r="KO11" s="348"/>
      <c r="KP11" s="348"/>
      <c r="KQ11" s="348"/>
      <c r="KR11" s="348"/>
      <c r="KS11" s="348"/>
      <c r="KT11" s="348"/>
      <c r="KU11" s="348"/>
      <c r="KV11" s="348"/>
      <c r="KW11" s="348"/>
      <c r="KX11" s="348"/>
      <c r="KY11" s="348"/>
      <c r="KZ11" s="348"/>
      <c r="LA11" s="348"/>
      <c r="LB11" s="348"/>
      <c r="LC11" s="348"/>
      <c r="LD11" s="348"/>
      <c r="LE11" s="348"/>
      <c r="LF11" s="348"/>
      <c r="LG11" s="348"/>
      <c r="LH11" s="348"/>
      <c r="LI11" s="348"/>
      <c r="LJ11" s="348"/>
      <c r="LK11" s="348"/>
      <c r="LL11" s="348"/>
      <c r="LM11" s="348"/>
      <c r="LN11" s="348"/>
      <c r="LO11" s="348"/>
      <c r="LP11" s="348"/>
      <c r="LQ11" s="348"/>
      <c r="LR11" s="348"/>
      <c r="LS11" s="348"/>
      <c r="LT11" s="348"/>
      <c r="LU11" s="348"/>
      <c r="LV11" s="348"/>
      <c r="LW11" s="348"/>
      <c r="LX11" s="348"/>
      <c r="LY11" s="348"/>
      <c r="LZ11" s="348"/>
      <c r="MA11" s="348"/>
      <c r="MB11" s="348"/>
      <c r="MC11" s="348"/>
      <c r="MD11" s="348"/>
      <c r="ME11" s="348"/>
      <c r="MF11" s="348"/>
      <c r="MG11" s="348"/>
      <c r="MH11" s="348"/>
      <c r="MI11" s="348"/>
      <c r="MJ11" s="348"/>
      <c r="MK11" s="348"/>
      <c r="ML11" s="348"/>
      <c r="MM11" s="348"/>
      <c r="MN11" s="348"/>
      <c r="MO11" s="348"/>
      <c r="MP11" s="348"/>
      <c r="MQ11" s="348"/>
      <c r="MR11" s="348"/>
      <c r="MS11" s="348"/>
      <c r="MT11" s="348"/>
      <c r="MU11" s="348"/>
      <c r="MV11" s="348"/>
      <c r="MW11" s="348"/>
      <c r="MX11" s="348"/>
      <c r="MY11" s="348"/>
      <c r="MZ11" s="348"/>
      <c r="NA11" s="348"/>
      <c r="NB11" s="348"/>
      <c r="NC11" s="348"/>
      <c r="ND11" s="348"/>
      <c r="NE11" s="348"/>
      <c r="NF11" s="348"/>
      <c r="NG11" s="348"/>
      <c r="NH11" s="348"/>
      <c r="NI11" s="348"/>
      <c r="NJ11" s="348"/>
      <c r="NK11" s="348"/>
      <c r="NL11" s="348"/>
      <c r="NM11" s="348"/>
      <c r="NN11" s="348"/>
      <c r="NO11" s="348"/>
      <c r="NP11" s="348"/>
      <c r="NQ11" s="348"/>
      <c r="NR11" s="348"/>
      <c r="NS11" s="348"/>
      <c r="NT11" s="348"/>
      <c r="NU11" s="348"/>
      <c r="NV11" s="348"/>
      <c r="NW11" s="348"/>
      <c r="NX11" s="348"/>
      <c r="NY11" s="348"/>
      <c r="NZ11" s="348"/>
      <c r="OA11" s="348"/>
      <c r="OB11" s="348"/>
      <c r="OC11" s="348"/>
      <c r="OD11" s="348"/>
      <c r="OE11" s="348"/>
      <c r="OF11" s="348"/>
      <c r="OG11" s="348"/>
      <c r="OH11" s="348"/>
      <c r="OI11" s="348"/>
      <c r="OJ11" s="348"/>
      <c r="OK11" s="348"/>
      <c r="OL11" s="348"/>
      <c r="OM11" s="348"/>
      <c r="ON11" s="348"/>
      <c r="OO11" s="348"/>
      <c r="OP11" s="348"/>
      <c r="OQ11" s="348"/>
      <c r="OR11" s="348"/>
      <c r="OS11" s="348"/>
      <c r="OT11" s="348"/>
      <c r="OU11" s="348"/>
      <c r="OV11" s="348"/>
      <c r="OW11" s="348"/>
      <c r="OX11" s="348"/>
      <c r="OY11" s="348"/>
      <c r="OZ11" s="348"/>
      <c r="PA11" s="348"/>
      <c r="PB11" s="348"/>
      <c r="PC11" s="348"/>
      <c r="PD11" s="348"/>
      <c r="PE11" s="348"/>
      <c r="PF11" s="348"/>
      <c r="PG11" s="348"/>
      <c r="PH11" s="348"/>
      <c r="PI11" s="348"/>
      <c r="PJ11" s="348"/>
      <c r="PK11" s="348"/>
      <c r="PL11" s="348"/>
      <c r="PM11" s="348"/>
      <c r="PN11" s="348"/>
      <c r="PO11" s="348"/>
      <c r="PP11" s="348"/>
      <c r="PQ11" s="348"/>
      <c r="PR11" s="348"/>
      <c r="PS11" s="348"/>
      <c r="PT11" s="348"/>
      <c r="PU11" s="348"/>
      <c r="PV11" s="348"/>
      <c r="PW11" s="348"/>
      <c r="PX11" s="348"/>
      <c r="PY11" s="348"/>
      <c r="PZ11" s="348"/>
      <c r="QA11" s="348"/>
      <c r="QB11" s="348"/>
      <c r="QC11" s="348"/>
      <c r="QD11" s="348"/>
      <c r="QE11" s="348"/>
      <c r="QF11" s="348"/>
      <c r="QG11" s="348"/>
      <c r="QH11" s="348"/>
      <c r="QI11" s="348"/>
      <c r="QJ11" s="348"/>
      <c r="QK11" s="348"/>
      <c r="QL11" s="348"/>
      <c r="QM11" s="348"/>
      <c r="QN11" s="348"/>
      <c r="QO11" s="348"/>
      <c r="QP11" s="348"/>
      <c r="QQ11" s="348"/>
      <c r="QR11" s="348"/>
      <c r="QS11" s="348"/>
      <c r="QT11" s="348"/>
      <c r="QU11" s="348"/>
      <c r="QV11" s="348"/>
      <c r="QW11" s="348"/>
      <c r="QX11" s="348"/>
      <c r="QY11" s="348"/>
      <c r="QZ11" s="348"/>
      <c r="RA11" s="348"/>
      <c r="RB11" s="348"/>
      <c r="RC11" s="348"/>
      <c r="RD11" s="348"/>
      <c r="RE11" s="348"/>
      <c r="RF11" s="348"/>
      <c r="RG11" s="348"/>
      <c r="RH11" s="348"/>
      <c r="RI11" s="348"/>
      <c r="RJ11" s="348"/>
      <c r="RK11" s="348"/>
      <c r="RL11" s="348"/>
      <c r="RM11" s="348"/>
      <c r="RN11" s="348"/>
      <c r="RO11" s="348"/>
      <c r="RP11" s="348"/>
      <c r="RQ11" s="348"/>
      <c r="RR11" s="348"/>
      <c r="RS11" s="348"/>
      <c r="RT11" s="348"/>
      <c r="RU11" s="348"/>
      <c r="RV11" s="348"/>
      <c r="RW11" s="348"/>
      <c r="RX11" s="348"/>
      <c r="RY11" s="348"/>
      <c r="RZ11" s="348"/>
      <c r="SA11" s="348"/>
      <c r="SB11" s="348"/>
      <c r="SC11" s="348"/>
      <c r="SD11" s="348"/>
      <c r="SE11" s="348"/>
      <c r="SF11" s="348"/>
      <c r="SG11" s="348"/>
      <c r="SH11" s="348"/>
      <c r="SI11" s="348"/>
      <c r="SJ11" s="348"/>
      <c r="SK11" s="348"/>
      <c r="SL11" s="348"/>
      <c r="SM11" s="348"/>
      <c r="SN11" s="348"/>
      <c r="SO11" s="348"/>
      <c r="SP11" s="348"/>
      <c r="SQ11" s="348"/>
      <c r="SR11" s="348"/>
      <c r="SS11" s="348"/>
      <c r="ST11" s="348"/>
      <c r="SU11" s="348"/>
      <c r="SV11" s="348"/>
      <c r="SW11" s="348"/>
      <c r="SX11" s="348"/>
      <c r="SY11" s="348"/>
      <c r="SZ11" s="348"/>
      <c r="TA11" s="348"/>
      <c r="TB11" s="348"/>
      <c r="TC11" s="348"/>
      <c r="TD11" s="348"/>
      <c r="TE11" s="348"/>
      <c r="TF11" s="348"/>
      <c r="TG11" s="348"/>
      <c r="TH11" s="348"/>
      <c r="TI11" s="348"/>
      <c r="TJ11" s="348"/>
      <c r="TK11" s="348"/>
      <c r="TL11" s="348"/>
      <c r="TM11" s="348"/>
      <c r="TN11" s="348"/>
      <c r="TO11" s="348"/>
      <c r="TP11" s="348"/>
      <c r="TQ11" s="348"/>
      <c r="TR11" s="348"/>
      <c r="TS11" s="348"/>
      <c r="TT11" s="348"/>
      <c r="TU11" s="348"/>
      <c r="TV11" s="348"/>
      <c r="TW11" s="348"/>
      <c r="TX11" s="348"/>
      <c r="TY11" s="348"/>
      <c r="TZ11" s="348"/>
      <c r="UA11" s="348"/>
      <c r="UB11" s="348"/>
      <c r="UC11" s="348"/>
      <c r="UD11" s="348"/>
      <c r="UE11" s="348"/>
      <c r="UF11" s="348"/>
      <c r="UG11" s="348"/>
      <c r="UH11" s="348"/>
      <c r="UI11" s="348"/>
      <c r="UJ11" s="348"/>
      <c r="UK11" s="348"/>
      <c r="UL11" s="348"/>
      <c r="UM11" s="348"/>
      <c r="UN11" s="348"/>
      <c r="UO11" s="348"/>
      <c r="UP11" s="348"/>
      <c r="UQ11" s="348"/>
      <c r="UR11" s="348"/>
      <c r="US11" s="348"/>
      <c r="UT11" s="348"/>
      <c r="UU11" s="348"/>
      <c r="UV11" s="348"/>
      <c r="UW11" s="348"/>
      <c r="UX11" s="348"/>
      <c r="UY11" s="348"/>
      <c r="UZ11" s="348"/>
      <c r="VA11" s="348"/>
      <c r="VB11" s="348"/>
      <c r="VC11" s="348"/>
      <c r="VD11" s="348"/>
      <c r="VE11" s="348"/>
      <c r="VF11" s="348"/>
      <c r="VG11" s="348"/>
      <c r="VH11" s="348"/>
      <c r="VI11" s="348"/>
      <c r="VJ11" s="348"/>
      <c r="VK11" s="348"/>
      <c r="VL11" s="348"/>
      <c r="VM11" s="348"/>
      <c r="VN11" s="348"/>
      <c r="VO11" s="348"/>
      <c r="VP11" s="348"/>
      <c r="VQ11" s="348"/>
      <c r="VR11" s="348"/>
      <c r="VS11" s="348"/>
      <c r="VT11" s="348"/>
      <c r="VU11" s="348"/>
      <c r="VV11" s="348"/>
      <c r="VW11" s="348"/>
      <c r="VX11" s="348"/>
      <c r="VY11" s="348"/>
      <c r="VZ11" s="348"/>
      <c r="WA11" s="348"/>
      <c r="WB11" s="348"/>
      <c r="WC11" s="348"/>
      <c r="WD11" s="348"/>
      <c r="WE11" s="348"/>
      <c r="WF11" s="348"/>
      <c r="WG11" s="348"/>
      <c r="WH11" s="348"/>
      <c r="WI11" s="348"/>
      <c r="WJ11" s="348"/>
      <c r="WK11" s="348"/>
      <c r="WL11" s="348"/>
      <c r="WM11" s="348"/>
      <c r="WN11" s="348"/>
      <c r="WO11" s="348"/>
      <c r="WP11" s="348"/>
      <c r="WQ11" s="348"/>
      <c r="WR11" s="348"/>
      <c r="WS11" s="348"/>
      <c r="WT11" s="348"/>
      <c r="WU11" s="348"/>
      <c r="WV11" s="348"/>
      <c r="WW11" s="348"/>
      <c r="WX11" s="348"/>
      <c r="WY11" s="348"/>
      <c r="WZ11" s="348"/>
      <c r="XA11" s="348"/>
      <c r="XB11" s="348"/>
      <c r="XC11" s="348"/>
      <c r="XD11" s="348"/>
      <c r="XE11" s="348"/>
      <c r="XF11" s="348"/>
      <c r="XG11" s="348"/>
      <c r="XH11" s="348"/>
      <c r="XI11" s="348"/>
      <c r="XJ11" s="348"/>
      <c r="XK11" s="348"/>
      <c r="XL11" s="348"/>
      <c r="XM11" s="348"/>
      <c r="XN11" s="348"/>
      <c r="XO11" s="348"/>
      <c r="XP11" s="348"/>
      <c r="XQ11" s="348"/>
      <c r="XR11" s="348"/>
      <c r="XS11" s="348"/>
      <c r="XT11" s="348"/>
      <c r="XU11" s="348"/>
      <c r="XV11" s="348"/>
      <c r="XW11" s="348"/>
      <c r="XX11" s="348"/>
      <c r="XY11" s="348"/>
      <c r="XZ11" s="348"/>
      <c r="YA11" s="348"/>
      <c r="YB11" s="348"/>
      <c r="YC11" s="348"/>
      <c r="YD11" s="348"/>
      <c r="YE11" s="348"/>
      <c r="YF11" s="348"/>
      <c r="YG11" s="348"/>
      <c r="YH11" s="348"/>
      <c r="YI11" s="348"/>
      <c r="YJ11" s="348"/>
      <c r="YK11" s="348"/>
      <c r="YL11" s="348"/>
      <c r="YM11" s="348"/>
      <c r="YN11" s="348"/>
      <c r="YO11" s="348"/>
      <c r="YP11" s="348"/>
      <c r="YQ11" s="348"/>
      <c r="YR11" s="348"/>
      <c r="YS11" s="348"/>
      <c r="YT11" s="348"/>
      <c r="YU11" s="348"/>
      <c r="YV11" s="348"/>
      <c r="YW11" s="348"/>
      <c r="YX11" s="348"/>
      <c r="YY11" s="348"/>
      <c r="YZ11" s="348"/>
      <c r="ZA11" s="348"/>
      <c r="ZB11" s="348"/>
      <c r="ZC11" s="348"/>
      <c r="ZD11" s="348"/>
      <c r="ZE11" s="348"/>
      <c r="ZF11" s="348"/>
      <c r="ZG11" s="348"/>
      <c r="ZH11" s="348"/>
      <c r="ZI11" s="348"/>
      <c r="ZJ11" s="348"/>
      <c r="ZK11" s="348"/>
      <c r="ZL11" s="348"/>
      <c r="ZM11" s="348"/>
      <c r="ZN11" s="348"/>
      <c r="ZO11" s="348"/>
      <c r="ZP11" s="348"/>
      <c r="ZQ11" s="348"/>
      <c r="ZR11" s="348"/>
      <c r="ZS11" s="348"/>
      <c r="ZT11" s="348"/>
      <c r="ZU11" s="348"/>
      <c r="ZV11" s="348"/>
      <c r="ZW11" s="348"/>
      <c r="ZX11" s="348"/>
      <c r="ZY11" s="348"/>
      <c r="ZZ11" s="348"/>
      <c r="AAA11" s="348"/>
      <c r="AAB11" s="348"/>
      <c r="AAC11" s="348"/>
      <c r="AAD11" s="348"/>
      <c r="AAE11" s="348"/>
      <c r="AAF11" s="348"/>
      <c r="AAG11" s="348"/>
      <c r="AAH11" s="348"/>
      <c r="AAI11" s="348"/>
      <c r="AAJ11" s="348"/>
      <c r="AAK11" s="348"/>
      <c r="AAL11" s="348"/>
      <c r="AAM11" s="348"/>
      <c r="AAN11" s="348"/>
      <c r="AAO11" s="348"/>
      <c r="AAP11" s="348"/>
      <c r="AAQ11" s="348"/>
      <c r="AAR11" s="348"/>
      <c r="AAS11" s="348"/>
      <c r="AAT11" s="348"/>
      <c r="AAU11" s="348"/>
      <c r="AAV11" s="348"/>
      <c r="AAW11" s="348"/>
      <c r="AAX11" s="348"/>
      <c r="AAY11" s="348"/>
      <c r="AAZ11" s="348"/>
      <c r="ABA11" s="348"/>
      <c r="ABB11" s="348"/>
      <c r="ABC11" s="348"/>
      <c r="ABD11" s="348"/>
      <c r="ABE11" s="348"/>
      <c r="ABF11" s="348"/>
      <c r="ABG11" s="348"/>
      <c r="ABH11" s="348"/>
      <c r="ABI11" s="348"/>
      <c r="ABJ11" s="348"/>
      <c r="ABK11" s="348"/>
      <c r="ABL11" s="348"/>
      <c r="ABM11" s="348"/>
      <c r="ABN11" s="348"/>
      <c r="ABO11" s="348"/>
      <c r="ABP11" s="348"/>
      <c r="ABQ11" s="348"/>
      <c r="ABR11" s="348"/>
      <c r="ABS11" s="348"/>
      <c r="ABT11" s="348"/>
      <c r="ABU11" s="348"/>
      <c r="ABV11" s="348"/>
      <c r="ABW11" s="348"/>
      <c r="ABX11" s="348"/>
      <c r="ABY11" s="348"/>
      <c r="ABZ11" s="348"/>
      <c r="ACA11" s="348"/>
      <c r="ACB11" s="348"/>
      <c r="ACC11" s="348"/>
      <c r="ACD11" s="348"/>
      <c r="ACE11" s="348"/>
      <c r="ACF11" s="348"/>
      <c r="ACG11" s="348"/>
      <c r="ACH11" s="348"/>
      <c r="ACI11" s="348"/>
      <c r="ACJ11" s="348"/>
      <c r="ACK11" s="348"/>
      <c r="ACL11" s="348"/>
      <c r="ACM11" s="348"/>
      <c r="ACN11" s="348"/>
      <c r="ACO11" s="348"/>
      <c r="ACP11" s="348"/>
      <c r="ACQ11" s="348"/>
      <c r="ACR11" s="348"/>
      <c r="ACS11" s="348"/>
      <c r="ACT11" s="348"/>
      <c r="ACU11" s="348"/>
      <c r="ACV11" s="348"/>
      <c r="ACW11" s="348"/>
      <c r="ACX11" s="348"/>
      <c r="ACY11" s="348"/>
      <c r="ACZ11" s="348"/>
      <c r="ADA11" s="348"/>
      <c r="ADB11" s="348"/>
      <c r="ADC11" s="348"/>
      <c r="ADD11" s="348"/>
      <c r="ADE11" s="348"/>
      <c r="ADF11" s="348"/>
      <c r="ADG11" s="348"/>
      <c r="ADH11" s="348"/>
      <c r="ADI11" s="348"/>
      <c r="ADJ11" s="348"/>
      <c r="ADK11" s="348"/>
      <c r="ADL11" s="348"/>
      <c r="ADM11" s="348"/>
      <c r="ADN11" s="348"/>
      <c r="ADO11" s="348"/>
      <c r="ADP11" s="348"/>
      <c r="ADQ11" s="348"/>
      <c r="ADR11" s="348"/>
      <c r="ADS11" s="348"/>
      <c r="ADT11" s="348"/>
      <c r="ADU11" s="348"/>
      <c r="ADV11" s="348"/>
      <c r="ADW11" s="348"/>
      <c r="ADX11" s="348"/>
      <c r="ADY11" s="348"/>
      <c r="ADZ11" s="348"/>
      <c r="AEA11" s="348"/>
      <c r="AEB11" s="348"/>
      <c r="AEC11" s="348"/>
      <c r="AED11" s="348"/>
      <c r="AEE11" s="348"/>
      <c r="AEF11" s="348"/>
      <c r="AEG11" s="348"/>
      <c r="AEH11" s="348"/>
      <c r="AEI11" s="348"/>
      <c r="AEJ11" s="348"/>
      <c r="AEK11" s="348"/>
      <c r="AEL11" s="348"/>
      <c r="AEM11" s="348"/>
      <c r="AEN11" s="348"/>
      <c r="AEO11" s="348"/>
      <c r="AEP11" s="348"/>
      <c r="AEQ11" s="348"/>
      <c r="AER11" s="348"/>
      <c r="AES11" s="348"/>
      <c r="AET11" s="348"/>
      <c r="AEU11" s="348"/>
      <c r="AEV11" s="348"/>
      <c r="AEW11" s="348"/>
      <c r="AEX11" s="348"/>
      <c r="AEY11" s="348"/>
      <c r="AEZ11" s="348"/>
      <c r="AFA11" s="348"/>
      <c r="AFB11" s="348"/>
      <c r="AFC11" s="348"/>
      <c r="AFD11" s="348"/>
      <c r="AFE11" s="348"/>
      <c r="AFF11" s="348"/>
      <c r="AFG11" s="348"/>
      <c r="AFH11" s="348"/>
      <c r="AFI11" s="348"/>
      <c r="AFJ11" s="348"/>
      <c r="AFK11" s="348"/>
      <c r="AFL11" s="348"/>
      <c r="AFM11" s="348"/>
      <c r="AFN11" s="348"/>
      <c r="AFO11" s="348"/>
      <c r="AFP11" s="348"/>
      <c r="AFQ11" s="348"/>
      <c r="AFR11" s="348"/>
      <c r="AFS11" s="348"/>
      <c r="AFT11" s="348"/>
      <c r="AFU11" s="348"/>
      <c r="AFV11" s="348"/>
      <c r="AFW11" s="348"/>
      <c r="AFX11" s="348"/>
      <c r="AFY11" s="348"/>
      <c r="AFZ11" s="348"/>
      <c r="AGA11" s="348"/>
      <c r="AGB11" s="348"/>
      <c r="AGC11" s="348"/>
      <c r="AGD11" s="348"/>
      <c r="AGE11" s="348"/>
      <c r="AGF11" s="348"/>
      <c r="AGG11" s="348"/>
      <c r="AGH11" s="348"/>
      <c r="AGI11" s="348"/>
      <c r="AGJ11" s="348"/>
      <c r="AGK11" s="348"/>
      <c r="AGL11" s="348"/>
      <c r="AGM11" s="348"/>
      <c r="AGN11" s="348"/>
      <c r="AGO11" s="348"/>
      <c r="AGP11" s="348"/>
      <c r="AGQ11" s="348"/>
      <c r="AGR11" s="348"/>
      <c r="AGS11" s="348"/>
      <c r="AGT11" s="348"/>
      <c r="AGU11" s="348"/>
      <c r="AGV11" s="348"/>
      <c r="AGW11" s="348"/>
      <c r="AGX11" s="348"/>
      <c r="AGY11" s="348"/>
      <c r="AGZ11" s="348"/>
      <c r="AHA11" s="348"/>
      <c r="AHB11" s="348"/>
      <c r="AHC11" s="348"/>
      <c r="AHD11" s="348"/>
      <c r="AHE11" s="348"/>
      <c r="AHF11" s="348"/>
      <c r="AHG11" s="348"/>
      <c r="AHH11" s="348"/>
      <c r="AHI11" s="348"/>
      <c r="AHJ11" s="348"/>
      <c r="AHK11" s="348"/>
      <c r="AHL11" s="348"/>
      <c r="AHM11" s="348"/>
      <c r="AHN11" s="348"/>
      <c r="AHO11" s="348"/>
      <c r="AHP11" s="348"/>
      <c r="AHQ11" s="348"/>
      <c r="AHR11" s="348"/>
      <c r="AHS11" s="348"/>
      <c r="AHT11" s="348"/>
      <c r="AHU11" s="348"/>
      <c r="AHV11" s="348"/>
      <c r="AHW11" s="348"/>
      <c r="AHX11" s="348"/>
      <c r="AHY11" s="348"/>
      <c r="AHZ11" s="348"/>
      <c r="AIA11" s="348"/>
      <c r="AIB11" s="348"/>
      <c r="AIC11" s="348"/>
      <c r="AID11" s="348"/>
      <c r="AIE11" s="348"/>
      <c r="AIF11" s="348"/>
      <c r="AIG11" s="348"/>
      <c r="AIH11" s="348"/>
      <c r="AII11" s="348"/>
      <c r="AIJ11" s="348"/>
      <c r="AIK11" s="348"/>
      <c r="AIL11" s="348"/>
      <c r="AIM11" s="348"/>
      <c r="AIN11" s="348"/>
      <c r="AIO11" s="348"/>
      <c r="AIP11" s="348"/>
      <c r="AIQ11" s="348"/>
      <c r="AIR11" s="348"/>
      <c r="AIS11" s="348"/>
      <c r="AIT11" s="348"/>
      <c r="AIU11" s="348"/>
      <c r="AIV11" s="348"/>
      <c r="AIW11" s="348"/>
      <c r="AIX11" s="348"/>
      <c r="AIY11" s="348"/>
      <c r="AIZ11" s="348"/>
      <c r="AJA11" s="348"/>
      <c r="AJB11" s="348"/>
      <c r="AJC11" s="348"/>
      <c r="AJD11" s="348"/>
      <c r="AJE11" s="348"/>
      <c r="AJF11" s="348"/>
      <c r="AJG11" s="348"/>
      <c r="AJH11" s="348"/>
      <c r="AJI11" s="348"/>
      <c r="AJJ11" s="348"/>
      <c r="AJK11" s="348"/>
      <c r="AJL11" s="348"/>
      <c r="AJM11" s="348"/>
      <c r="AJN11" s="348"/>
      <c r="AJO11" s="348"/>
      <c r="AJP11" s="348"/>
      <c r="AJQ11" s="348"/>
      <c r="AJR11" s="348"/>
      <c r="AJS11" s="348"/>
      <c r="AJT11" s="348"/>
      <c r="AJU11" s="348"/>
      <c r="AJV11" s="348"/>
      <c r="AJW11" s="348"/>
      <c r="AJX11" s="348"/>
      <c r="AJY11" s="348"/>
      <c r="AJZ11" s="348"/>
      <c r="AKA11" s="348"/>
      <c r="AKB11" s="348"/>
      <c r="AKC11" s="348"/>
      <c r="AKD11" s="348"/>
      <c r="AKE11" s="348"/>
      <c r="AKF11" s="348"/>
      <c r="AKG11" s="348"/>
      <c r="AKH11" s="348"/>
      <c r="AKI11" s="348"/>
      <c r="AKJ11" s="348"/>
      <c r="AKK11" s="348"/>
      <c r="AKL11" s="348"/>
      <c r="AKM11" s="348"/>
      <c r="AKN11" s="348"/>
      <c r="AKO11" s="348"/>
      <c r="AKP11" s="348"/>
      <c r="AKQ11" s="348"/>
      <c r="AKR11" s="348"/>
      <c r="AKS11" s="348"/>
      <c r="AKT11" s="348"/>
      <c r="AKU11" s="348"/>
      <c r="AKV11" s="348"/>
      <c r="AKW11" s="348"/>
      <c r="AKX11" s="348"/>
      <c r="AKY11" s="348"/>
      <c r="AKZ11" s="348"/>
      <c r="ALA11" s="348"/>
      <c r="ALB11" s="348"/>
      <c r="ALC11" s="348"/>
      <c r="ALD11" s="348"/>
      <c r="ALE11" s="348"/>
      <c r="ALF11" s="348"/>
      <c r="ALG11" s="348"/>
      <c r="ALH11" s="348"/>
      <c r="ALI11" s="348"/>
      <c r="ALJ11" s="348"/>
      <c r="ALK11" s="348"/>
      <c r="ALL11" s="348"/>
      <c r="ALM11" s="348"/>
      <c r="ALN11" s="348"/>
      <c r="ALO11" s="348"/>
      <c r="ALP11" s="348"/>
      <c r="ALQ11" s="348"/>
      <c r="ALR11" s="348"/>
      <c r="ALS11" s="348"/>
      <c r="ALT11" s="348"/>
      <c r="ALU11" s="348"/>
      <c r="ALV11" s="348"/>
      <c r="ALW11" s="348"/>
      <c r="ALX11" s="348"/>
      <c r="ALY11" s="348"/>
      <c r="ALZ11" s="348"/>
      <c r="AMA11" s="348"/>
      <c r="AMB11" s="348"/>
      <c r="AMC11" s="348"/>
      <c r="AMD11" s="348"/>
      <c r="AME11" s="348"/>
      <c r="AMF11" s="348"/>
      <c r="AMG11" s="348"/>
      <c r="AMH11" s="348"/>
      <c r="AMI11" s="348"/>
      <c r="AMJ11" s="348"/>
      <c r="AMK11" s="348"/>
      <c r="AML11" s="348"/>
      <c r="AMM11" s="348"/>
      <c r="AMN11" s="348"/>
      <c r="AMO11" s="348"/>
      <c r="AMP11" s="348"/>
      <c r="AMQ11" s="348"/>
      <c r="AMR11" s="348"/>
      <c r="AMS11" s="348"/>
      <c r="AMT11" s="348"/>
      <c r="AMU11" s="348"/>
      <c r="AMV11" s="348"/>
      <c r="AMW11" s="348"/>
      <c r="AMX11" s="348"/>
      <c r="AMY11" s="348"/>
      <c r="AMZ11" s="348"/>
      <c r="ANA11" s="348"/>
      <c r="ANB11" s="348"/>
      <c r="ANC11" s="348"/>
      <c r="AND11" s="348"/>
      <c r="ANE11" s="348"/>
      <c r="ANF11" s="348"/>
      <c r="ANG11" s="348"/>
      <c r="ANH11" s="348"/>
      <c r="ANI11" s="348"/>
      <c r="ANJ11" s="348"/>
      <c r="ANK11" s="348"/>
      <c r="ANL11" s="348"/>
      <c r="ANM11" s="348"/>
      <c r="ANN11" s="348"/>
      <c r="ANO11" s="348"/>
      <c r="ANP11" s="348"/>
      <c r="ANQ11" s="348"/>
      <c r="ANR11" s="348"/>
      <c r="ANS11" s="348"/>
      <c r="ANT11" s="348"/>
      <c r="ANU11" s="348"/>
      <c r="ANV11" s="348"/>
      <c r="ANW11" s="348"/>
      <c r="ANX11" s="348"/>
      <c r="ANY11" s="348"/>
      <c r="ANZ11" s="348"/>
      <c r="AOA11" s="348"/>
      <c r="AOB11" s="348"/>
      <c r="AOC11" s="348"/>
      <c r="AOD11" s="348"/>
      <c r="AOE11" s="348"/>
      <c r="AOF11" s="348"/>
      <c r="AOG11" s="348"/>
      <c r="AOH11" s="348"/>
      <c r="AOI11" s="348"/>
      <c r="AOJ11" s="348"/>
      <c r="AOK11" s="348"/>
      <c r="AOL11" s="348"/>
      <c r="AOM11" s="348"/>
      <c r="AON11" s="348"/>
      <c r="AOO11" s="348"/>
      <c r="AOP11" s="348"/>
      <c r="AOQ11" s="348"/>
      <c r="AOR11" s="348"/>
      <c r="AOS11" s="348"/>
      <c r="AOT11" s="348"/>
      <c r="AOU11" s="348"/>
      <c r="AOV11" s="348"/>
      <c r="AOW11" s="348"/>
      <c r="AOX11" s="348"/>
      <c r="AOY11" s="348"/>
      <c r="AOZ11" s="348"/>
      <c r="APA11" s="348"/>
      <c r="APB11" s="348"/>
      <c r="APC11" s="348"/>
      <c r="APD11" s="348"/>
      <c r="APE11" s="348"/>
      <c r="APF11" s="348"/>
      <c r="APG11" s="348"/>
      <c r="APH11" s="348"/>
      <c r="API11" s="348"/>
      <c r="APJ11" s="348"/>
      <c r="APK11" s="348"/>
      <c r="APL11" s="348"/>
      <c r="APM11" s="348"/>
      <c r="APN11" s="348"/>
      <c r="APO11" s="348"/>
      <c r="APP11" s="348"/>
      <c r="APQ11" s="348"/>
      <c r="APR11" s="348"/>
      <c r="APS11" s="348"/>
      <c r="APT11" s="348"/>
      <c r="APU11" s="348"/>
      <c r="APV11" s="348"/>
      <c r="APW11" s="348"/>
      <c r="APX11" s="348"/>
      <c r="APY11" s="348"/>
      <c r="APZ11" s="348"/>
      <c r="AQA11" s="348"/>
      <c r="AQB11" s="348"/>
      <c r="AQC11" s="348"/>
      <c r="AQD11" s="348"/>
      <c r="AQE11" s="348"/>
      <c r="AQF11" s="348"/>
      <c r="AQG11" s="348"/>
      <c r="AQH11" s="348"/>
      <c r="AQI11" s="348"/>
      <c r="AQJ11" s="348"/>
      <c r="AQK11" s="348"/>
      <c r="AQL11" s="348"/>
      <c r="AQM11" s="348"/>
      <c r="AQN11" s="348"/>
      <c r="AQO11" s="348"/>
      <c r="AQP11" s="348"/>
      <c r="AQQ11" s="348"/>
      <c r="AQR11" s="348"/>
      <c r="AQS11" s="348"/>
      <c r="AQT11" s="348"/>
      <c r="AQU11" s="348"/>
      <c r="AQV11" s="348"/>
      <c r="AQW11" s="348"/>
      <c r="AQX11" s="348"/>
      <c r="AQY11" s="348"/>
      <c r="AQZ11" s="348"/>
      <c r="ARA11" s="348"/>
      <c r="ARB11" s="348"/>
      <c r="ARC11" s="348"/>
      <c r="ARD11" s="348"/>
      <c r="ARE11" s="348"/>
      <c r="ARF11" s="348"/>
      <c r="ARG11" s="348"/>
      <c r="ARH11" s="348"/>
      <c r="ARI11" s="348"/>
      <c r="ARJ11" s="348"/>
      <c r="ARK11" s="348"/>
      <c r="ARL11" s="348"/>
      <c r="ARM11" s="348"/>
      <c r="ARN11" s="348"/>
      <c r="ARO11" s="348"/>
      <c r="ARP11" s="348"/>
      <c r="ARQ11" s="348"/>
      <c r="ARR11" s="348"/>
      <c r="ARS11" s="348"/>
      <c r="ART11" s="348"/>
      <c r="ARU11" s="348"/>
      <c r="ARV11" s="348"/>
      <c r="ARW11" s="348"/>
      <c r="ARX11" s="348"/>
      <c r="ARY11" s="348"/>
      <c r="ARZ11" s="348"/>
      <c r="ASA11" s="348"/>
      <c r="ASB11" s="348"/>
      <c r="ASC11" s="348"/>
      <c r="ASD11" s="348"/>
      <c r="ASE11" s="348"/>
      <c r="ASF11" s="348"/>
      <c r="ASG11" s="348"/>
      <c r="ASH11" s="348"/>
      <c r="ASI11" s="348"/>
      <c r="ASJ11" s="348"/>
      <c r="ASK11" s="348"/>
      <c r="ASL11" s="348"/>
      <c r="ASM11" s="348"/>
      <c r="ASN11" s="348"/>
      <c r="ASO11" s="348"/>
      <c r="ASP11" s="348"/>
      <c r="ASQ11" s="348"/>
      <c r="ASR11" s="348"/>
      <c r="ASS11" s="348"/>
      <c r="AST11" s="348"/>
      <c r="ASU11" s="348"/>
      <c r="ASV11" s="348"/>
      <c r="ASW11" s="348"/>
      <c r="ASX11" s="348"/>
      <c r="ASY11" s="348"/>
      <c r="ASZ11" s="348"/>
      <c r="ATA11" s="348"/>
      <c r="ATB11" s="348"/>
      <c r="ATC11" s="348"/>
      <c r="ATD11" s="348"/>
      <c r="ATE11" s="348"/>
      <c r="ATF11" s="348"/>
      <c r="ATG11" s="348"/>
      <c r="ATH11" s="348"/>
      <c r="ATI11" s="348"/>
      <c r="ATJ11" s="348"/>
      <c r="ATK11" s="348"/>
      <c r="ATL11" s="348"/>
      <c r="ATM11" s="348"/>
      <c r="ATN11" s="348"/>
      <c r="ATO11" s="348"/>
      <c r="ATP11" s="348"/>
      <c r="ATQ11" s="348"/>
      <c r="ATR11" s="348"/>
      <c r="ATS11" s="348"/>
      <c r="ATT11" s="348"/>
      <c r="ATU11" s="348"/>
      <c r="ATV11" s="348"/>
      <c r="ATW11" s="348"/>
      <c r="ATX11" s="348"/>
      <c r="ATY11" s="348"/>
      <c r="ATZ11" s="348"/>
      <c r="AUA11" s="348"/>
      <c r="AUB11" s="348"/>
      <c r="AUC11" s="348"/>
      <c r="AUD11" s="348"/>
      <c r="AUE11" s="348"/>
      <c r="AUF11" s="348"/>
      <c r="AUG11" s="348"/>
      <c r="AUH11" s="348"/>
      <c r="AUI11" s="348"/>
      <c r="AUJ11" s="348"/>
      <c r="AUK11" s="348"/>
      <c r="AUL11" s="348"/>
      <c r="AUM11" s="348"/>
      <c r="AUN11" s="348"/>
      <c r="AUO11" s="348"/>
      <c r="AUP11" s="348"/>
      <c r="AUQ11" s="348"/>
      <c r="AUR11" s="348"/>
      <c r="AUS11" s="348"/>
      <c r="AUT11" s="348"/>
      <c r="AUU11" s="348"/>
      <c r="AUV11" s="348"/>
      <c r="AUW11" s="348"/>
      <c r="AUX11" s="348"/>
      <c r="AUY11" s="348"/>
      <c r="AUZ11" s="348"/>
      <c r="AVA11" s="348"/>
      <c r="AVB11" s="348"/>
      <c r="AVC11" s="348"/>
      <c r="AVD11" s="348"/>
      <c r="AVE11" s="348"/>
      <c r="AVF11" s="348"/>
      <c r="AVG11" s="348"/>
      <c r="AVH11" s="348"/>
      <c r="AVI11" s="348"/>
      <c r="AVJ11" s="348"/>
      <c r="AVK11" s="348"/>
      <c r="AVL11" s="348"/>
      <c r="AVM11" s="348"/>
      <c r="AVN11" s="348"/>
      <c r="AVO11" s="348"/>
      <c r="AVP11" s="348"/>
      <c r="AVQ11" s="348"/>
      <c r="AVR11" s="348"/>
      <c r="AVS11" s="348"/>
      <c r="AVT11" s="348"/>
      <c r="AVU11" s="348"/>
      <c r="AVV11" s="348"/>
      <c r="AVW11" s="348"/>
      <c r="AVX11" s="348"/>
      <c r="AVY11" s="348"/>
      <c r="AVZ11" s="348"/>
      <c r="AWA11" s="348"/>
      <c r="AWB11" s="348"/>
      <c r="AWC11" s="348"/>
      <c r="AWD11" s="348"/>
      <c r="AWE11" s="348"/>
      <c r="AWF11" s="348"/>
      <c r="AWG11" s="348"/>
      <c r="AWH11" s="348"/>
      <c r="AWI11" s="348"/>
      <c r="AWJ11" s="348"/>
      <c r="AWK11" s="348"/>
      <c r="AWL11" s="348"/>
      <c r="AWM11" s="348"/>
      <c r="AWN11" s="348"/>
      <c r="AWO11" s="348"/>
      <c r="AWP11" s="348"/>
      <c r="AWQ11" s="348"/>
      <c r="AWR11" s="348"/>
      <c r="AWS11" s="348"/>
      <c r="AWT11" s="348"/>
      <c r="AWU11" s="348"/>
      <c r="AWV11" s="348"/>
      <c r="AWW11" s="348"/>
      <c r="AWX11" s="348"/>
      <c r="AWY11" s="348"/>
      <c r="AWZ11" s="348"/>
      <c r="AXA11" s="348"/>
      <c r="AXB11" s="348"/>
      <c r="AXC11" s="348"/>
      <c r="AXD11" s="348"/>
      <c r="AXE11" s="348"/>
      <c r="AXF11" s="348"/>
      <c r="AXG11" s="348"/>
      <c r="AXH11" s="348"/>
      <c r="AXI11" s="348"/>
      <c r="AXJ11" s="348"/>
      <c r="AXK11" s="348"/>
      <c r="AXL11" s="348"/>
      <c r="AXM11" s="348"/>
      <c r="AXN11" s="348"/>
      <c r="AXO11" s="348"/>
      <c r="AXP11" s="348"/>
      <c r="AXQ11" s="348"/>
      <c r="AXR11" s="348"/>
      <c r="AXS11" s="348"/>
      <c r="AXT11" s="348"/>
      <c r="AXU11" s="348"/>
      <c r="AXV11" s="348"/>
      <c r="AXW11" s="348"/>
      <c r="AXX11" s="348"/>
      <c r="AXY11" s="348"/>
      <c r="AXZ11" s="348"/>
      <c r="AYA11" s="348"/>
      <c r="AYB11" s="348"/>
      <c r="AYC11" s="348"/>
      <c r="AYD11" s="348"/>
      <c r="AYE11" s="348"/>
      <c r="AYF11" s="348"/>
      <c r="AYG11" s="348"/>
      <c r="AYH11" s="348"/>
      <c r="AYI11" s="348"/>
      <c r="AYJ11" s="348"/>
      <c r="AYK11" s="348"/>
      <c r="AYL11" s="348"/>
      <c r="AYM11" s="348"/>
      <c r="AYN11" s="348"/>
      <c r="AYO11" s="348"/>
      <c r="AYP11" s="348"/>
      <c r="AYQ11" s="348"/>
      <c r="AYR11" s="348"/>
      <c r="AYS11" s="348"/>
      <c r="AYT11" s="348"/>
      <c r="AYU11" s="348"/>
      <c r="AYV11" s="348"/>
      <c r="AYW11" s="348"/>
      <c r="AYX11" s="348"/>
      <c r="AYY11" s="348"/>
      <c r="AYZ11" s="348"/>
      <c r="AZA11" s="348"/>
      <c r="AZB11" s="348"/>
      <c r="AZC11" s="348"/>
      <c r="AZD11" s="348"/>
      <c r="AZE11" s="348"/>
      <c r="AZF11" s="348"/>
      <c r="AZG11" s="348"/>
      <c r="AZH11" s="348"/>
      <c r="AZI11" s="348"/>
      <c r="AZJ11" s="348"/>
      <c r="AZK11" s="348"/>
      <c r="AZL11" s="348"/>
      <c r="AZM11" s="348"/>
      <c r="AZN11" s="348"/>
      <c r="AZO11" s="348"/>
      <c r="AZP11" s="348"/>
      <c r="AZQ11" s="348"/>
      <c r="AZR11" s="348"/>
      <c r="AZS11" s="348"/>
      <c r="AZT11" s="348"/>
      <c r="AZU11" s="348"/>
      <c r="AZV11" s="348"/>
      <c r="AZW11" s="348"/>
      <c r="AZX11" s="348"/>
      <c r="AZY11" s="348"/>
      <c r="AZZ11" s="348"/>
      <c r="BAA11" s="348"/>
      <c r="BAB11" s="348"/>
      <c r="BAC11" s="348"/>
      <c r="BAD11" s="348"/>
      <c r="BAE11" s="348"/>
      <c r="BAF11" s="348"/>
      <c r="BAG11" s="348"/>
      <c r="BAH11" s="348"/>
      <c r="BAI11" s="348"/>
      <c r="BAJ11" s="348"/>
      <c r="BAK11" s="348"/>
      <c r="BAL11" s="348"/>
      <c r="BAM11" s="348"/>
      <c r="BAN11" s="348"/>
      <c r="BAO11" s="348"/>
      <c r="BAP11" s="348"/>
      <c r="BAQ11" s="348"/>
      <c r="BAR11" s="348"/>
      <c r="BAS11" s="348"/>
      <c r="BAT11" s="348"/>
      <c r="BAU11" s="348"/>
      <c r="BAV11" s="348"/>
      <c r="BAW11" s="348"/>
      <c r="BAX11" s="348"/>
      <c r="BAY11" s="348"/>
      <c r="BAZ11" s="348"/>
      <c r="BBA11" s="348"/>
      <c r="BBB11" s="348"/>
      <c r="BBC11" s="348"/>
      <c r="BBD11" s="348"/>
      <c r="BBE11" s="348"/>
      <c r="BBF11" s="348"/>
      <c r="BBG11" s="348"/>
      <c r="BBH11" s="348"/>
      <c r="BBI11" s="348"/>
      <c r="BBJ11" s="348"/>
      <c r="BBK11" s="348"/>
      <c r="BBL11" s="348"/>
      <c r="BBM11" s="348"/>
      <c r="BBN11" s="348"/>
      <c r="BBO11" s="348"/>
      <c r="BBP11" s="348"/>
      <c r="BBQ11" s="348"/>
      <c r="BBR11" s="348"/>
      <c r="BBS11" s="348"/>
      <c r="BBT11" s="348"/>
      <c r="BBU11" s="348"/>
      <c r="BBV11" s="348"/>
      <c r="BBW11" s="348"/>
      <c r="BBX11" s="348"/>
      <c r="BBY11" s="348"/>
      <c r="BBZ11" s="348"/>
      <c r="BCA11" s="348"/>
      <c r="BCB11" s="348"/>
      <c r="BCC11" s="348"/>
      <c r="BCD11" s="348"/>
      <c r="BCE11" s="348"/>
      <c r="BCF11" s="348"/>
      <c r="BCG11" s="348"/>
      <c r="BCH11" s="348"/>
      <c r="BCI11" s="348"/>
      <c r="BCJ11" s="348"/>
      <c r="BCK11" s="348"/>
      <c r="BCL11" s="348"/>
      <c r="BCM11" s="348"/>
      <c r="BCN11" s="348"/>
      <c r="BCO11" s="348"/>
      <c r="BCP11" s="348"/>
      <c r="BCQ11" s="348"/>
      <c r="BCR11" s="348"/>
      <c r="BCS11" s="348"/>
      <c r="BCT11" s="348"/>
      <c r="BCU11" s="348"/>
      <c r="BCV11" s="348"/>
      <c r="BCW11" s="348"/>
      <c r="BCX11" s="348"/>
      <c r="BCY11" s="348"/>
      <c r="BCZ11" s="348"/>
      <c r="BDA11" s="348"/>
      <c r="BDB11" s="348"/>
      <c r="BDC11" s="348"/>
      <c r="BDD11" s="348"/>
      <c r="BDE11" s="348"/>
      <c r="BDF11" s="348"/>
      <c r="BDG11" s="348"/>
      <c r="BDH11" s="348"/>
      <c r="BDI11" s="348"/>
      <c r="BDJ11" s="348"/>
      <c r="BDK11" s="348"/>
      <c r="BDL11" s="348"/>
      <c r="BDM11" s="348"/>
      <c r="BDN11" s="348"/>
      <c r="BDO11" s="348"/>
      <c r="BDP11" s="348"/>
      <c r="BDQ11" s="348"/>
      <c r="BDR11" s="348"/>
      <c r="BDS11" s="348"/>
      <c r="BDT11" s="348"/>
      <c r="BDU11" s="348"/>
      <c r="BDV11" s="348"/>
      <c r="BDW11" s="348"/>
      <c r="BDX11" s="348"/>
      <c r="BDY11" s="348"/>
      <c r="BDZ11" s="348"/>
      <c r="BEA11" s="348"/>
      <c r="BEB11" s="348"/>
      <c r="BEC11" s="348"/>
      <c r="BED11" s="348"/>
      <c r="BEE11" s="348"/>
      <c r="BEF11" s="348"/>
      <c r="BEG11" s="348"/>
      <c r="BEH11" s="348"/>
      <c r="BEI11" s="348"/>
      <c r="BEJ11" s="348"/>
      <c r="BEK11" s="348"/>
      <c r="BEL11" s="348"/>
      <c r="BEM11" s="348"/>
      <c r="BEN11" s="348"/>
      <c r="BEO11" s="348"/>
      <c r="BEP11" s="348"/>
      <c r="BEQ11" s="348"/>
      <c r="BER11" s="348"/>
      <c r="BES11" s="348"/>
      <c r="BET11" s="348"/>
      <c r="BEU11" s="348"/>
      <c r="BEV11" s="348"/>
      <c r="BEW11" s="348"/>
      <c r="BEX11" s="348"/>
      <c r="BEY11" s="348"/>
      <c r="BEZ11" s="348"/>
      <c r="BFA11" s="348"/>
      <c r="BFB11" s="348"/>
      <c r="BFC11" s="348"/>
      <c r="BFD11" s="348"/>
      <c r="BFE11" s="348"/>
      <c r="BFF11" s="348"/>
      <c r="BFG11" s="348"/>
      <c r="BFH11" s="348"/>
      <c r="BFI11" s="348"/>
      <c r="BFJ11" s="348"/>
      <c r="BFK11" s="348"/>
      <c r="BFL11" s="348"/>
      <c r="BFM11" s="348"/>
      <c r="BFN11" s="348"/>
      <c r="BFO11" s="348"/>
      <c r="BFP11" s="348"/>
      <c r="BFQ11" s="348"/>
      <c r="BFR11" s="348"/>
      <c r="BFS11" s="348"/>
      <c r="BFT11" s="348"/>
      <c r="BFU11" s="348"/>
      <c r="BFV11" s="348"/>
      <c r="BFW11" s="348"/>
      <c r="BFX11" s="348"/>
      <c r="BFY11" s="348"/>
      <c r="BFZ11" s="348"/>
      <c r="BGA11" s="348"/>
      <c r="BGB11" s="348"/>
      <c r="BGC11" s="348"/>
      <c r="BGD11" s="348"/>
      <c r="BGE11" s="348"/>
      <c r="BGF11" s="348"/>
      <c r="BGG11" s="348"/>
      <c r="BGH11" s="348"/>
      <c r="BGI11" s="348"/>
      <c r="BGJ11" s="348"/>
      <c r="BGK11" s="348"/>
      <c r="BGL11" s="348"/>
      <c r="BGM11" s="348"/>
      <c r="BGN11" s="348"/>
      <c r="BGO11" s="348"/>
      <c r="BGP11" s="348"/>
      <c r="BGQ11" s="348"/>
      <c r="BGR11" s="348"/>
      <c r="BGS11" s="348"/>
      <c r="BGT11" s="348"/>
      <c r="BGU11" s="348"/>
      <c r="BGV11" s="348"/>
      <c r="BGW11" s="348"/>
      <c r="BGX11" s="348"/>
      <c r="BGY11" s="348"/>
      <c r="BGZ11" s="348"/>
      <c r="BHA11" s="348"/>
      <c r="BHB11" s="348"/>
      <c r="BHC11" s="348"/>
      <c r="BHD11" s="348"/>
      <c r="BHE11" s="348"/>
      <c r="BHF11" s="348"/>
      <c r="BHG11" s="348"/>
      <c r="BHH11" s="348"/>
      <c r="BHI11" s="348"/>
      <c r="BHJ11" s="348"/>
      <c r="BHK11" s="348"/>
      <c r="BHL11" s="348"/>
      <c r="BHM11" s="348"/>
      <c r="BHN11" s="348"/>
      <c r="BHO11" s="348"/>
      <c r="BHP11" s="348"/>
      <c r="BHQ11" s="348"/>
      <c r="BHR11" s="348"/>
      <c r="BHS11" s="348"/>
      <c r="BHT11" s="348"/>
      <c r="BHU11" s="348"/>
      <c r="BHV11" s="348"/>
      <c r="BHW11" s="348"/>
      <c r="BHX11" s="348"/>
      <c r="BHY11" s="348"/>
      <c r="BHZ11" s="348"/>
      <c r="BIA11" s="348"/>
      <c r="BIB11" s="348"/>
      <c r="BIC11" s="348"/>
      <c r="BID11" s="348"/>
      <c r="BIE11" s="348"/>
      <c r="BIF11" s="348"/>
      <c r="BIG11" s="348"/>
      <c r="BIH11" s="348"/>
      <c r="BII11" s="348"/>
      <c r="BIJ11" s="348"/>
      <c r="BIK11" s="348"/>
      <c r="BIL11" s="348"/>
      <c r="BIM11" s="348"/>
      <c r="BIN11" s="348"/>
      <c r="BIO11" s="348"/>
      <c r="BIP11" s="348"/>
      <c r="BIQ11" s="348"/>
      <c r="BIR11" s="348"/>
      <c r="BIS11" s="348"/>
      <c r="BIT11" s="348"/>
      <c r="BIU11" s="348"/>
      <c r="BIV11" s="348"/>
      <c r="BIW11" s="348"/>
      <c r="BIX11" s="348"/>
      <c r="BIY11" s="348"/>
      <c r="BIZ11" s="348"/>
      <c r="BJA11" s="348"/>
      <c r="BJB11" s="348"/>
      <c r="BJC11" s="348"/>
      <c r="BJD11" s="348"/>
      <c r="BJE11" s="348"/>
      <c r="BJF11" s="348"/>
      <c r="BJG11" s="348"/>
      <c r="BJH11" s="348"/>
      <c r="BJI11" s="348"/>
      <c r="BJJ11" s="348"/>
      <c r="BJK11" s="348"/>
      <c r="BJL11" s="348"/>
      <c r="BJM11" s="348"/>
      <c r="BJN11" s="348"/>
      <c r="BJO11" s="348"/>
      <c r="BJP11" s="348"/>
      <c r="BJQ11" s="348"/>
      <c r="BJR11" s="348"/>
      <c r="BJS11" s="348"/>
      <c r="BJT11" s="348"/>
      <c r="BJU11" s="348"/>
      <c r="BJV11" s="348"/>
      <c r="BJW11" s="348"/>
      <c r="BJX11" s="348"/>
      <c r="BJY11" s="348"/>
      <c r="BJZ11" s="348"/>
      <c r="BKA11" s="348"/>
      <c r="BKB11" s="348"/>
      <c r="BKC11" s="348"/>
      <c r="BKD11" s="348"/>
      <c r="BKE11" s="348"/>
      <c r="BKF11" s="348"/>
      <c r="BKG11" s="348"/>
      <c r="BKH11" s="348"/>
      <c r="BKI11" s="348"/>
      <c r="BKJ11" s="348"/>
      <c r="BKK11" s="348"/>
      <c r="BKL11" s="348"/>
      <c r="BKM11" s="348"/>
      <c r="BKN11" s="348"/>
      <c r="BKO11" s="348"/>
      <c r="BKP11" s="348"/>
      <c r="BKQ11" s="348"/>
      <c r="BKR11" s="348"/>
      <c r="BKS11" s="348"/>
      <c r="BKT11" s="348"/>
      <c r="BKU11" s="348"/>
      <c r="BKV11" s="348"/>
      <c r="BKW11" s="348"/>
      <c r="BKX11" s="348"/>
      <c r="BKY11" s="348"/>
      <c r="BKZ11" s="348"/>
      <c r="BLA11" s="348"/>
      <c r="BLB11" s="348"/>
      <c r="BLC11" s="348"/>
      <c r="BLD11" s="348"/>
      <c r="BLE11" s="348"/>
      <c r="BLF11" s="348"/>
      <c r="BLG11" s="348"/>
      <c r="BLH11" s="348"/>
      <c r="BLI11" s="348"/>
      <c r="BLJ11" s="348"/>
      <c r="BLK11" s="348"/>
      <c r="BLL11" s="348"/>
      <c r="BLM11" s="348"/>
      <c r="BLN11" s="348"/>
      <c r="BLO11" s="348"/>
      <c r="BLP11" s="348"/>
      <c r="BLQ11" s="348"/>
      <c r="BLR11" s="348"/>
      <c r="BLS11" s="348"/>
      <c r="BLT11" s="348"/>
      <c r="BLU11" s="348"/>
      <c r="BLV11" s="348"/>
      <c r="BLW11" s="348"/>
      <c r="BLX11" s="348"/>
      <c r="BLY11" s="348"/>
      <c r="BLZ11" s="348"/>
      <c r="BMA11" s="348"/>
      <c r="BMB11" s="348"/>
      <c r="BMC11" s="348"/>
      <c r="BMD11" s="348"/>
      <c r="BME11" s="348"/>
      <c r="BMF11" s="348"/>
      <c r="BMG11" s="348"/>
      <c r="BMH11" s="348"/>
      <c r="BMI11" s="348"/>
      <c r="BMJ11" s="348"/>
      <c r="BMK11" s="348"/>
      <c r="BML11" s="348"/>
      <c r="BMM11" s="348"/>
      <c r="BMN11" s="348"/>
      <c r="BMO11" s="348"/>
      <c r="BMP11" s="348"/>
      <c r="BMQ11" s="348"/>
      <c r="BMR11" s="348"/>
      <c r="BMS11" s="348"/>
      <c r="BMT11" s="348"/>
      <c r="BMU11" s="348"/>
      <c r="BMV11" s="348"/>
      <c r="BMW11" s="348"/>
      <c r="BMX11" s="348"/>
      <c r="BMY11" s="348"/>
      <c r="BMZ11" s="348"/>
      <c r="BNA11" s="348"/>
      <c r="BNB11" s="348"/>
      <c r="BNC11" s="348"/>
      <c r="BND11" s="348"/>
      <c r="BNE11" s="348"/>
      <c r="BNF11" s="348"/>
      <c r="BNG11" s="348"/>
      <c r="BNH11" s="348"/>
      <c r="BNI11" s="348"/>
      <c r="BNJ11" s="348"/>
      <c r="BNK11" s="348"/>
      <c r="BNL11" s="348"/>
      <c r="BNM11" s="348"/>
      <c r="BNN11" s="348"/>
      <c r="BNO11" s="348"/>
      <c r="BNP11" s="348"/>
      <c r="BNQ11" s="348"/>
      <c r="BNR11" s="348"/>
      <c r="BNS11" s="348"/>
      <c r="BNT11" s="348"/>
      <c r="BNU11" s="348"/>
      <c r="BNV11" s="348"/>
      <c r="BNW11" s="348"/>
      <c r="BNX11" s="348"/>
      <c r="BNY11" s="348"/>
      <c r="BNZ11" s="348"/>
      <c r="BOA11" s="348"/>
      <c r="BOB11" s="348"/>
      <c r="BOC11" s="348"/>
      <c r="BOD11" s="348"/>
      <c r="BOE11" s="348"/>
      <c r="BOF11" s="348"/>
      <c r="BOG11" s="348"/>
      <c r="BOH11" s="348"/>
      <c r="BOI11" s="348"/>
      <c r="BOJ11" s="348"/>
      <c r="BOK11" s="348"/>
      <c r="BOL11" s="348"/>
      <c r="BOM11" s="348"/>
      <c r="BON11" s="348"/>
      <c r="BOO11" s="348"/>
      <c r="BOP11" s="348"/>
      <c r="BOQ11" s="348"/>
      <c r="BOR11" s="348"/>
      <c r="BOS11" s="348"/>
      <c r="BOT11" s="348"/>
      <c r="BOU11" s="348"/>
      <c r="BOV11" s="348"/>
      <c r="BOW11" s="348"/>
      <c r="BOX11" s="348"/>
      <c r="BOY11" s="348"/>
      <c r="BOZ11" s="348"/>
      <c r="BPA11" s="348"/>
      <c r="BPB11" s="348"/>
      <c r="BPC11" s="348"/>
      <c r="BPD11" s="348"/>
      <c r="BPE11" s="348"/>
      <c r="BPF11" s="348"/>
      <c r="BPG11" s="348"/>
      <c r="BPH11" s="348"/>
      <c r="BPI11" s="348"/>
      <c r="BPJ11" s="348"/>
      <c r="BPK11" s="348"/>
      <c r="BPL11" s="348"/>
      <c r="BPM11" s="348"/>
      <c r="BPN11" s="348"/>
      <c r="BPO11" s="348"/>
      <c r="BPP11" s="348"/>
      <c r="BPQ11" s="348"/>
      <c r="BPR11" s="348"/>
      <c r="BPS11" s="348"/>
      <c r="BPT11" s="348"/>
      <c r="BPU11" s="348"/>
      <c r="BPV11" s="348"/>
      <c r="BPW11" s="348"/>
      <c r="BPX11" s="348"/>
      <c r="BPY11" s="348"/>
      <c r="BPZ11" s="348"/>
      <c r="BQA11" s="348"/>
      <c r="BQB11" s="348"/>
      <c r="BQC11" s="348"/>
      <c r="BQD11" s="348"/>
      <c r="BQE11" s="348"/>
      <c r="BQF11" s="348"/>
      <c r="BQG11" s="348"/>
      <c r="BQH11" s="348"/>
      <c r="BQI11" s="348"/>
      <c r="BQJ11" s="348"/>
      <c r="BQK11" s="348"/>
      <c r="BQL11" s="348"/>
      <c r="BQM11" s="348"/>
      <c r="BQN11" s="348"/>
      <c r="BQO11" s="348"/>
      <c r="BQP11" s="348"/>
      <c r="BQQ11" s="348"/>
      <c r="BQR11" s="348"/>
      <c r="BQS11" s="348"/>
      <c r="BQT11" s="348"/>
      <c r="BQU11" s="348"/>
      <c r="BQV11" s="348"/>
      <c r="BQW11" s="348"/>
      <c r="BQX11" s="348"/>
      <c r="BQY11" s="348"/>
      <c r="BQZ11" s="348"/>
      <c r="BRA11" s="348"/>
      <c r="BRB11" s="348"/>
      <c r="BRC11" s="348"/>
      <c r="BRD11" s="348"/>
      <c r="BRE11" s="348"/>
      <c r="BRF11" s="348"/>
      <c r="BRG11" s="348"/>
      <c r="BRH11" s="348"/>
      <c r="BRI11" s="348"/>
      <c r="BRJ11" s="348"/>
      <c r="BRK11" s="348"/>
      <c r="BRL11" s="348"/>
      <c r="BRM11" s="348"/>
      <c r="BRN11" s="348"/>
      <c r="BRO11" s="348"/>
      <c r="BRP11" s="348"/>
      <c r="BRQ11" s="348"/>
      <c r="BRR11" s="348"/>
      <c r="BRS11" s="348"/>
      <c r="BRT11" s="348"/>
      <c r="BRU11" s="348"/>
      <c r="BRV11" s="348"/>
      <c r="BRW11" s="348"/>
      <c r="BRX11" s="348"/>
      <c r="BRY11" s="348"/>
      <c r="BRZ11" s="348"/>
      <c r="BSA11" s="348"/>
      <c r="BSB11" s="348"/>
      <c r="BSC11" s="348"/>
      <c r="BSD11" s="348"/>
      <c r="BSE11" s="348"/>
      <c r="BSF11" s="348"/>
      <c r="BSG11" s="348"/>
      <c r="BSH11" s="348"/>
      <c r="BSI11" s="348"/>
      <c r="BSJ11" s="348"/>
      <c r="BSK11" s="348"/>
      <c r="BSL11" s="348"/>
      <c r="BSM11" s="348"/>
      <c r="BSN11" s="348"/>
      <c r="BSO11" s="348"/>
      <c r="BSP11" s="348"/>
      <c r="BSQ11" s="348"/>
      <c r="BSR11" s="348"/>
      <c r="BSS11" s="348"/>
      <c r="BST11" s="348"/>
      <c r="BSU11" s="348"/>
      <c r="BSV11" s="348"/>
      <c r="BSW11" s="348"/>
      <c r="BSX11" s="348"/>
      <c r="BSY11" s="348"/>
      <c r="BSZ11" s="348"/>
      <c r="BTA11" s="348"/>
      <c r="BTB11" s="348"/>
      <c r="BTC11" s="348"/>
      <c r="BTD11" s="348"/>
      <c r="BTE11" s="348"/>
      <c r="BTF11" s="348"/>
      <c r="BTG11" s="348"/>
      <c r="BTH11" s="348"/>
      <c r="BTI11" s="348"/>
      <c r="BTJ11" s="348"/>
      <c r="BTK11" s="348"/>
      <c r="BTL11" s="348"/>
      <c r="BTM11" s="348"/>
      <c r="BTN11" s="348"/>
      <c r="BTO11" s="348"/>
      <c r="BTP11" s="348"/>
      <c r="BTQ11" s="348"/>
      <c r="BTR11" s="348"/>
      <c r="BTS11" s="348"/>
      <c r="BTT11" s="348"/>
      <c r="BTU11" s="348"/>
      <c r="BTV11" s="348"/>
      <c r="BTW11" s="348"/>
      <c r="BTX11" s="348"/>
      <c r="BTY11" s="348"/>
      <c r="BTZ11" s="348"/>
      <c r="BUA11" s="348"/>
      <c r="BUB11" s="348"/>
      <c r="BUC11" s="348"/>
      <c r="BUD11" s="348"/>
      <c r="BUE11" s="348"/>
      <c r="BUF11" s="348"/>
      <c r="BUG11" s="348"/>
      <c r="BUH11" s="348"/>
      <c r="BUI11" s="348"/>
      <c r="BUJ11" s="348"/>
      <c r="BUK11" s="348"/>
      <c r="BUL11" s="348"/>
      <c r="BUM11" s="348"/>
      <c r="BUN11" s="348"/>
      <c r="BUO11" s="348"/>
      <c r="BUP11" s="348"/>
      <c r="BUQ11" s="348"/>
      <c r="BUR11" s="348"/>
      <c r="BUS11" s="348"/>
      <c r="BUT11" s="348"/>
      <c r="BUU11" s="348"/>
      <c r="BUV11" s="348"/>
      <c r="BUW11" s="348"/>
      <c r="BUX11" s="348"/>
      <c r="BUY11" s="348"/>
      <c r="BUZ11" s="348"/>
      <c r="BVA11" s="348"/>
      <c r="BVB11" s="348"/>
      <c r="BVC11" s="348"/>
      <c r="BVD11" s="348"/>
      <c r="BVE11" s="348"/>
      <c r="BVF11" s="348"/>
      <c r="BVG11" s="348"/>
      <c r="BVH11" s="348"/>
      <c r="BVI11" s="348"/>
      <c r="BVJ11" s="348"/>
      <c r="BVK11" s="348"/>
      <c r="BVL11" s="348"/>
      <c r="BVM11" s="348"/>
      <c r="BVN11" s="348"/>
      <c r="BVO11" s="348"/>
      <c r="BVP11" s="348"/>
      <c r="BVQ11" s="348"/>
      <c r="BVR11" s="348"/>
      <c r="BVS11" s="348"/>
      <c r="BVT11" s="348"/>
      <c r="BVU11" s="348"/>
      <c r="BVV11" s="348"/>
      <c r="BVW11" s="348"/>
      <c r="BVX11" s="348"/>
      <c r="BVY11" s="348"/>
      <c r="BVZ11" s="348"/>
      <c r="BWA11" s="348"/>
      <c r="BWB11" s="348"/>
      <c r="BWC11" s="348"/>
      <c r="BWD11" s="348"/>
      <c r="BWE11" s="348"/>
      <c r="BWF11" s="348"/>
      <c r="BWG11" s="348"/>
      <c r="BWH11" s="348"/>
      <c r="BWI11" s="348"/>
      <c r="BWJ11" s="348"/>
      <c r="BWK11" s="348"/>
      <c r="BWL11" s="348"/>
      <c r="BWM11" s="348"/>
      <c r="BWN11" s="348"/>
      <c r="BWO11" s="348"/>
      <c r="BWP11" s="348"/>
      <c r="BWQ11" s="348"/>
      <c r="BWR11" s="348"/>
      <c r="BWS11" s="348"/>
      <c r="BWT11" s="348"/>
      <c r="BWU11" s="348"/>
      <c r="BWV11" s="348"/>
      <c r="BWW11" s="348"/>
      <c r="BWX11" s="348"/>
      <c r="BWY11" s="348"/>
      <c r="BWZ11" s="348"/>
      <c r="BXA11" s="348"/>
      <c r="BXB11" s="348"/>
      <c r="BXC11" s="348"/>
      <c r="BXD11" s="348"/>
      <c r="BXE11" s="348"/>
      <c r="BXF11" s="348"/>
      <c r="BXG11" s="348"/>
      <c r="BXH11" s="348"/>
      <c r="BXI11" s="348"/>
      <c r="BXJ11" s="348"/>
      <c r="BXK11" s="348"/>
      <c r="BXL11" s="348"/>
      <c r="BXM11" s="348"/>
      <c r="BXN11" s="348"/>
      <c r="BXO11" s="348"/>
      <c r="BXP11" s="348"/>
      <c r="BXQ11" s="348"/>
      <c r="BXR11" s="348"/>
      <c r="BXS11" s="348"/>
      <c r="BXT11" s="348"/>
      <c r="BXU11" s="348"/>
      <c r="BXV11" s="348"/>
      <c r="BXW11" s="348"/>
      <c r="BXX11" s="348"/>
      <c r="BXY11" s="348"/>
      <c r="BXZ11" s="348"/>
      <c r="BYA11" s="348"/>
      <c r="BYB11" s="348"/>
      <c r="BYC11" s="348"/>
      <c r="BYD11" s="348"/>
      <c r="BYE11" s="348"/>
      <c r="BYF11" s="348"/>
      <c r="BYG11" s="348"/>
      <c r="BYH11" s="348"/>
      <c r="BYI11" s="348"/>
      <c r="BYJ11" s="348"/>
      <c r="BYK11" s="348"/>
      <c r="BYL11" s="348"/>
      <c r="BYM11" s="348"/>
      <c r="BYN11" s="348"/>
      <c r="BYO11" s="348"/>
      <c r="BYP11" s="348"/>
      <c r="BYQ11" s="348"/>
      <c r="BYR11" s="348"/>
      <c r="BYS11" s="348"/>
      <c r="BYT11" s="348"/>
      <c r="BYU11" s="348"/>
      <c r="BYV11" s="348"/>
      <c r="BYW11" s="348"/>
      <c r="BYX11" s="348"/>
      <c r="BYY11" s="348"/>
      <c r="BYZ11" s="348"/>
      <c r="BZA11" s="348"/>
      <c r="BZB11" s="348"/>
      <c r="BZC11" s="348"/>
      <c r="BZD11" s="348"/>
      <c r="BZE11" s="348"/>
      <c r="BZF11" s="348"/>
      <c r="BZG11" s="348"/>
      <c r="BZH11" s="348"/>
      <c r="BZI11" s="348"/>
      <c r="BZJ11" s="348"/>
      <c r="BZK11" s="348"/>
      <c r="BZL11" s="348"/>
      <c r="BZM11" s="348"/>
      <c r="BZN11" s="348"/>
      <c r="BZO11" s="348"/>
      <c r="BZP11" s="348"/>
      <c r="BZQ11" s="348"/>
      <c r="BZR11" s="348"/>
      <c r="BZS11" s="348"/>
      <c r="BZT11" s="348"/>
      <c r="BZU11" s="348"/>
      <c r="BZV11" s="348"/>
      <c r="BZW11" s="348"/>
      <c r="BZX11" s="348"/>
      <c r="BZY11" s="348"/>
      <c r="BZZ11" s="348"/>
      <c r="CAA11" s="348"/>
      <c r="CAB11" s="348"/>
      <c r="CAC11" s="348"/>
      <c r="CAD11" s="348"/>
      <c r="CAE11" s="348"/>
      <c r="CAF11" s="348"/>
      <c r="CAG11" s="348"/>
      <c r="CAH11" s="348"/>
      <c r="CAI11" s="348"/>
      <c r="CAJ11" s="348"/>
      <c r="CAK11" s="348"/>
      <c r="CAL11" s="348"/>
      <c r="CAM11" s="348"/>
      <c r="CAN11" s="348"/>
      <c r="CAO11" s="348"/>
      <c r="CAP11" s="348"/>
      <c r="CAQ11" s="348"/>
      <c r="CAR11" s="348"/>
      <c r="CAS11" s="348"/>
      <c r="CAT11" s="348"/>
      <c r="CAU11" s="348"/>
      <c r="CAV11" s="348"/>
      <c r="CAW11" s="348"/>
      <c r="CAX11" s="348"/>
      <c r="CAY11" s="348"/>
      <c r="CAZ11" s="348"/>
      <c r="CBA11" s="348"/>
      <c r="CBB11" s="348"/>
      <c r="CBC11" s="348"/>
      <c r="CBD11" s="348"/>
      <c r="CBE11" s="348"/>
      <c r="CBF11" s="348"/>
      <c r="CBG11" s="348"/>
      <c r="CBH11" s="348"/>
      <c r="CBI11" s="348"/>
      <c r="CBJ11" s="348"/>
      <c r="CBK11" s="348"/>
      <c r="CBL11" s="348"/>
      <c r="CBM11" s="348"/>
      <c r="CBN11" s="348"/>
      <c r="CBO11" s="348"/>
      <c r="CBP11" s="348"/>
      <c r="CBQ11" s="348"/>
      <c r="CBR11" s="348"/>
      <c r="CBS11" s="348"/>
      <c r="CBT11" s="348"/>
      <c r="CBU11" s="348"/>
      <c r="CBV11" s="348"/>
      <c r="CBW11" s="348"/>
      <c r="CBX11" s="348"/>
      <c r="CBY11" s="348"/>
      <c r="CBZ11" s="348"/>
      <c r="CCA11" s="348"/>
      <c r="CCB11" s="348"/>
      <c r="CCC11" s="348"/>
      <c r="CCD11" s="348"/>
      <c r="CCE11" s="348"/>
      <c r="CCF11" s="348"/>
      <c r="CCG11" s="348"/>
      <c r="CCH11" s="348"/>
      <c r="CCI11" s="348"/>
      <c r="CCJ11" s="348"/>
      <c r="CCK11" s="348"/>
      <c r="CCL11" s="348"/>
      <c r="CCM11" s="348"/>
      <c r="CCN11" s="348"/>
      <c r="CCO11" s="348"/>
      <c r="CCP11" s="348"/>
      <c r="CCQ11" s="348"/>
      <c r="CCR11" s="348"/>
      <c r="CCS11" s="348"/>
      <c r="CCT11" s="348"/>
      <c r="CCU11" s="348"/>
      <c r="CCV11" s="348"/>
      <c r="CCW11" s="348"/>
      <c r="CCX11" s="348"/>
      <c r="CCY11" s="348"/>
      <c r="CCZ11" s="348"/>
      <c r="CDA11" s="348"/>
      <c r="CDB11" s="348"/>
      <c r="CDC11" s="348"/>
      <c r="CDD11" s="348"/>
      <c r="CDE11" s="348"/>
      <c r="CDF11" s="348"/>
      <c r="CDG11" s="348"/>
      <c r="CDH11" s="348"/>
      <c r="CDI11" s="348"/>
      <c r="CDJ11" s="348"/>
      <c r="CDK11" s="348"/>
      <c r="CDL11" s="348"/>
      <c r="CDM11" s="348"/>
      <c r="CDN11" s="348"/>
      <c r="CDO11" s="348"/>
      <c r="CDP11" s="348"/>
      <c r="CDQ11" s="348"/>
      <c r="CDR11" s="348"/>
      <c r="CDS11" s="348"/>
      <c r="CDT11" s="348"/>
      <c r="CDU11" s="348"/>
      <c r="CDV11" s="348"/>
      <c r="CDW11" s="348"/>
      <c r="CDX11" s="348"/>
      <c r="CDY11" s="348"/>
      <c r="CDZ11" s="348"/>
      <c r="CEA11" s="348"/>
      <c r="CEB11" s="348"/>
      <c r="CEC11" s="348"/>
      <c r="CED11" s="348"/>
      <c r="CEE11" s="348"/>
      <c r="CEF11" s="348"/>
      <c r="CEG11" s="348"/>
      <c r="CEH11" s="348"/>
      <c r="CEI11" s="348"/>
      <c r="CEJ11" s="348"/>
      <c r="CEK11" s="348"/>
      <c r="CEL11" s="348"/>
      <c r="CEM11" s="348"/>
      <c r="CEN11" s="348"/>
      <c r="CEO11" s="348"/>
      <c r="CEP11" s="348"/>
      <c r="CEQ11" s="348"/>
      <c r="CER11" s="348"/>
      <c r="CES11" s="348"/>
      <c r="CET11" s="348"/>
      <c r="CEU11" s="348"/>
      <c r="CEV11" s="348"/>
      <c r="CEW11" s="348"/>
      <c r="CEX11" s="348"/>
      <c r="CEY11" s="348"/>
      <c r="CEZ11" s="348"/>
      <c r="CFA11" s="348"/>
      <c r="CFB11" s="348"/>
      <c r="CFC11" s="348"/>
      <c r="CFD11" s="348"/>
      <c r="CFE11" s="348"/>
      <c r="CFF11" s="348"/>
      <c r="CFG11" s="348"/>
      <c r="CFH11" s="348"/>
      <c r="CFI11" s="348"/>
      <c r="CFJ11" s="348"/>
      <c r="CFK11" s="348"/>
      <c r="CFL11" s="348"/>
      <c r="CFM11" s="348"/>
      <c r="CFN11" s="348"/>
      <c r="CFO11" s="348"/>
      <c r="CFP11" s="348"/>
      <c r="CFQ11" s="348"/>
      <c r="CFR11" s="348"/>
      <c r="CFS11" s="348"/>
      <c r="CFT11" s="348"/>
      <c r="CFU11" s="348"/>
      <c r="CFV11" s="348"/>
      <c r="CFW11" s="348"/>
      <c r="CFX11" s="348"/>
      <c r="CFY11" s="348"/>
      <c r="CFZ11" s="348"/>
      <c r="CGA11" s="348"/>
      <c r="CGB11" s="348"/>
      <c r="CGC11" s="348"/>
      <c r="CGD11" s="348"/>
      <c r="CGE11" s="348"/>
      <c r="CGF11" s="348"/>
      <c r="CGG11" s="348"/>
      <c r="CGH11" s="348"/>
      <c r="CGI11" s="348"/>
      <c r="CGJ11" s="348"/>
      <c r="CGK11" s="348"/>
      <c r="CGL11" s="348"/>
      <c r="CGM11" s="348"/>
      <c r="CGN11" s="348"/>
      <c r="CGO11" s="348"/>
      <c r="CGP11" s="348"/>
      <c r="CGQ11" s="348"/>
      <c r="CGR11" s="348"/>
      <c r="CGS11" s="348"/>
      <c r="CGT11" s="348"/>
      <c r="CGU11" s="348"/>
      <c r="CGV11" s="348"/>
      <c r="CGW11" s="348"/>
      <c r="CGX11" s="348"/>
      <c r="CGY11" s="348"/>
      <c r="CGZ11" s="348"/>
      <c r="CHA11" s="348"/>
      <c r="CHB11" s="348"/>
      <c r="CHC11" s="348"/>
      <c r="CHD11" s="348"/>
      <c r="CHE11" s="348"/>
      <c r="CHF11" s="348"/>
      <c r="CHG11" s="348"/>
      <c r="CHH11" s="348"/>
      <c r="CHI11" s="348"/>
      <c r="CHJ11" s="348"/>
      <c r="CHK11" s="348"/>
      <c r="CHL11" s="348"/>
      <c r="CHM11" s="348"/>
      <c r="CHN11" s="348"/>
      <c r="CHO11" s="348"/>
      <c r="CHP11" s="348"/>
      <c r="CHQ11" s="348"/>
      <c r="CHR11" s="348"/>
      <c r="CHS11" s="348"/>
      <c r="CHT11" s="348"/>
      <c r="CHU11" s="348"/>
      <c r="CHV11" s="348"/>
      <c r="CHW11" s="348"/>
      <c r="CHX11" s="348"/>
      <c r="CHY11" s="348"/>
      <c r="CHZ11" s="348"/>
      <c r="CIA11" s="348"/>
      <c r="CIB11" s="348"/>
      <c r="CIC11" s="348"/>
      <c r="CID11" s="348"/>
      <c r="CIE11" s="348"/>
      <c r="CIF11" s="348"/>
      <c r="CIG11" s="348"/>
      <c r="CIH11" s="348"/>
      <c r="CII11" s="348"/>
      <c r="CIJ11" s="348"/>
      <c r="CIK11" s="348"/>
      <c r="CIL11" s="348"/>
      <c r="CIM11" s="348"/>
      <c r="CIN11" s="348"/>
      <c r="CIO11" s="348"/>
      <c r="CIP11" s="348"/>
      <c r="CIQ11" s="348"/>
      <c r="CIR11" s="348"/>
      <c r="CIS11" s="348"/>
      <c r="CIT11" s="348"/>
      <c r="CIU11" s="348"/>
      <c r="CIV11" s="348"/>
      <c r="CIW11" s="348"/>
      <c r="CIX11" s="348"/>
      <c r="CIY11" s="348"/>
      <c r="CIZ11" s="348"/>
      <c r="CJA11" s="348"/>
      <c r="CJB11" s="348"/>
      <c r="CJC11" s="348"/>
      <c r="CJD11" s="348"/>
      <c r="CJE11" s="348"/>
      <c r="CJF11" s="348"/>
      <c r="CJG11" s="348"/>
      <c r="CJH11" s="348"/>
      <c r="CJI11" s="348"/>
      <c r="CJJ11" s="348"/>
      <c r="CJK11" s="348"/>
      <c r="CJL11" s="348"/>
      <c r="CJM11" s="348"/>
      <c r="CJN11" s="348"/>
      <c r="CJO11" s="348"/>
      <c r="CJP11" s="348"/>
      <c r="CJQ11" s="348"/>
      <c r="CJR11" s="348"/>
      <c r="CJS11" s="348"/>
      <c r="CJT11" s="348"/>
      <c r="CJU11" s="348"/>
      <c r="CJV11" s="348"/>
      <c r="CJW11" s="348"/>
      <c r="CJX11" s="348"/>
      <c r="CJY11" s="348"/>
      <c r="CJZ11" s="348"/>
      <c r="CKA11" s="348"/>
      <c r="CKB11" s="348"/>
      <c r="CKC11" s="348"/>
      <c r="CKD11" s="348"/>
      <c r="CKE11" s="348"/>
      <c r="CKF11" s="348"/>
      <c r="CKG11" s="348"/>
      <c r="CKH11" s="348"/>
      <c r="CKI11" s="348"/>
      <c r="CKJ11" s="348"/>
      <c r="CKK11" s="348"/>
      <c r="CKL11" s="348"/>
      <c r="CKM11" s="348"/>
      <c r="CKN11" s="348"/>
      <c r="CKO11" s="348"/>
      <c r="CKP11" s="348"/>
      <c r="CKQ11" s="348"/>
      <c r="CKR11" s="348"/>
      <c r="CKS11" s="348"/>
      <c r="CKT11" s="348"/>
      <c r="CKU11" s="348"/>
      <c r="CKV11" s="348"/>
      <c r="CKW11" s="348"/>
      <c r="CKX11" s="348"/>
      <c r="CKY11" s="348"/>
      <c r="CKZ11" s="348"/>
      <c r="CLA11" s="348"/>
      <c r="CLB11" s="348"/>
      <c r="CLC11" s="348"/>
      <c r="CLD11" s="348"/>
      <c r="CLE11" s="348"/>
      <c r="CLF11" s="348"/>
      <c r="CLG11" s="348"/>
      <c r="CLH11" s="348"/>
      <c r="CLI11" s="348"/>
      <c r="CLJ11" s="348"/>
      <c r="CLK11" s="348"/>
      <c r="CLL11" s="348"/>
      <c r="CLM11" s="348"/>
      <c r="CLN11" s="348"/>
      <c r="CLO11" s="348"/>
      <c r="CLP11" s="348"/>
      <c r="CLQ11" s="348"/>
      <c r="CLR11" s="348"/>
      <c r="CLS11" s="348"/>
      <c r="CLT11" s="348"/>
      <c r="CLU11" s="348"/>
      <c r="CLV11" s="348"/>
      <c r="CLW11" s="348"/>
      <c r="CLX11" s="348"/>
      <c r="CLY11" s="348"/>
      <c r="CLZ11" s="348"/>
      <c r="CMA11" s="348"/>
      <c r="CMB11" s="348"/>
      <c r="CMC11" s="348"/>
      <c r="CMD11" s="348"/>
      <c r="CME11" s="348"/>
      <c r="CMF11" s="348"/>
      <c r="CMG11" s="348"/>
      <c r="CMH11" s="348"/>
      <c r="CMI11" s="348"/>
      <c r="CMJ11" s="348"/>
      <c r="CMK11" s="348"/>
      <c r="CML11" s="348"/>
      <c r="CMM11" s="348"/>
      <c r="CMN11" s="348"/>
      <c r="CMO11" s="348"/>
      <c r="CMP11" s="348"/>
      <c r="CMQ11" s="348"/>
      <c r="CMR11" s="348"/>
      <c r="CMS11" s="348"/>
      <c r="CMT11" s="348"/>
      <c r="CMU11" s="348"/>
      <c r="CMV11" s="348"/>
      <c r="CMW11" s="348"/>
      <c r="CMX11" s="348"/>
      <c r="CMY11" s="348"/>
      <c r="CMZ11" s="348"/>
      <c r="CNA11" s="348"/>
      <c r="CNB11" s="348"/>
      <c r="CNC11" s="348"/>
      <c r="CND11" s="348"/>
      <c r="CNE11" s="348"/>
      <c r="CNF11" s="348"/>
      <c r="CNG11" s="348"/>
      <c r="CNH11" s="348"/>
      <c r="CNI11" s="348"/>
      <c r="CNJ11" s="348"/>
      <c r="CNK11" s="348"/>
      <c r="CNL11" s="348"/>
      <c r="CNM11" s="348"/>
      <c r="CNN11" s="348"/>
      <c r="CNO11" s="348"/>
      <c r="CNP11" s="348"/>
      <c r="CNQ11" s="348"/>
      <c r="CNR11" s="348"/>
      <c r="CNS11" s="348"/>
      <c r="CNT11" s="348"/>
      <c r="CNU11" s="348"/>
      <c r="CNV11" s="348"/>
      <c r="CNW11" s="348"/>
      <c r="CNX11" s="348"/>
      <c r="CNY11" s="348"/>
      <c r="CNZ11" s="348"/>
      <c r="COA11" s="348"/>
      <c r="COB11" s="348"/>
      <c r="COC11" s="348"/>
      <c r="COD11" s="348"/>
      <c r="COE11" s="348"/>
      <c r="COF11" s="348"/>
      <c r="COG11" s="348"/>
      <c r="COH11" s="348"/>
      <c r="COI11" s="348"/>
      <c r="COJ11" s="348"/>
      <c r="COK11" s="348"/>
      <c r="COL11" s="348"/>
      <c r="COM11" s="348"/>
      <c r="CON11" s="348"/>
      <c r="COO11" s="348"/>
      <c r="COP11" s="348"/>
      <c r="COQ11" s="348"/>
      <c r="COR11" s="348"/>
      <c r="COS11" s="348"/>
      <c r="COT11" s="348"/>
      <c r="COU11" s="348"/>
      <c r="COV11" s="348"/>
      <c r="COW11" s="348"/>
      <c r="COX11" s="348"/>
      <c r="COY11" s="348"/>
      <c r="COZ11" s="348"/>
      <c r="CPA11" s="348"/>
      <c r="CPB11" s="348"/>
      <c r="CPC11" s="348"/>
      <c r="CPD11" s="348"/>
      <c r="CPE11" s="348"/>
      <c r="CPF11" s="348"/>
      <c r="CPG11" s="348"/>
      <c r="CPH11" s="348"/>
      <c r="CPI11" s="348"/>
      <c r="CPJ11" s="348"/>
      <c r="CPK11" s="348"/>
      <c r="CPL11" s="348"/>
      <c r="CPM11" s="348"/>
      <c r="CPN11" s="348"/>
      <c r="CPO11" s="348"/>
      <c r="CPP11" s="348"/>
      <c r="CPQ11" s="348"/>
      <c r="CPR11" s="348"/>
      <c r="CPS11" s="348"/>
      <c r="CPT11" s="348"/>
      <c r="CPU11" s="348"/>
      <c r="CPV11" s="348"/>
      <c r="CPW11" s="348"/>
      <c r="CPX11" s="348"/>
      <c r="CPY11" s="348"/>
      <c r="CPZ11" s="348"/>
      <c r="CQA11" s="348"/>
      <c r="CQB11" s="348"/>
      <c r="CQC11" s="348"/>
      <c r="CQD11" s="348"/>
      <c r="CQE11" s="348"/>
      <c r="CQF11" s="348"/>
      <c r="CQG11" s="348"/>
      <c r="CQH11" s="348"/>
      <c r="CQI11" s="348"/>
      <c r="CQJ11" s="348"/>
      <c r="CQK11" s="348"/>
      <c r="CQL11" s="348"/>
      <c r="CQM11" s="348"/>
      <c r="CQN11" s="348"/>
      <c r="CQO11" s="348"/>
      <c r="CQP11" s="348"/>
      <c r="CQQ11" s="348"/>
      <c r="CQR11" s="348"/>
      <c r="CQS11" s="348"/>
      <c r="CQT11" s="348"/>
      <c r="CQU11" s="348"/>
      <c r="CQV11" s="348"/>
      <c r="CQW11" s="348"/>
      <c r="CQX11" s="348"/>
      <c r="CQY11" s="348"/>
      <c r="CQZ11" s="348"/>
      <c r="CRA11" s="348"/>
      <c r="CRB11" s="348"/>
      <c r="CRC11" s="348"/>
      <c r="CRD11" s="348"/>
      <c r="CRE11" s="348"/>
      <c r="CRF11" s="348"/>
      <c r="CRG11" s="348"/>
      <c r="CRH11" s="348"/>
      <c r="CRI11" s="348"/>
      <c r="CRJ11" s="348"/>
      <c r="CRK11" s="348"/>
      <c r="CRL11" s="348"/>
      <c r="CRM11" s="348"/>
      <c r="CRN11" s="348"/>
      <c r="CRO11" s="348"/>
      <c r="CRP11" s="348"/>
      <c r="CRQ11" s="348"/>
      <c r="CRR11" s="348"/>
      <c r="CRS11" s="348"/>
      <c r="CRT11" s="348"/>
      <c r="CRU11" s="348"/>
      <c r="CRV11" s="348"/>
      <c r="CRW11" s="348"/>
      <c r="CRX11" s="348"/>
      <c r="CRY11" s="348"/>
      <c r="CRZ11" s="348"/>
      <c r="CSA11" s="348"/>
      <c r="CSB11" s="348"/>
      <c r="CSC11" s="348"/>
      <c r="CSD11" s="348"/>
      <c r="CSE11" s="348"/>
      <c r="CSF11" s="348"/>
      <c r="CSG11" s="348"/>
      <c r="CSH11" s="348"/>
      <c r="CSI11" s="348"/>
      <c r="CSJ11" s="348"/>
      <c r="CSK11" s="348"/>
      <c r="CSL11" s="348"/>
      <c r="CSM11" s="348"/>
      <c r="CSN11" s="348"/>
      <c r="CSO11" s="348"/>
      <c r="CSP11" s="348"/>
      <c r="CSQ11" s="348"/>
      <c r="CSR11" s="348"/>
      <c r="CSS11" s="348"/>
      <c r="CST11" s="348"/>
      <c r="CSU11" s="348"/>
      <c r="CSV11" s="348"/>
      <c r="CSW11" s="348"/>
      <c r="CSX11" s="348"/>
      <c r="CSY11" s="348"/>
      <c r="CSZ11" s="348"/>
      <c r="CTA11" s="348"/>
      <c r="CTB11" s="348"/>
      <c r="CTC11" s="348"/>
      <c r="CTD11" s="348"/>
      <c r="CTE11" s="348"/>
      <c r="CTF11" s="348"/>
      <c r="CTG11" s="348"/>
      <c r="CTH11" s="348"/>
      <c r="CTI11" s="348"/>
      <c r="CTJ11" s="348"/>
      <c r="CTK11" s="348"/>
      <c r="CTL11" s="348"/>
      <c r="CTM11" s="348"/>
      <c r="CTN11" s="348"/>
      <c r="CTO11" s="348"/>
      <c r="CTP11" s="348"/>
      <c r="CTQ11" s="348"/>
      <c r="CTR11" s="348"/>
      <c r="CTS11" s="348"/>
      <c r="CTT11" s="348"/>
      <c r="CTU11" s="348"/>
      <c r="CTV11" s="348"/>
      <c r="CTW11" s="348"/>
      <c r="CTX11" s="348"/>
      <c r="CTY11" s="348"/>
      <c r="CTZ11" s="348"/>
      <c r="CUA11" s="348"/>
      <c r="CUB11" s="348"/>
      <c r="CUC11" s="348"/>
      <c r="CUD11" s="348"/>
      <c r="CUE11" s="348"/>
      <c r="CUF11" s="348"/>
      <c r="CUG11" s="348"/>
      <c r="CUH11" s="348"/>
      <c r="CUI11" s="348"/>
      <c r="CUJ11" s="348"/>
      <c r="CUK11" s="348"/>
      <c r="CUL11" s="348"/>
      <c r="CUM11" s="348"/>
      <c r="CUN11" s="348"/>
      <c r="CUO11" s="348"/>
      <c r="CUP11" s="348"/>
      <c r="CUQ11" s="348"/>
      <c r="CUR11" s="348"/>
      <c r="CUS11" s="348"/>
      <c r="CUT11" s="348"/>
      <c r="CUU11" s="348"/>
      <c r="CUV11" s="348"/>
      <c r="CUW11" s="348"/>
      <c r="CUX11" s="348"/>
      <c r="CUY11" s="348"/>
      <c r="CUZ11" s="348"/>
      <c r="CVA11" s="348"/>
      <c r="CVB11" s="348"/>
      <c r="CVC11" s="348"/>
      <c r="CVD11" s="348"/>
      <c r="CVE11" s="348"/>
      <c r="CVF11" s="348"/>
      <c r="CVG11" s="348"/>
      <c r="CVH11" s="348"/>
      <c r="CVI11" s="348"/>
      <c r="CVJ11" s="348"/>
      <c r="CVK11" s="348"/>
      <c r="CVL11" s="348"/>
      <c r="CVM11" s="348"/>
      <c r="CVN11" s="348"/>
      <c r="CVO11" s="348"/>
      <c r="CVP11" s="348"/>
      <c r="CVQ11" s="348"/>
      <c r="CVR11" s="348"/>
      <c r="CVS11" s="348"/>
      <c r="CVT11" s="348"/>
      <c r="CVU11" s="348"/>
      <c r="CVV11" s="348"/>
      <c r="CVW11" s="348"/>
      <c r="CVX11" s="348"/>
      <c r="CVY11" s="348"/>
      <c r="CVZ11" s="348"/>
      <c r="CWA11" s="348"/>
      <c r="CWB11" s="348"/>
      <c r="CWC11" s="348"/>
      <c r="CWD11" s="348"/>
      <c r="CWE11" s="348"/>
      <c r="CWF11" s="348"/>
      <c r="CWG11" s="348"/>
      <c r="CWH11" s="348"/>
      <c r="CWI11" s="348"/>
      <c r="CWJ11" s="348"/>
      <c r="CWK11" s="348"/>
      <c r="CWL11" s="348"/>
      <c r="CWM11" s="348"/>
      <c r="CWN11" s="348"/>
      <c r="CWO11" s="348"/>
      <c r="CWP11" s="348"/>
      <c r="CWQ11" s="348"/>
      <c r="CWR11" s="348"/>
      <c r="CWS11" s="348"/>
      <c r="CWT11" s="348"/>
      <c r="CWU11" s="348"/>
      <c r="CWV11" s="348"/>
      <c r="CWW11" s="348"/>
      <c r="CWX11" s="348"/>
      <c r="CWY11" s="348"/>
      <c r="CWZ11" s="348"/>
      <c r="CXA11" s="348"/>
      <c r="CXB11" s="348"/>
      <c r="CXC11" s="348"/>
      <c r="CXD11" s="348"/>
      <c r="CXE11" s="348"/>
      <c r="CXF11" s="348"/>
      <c r="CXG11" s="348"/>
      <c r="CXH11" s="348"/>
      <c r="CXI11" s="348"/>
      <c r="CXJ11" s="348"/>
      <c r="CXK11" s="348"/>
      <c r="CXL11" s="348"/>
      <c r="CXM11" s="348"/>
      <c r="CXN11" s="348"/>
      <c r="CXO11" s="348"/>
      <c r="CXP11" s="348"/>
      <c r="CXQ11" s="348"/>
      <c r="CXR11" s="348"/>
      <c r="CXS11" s="348"/>
      <c r="CXT11" s="348"/>
      <c r="CXU11" s="348"/>
      <c r="CXV11" s="348"/>
      <c r="CXW11" s="348"/>
      <c r="CXX11" s="348"/>
      <c r="CXY11" s="348"/>
      <c r="CXZ11" s="348"/>
      <c r="CYA11" s="348"/>
      <c r="CYB11" s="348"/>
      <c r="CYC11" s="348"/>
      <c r="CYD11" s="348"/>
      <c r="CYE11" s="348"/>
      <c r="CYF11" s="348"/>
      <c r="CYG11" s="348"/>
      <c r="CYH11" s="348"/>
      <c r="CYI11" s="348"/>
      <c r="CYJ11" s="348"/>
      <c r="CYK11" s="348"/>
      <c r="CYL11" s="348"/>
      <c r="CYM11" s="348"/>
      <c r="CYN11" s="348"/>
      <c r="CYO11" s="348"/>
      <c r="CYP11" s="348"/>
      <c r="CYQ11" s="348"/>
      <c r="CYR11" s="348"/>
      <c r="CYS11" s="348"/>
      <c r="CYT11" s="348"/>
      <c r="CYU11" s="348"/>
      <c r="CYV11" s="348"/>
      <c r="CYW11" s="348"/>
      <c r="CYX11" s="348"/>
      <c r="CYY11" s="348"/>
      <c r="CYZ11" s="348"/>
      <c r="CZA11" s="348"/>
      <c r="CZB11" s="348"/>
      <c r="CZC11" s="348"/>
      <c r="CZD11" s="348"/>
      <c r="CZE11" s="348"/>
      <c r="CZF11" s="348"/>
      <c r="CZG11" s="348"/>
      <c r="CZH11" s="348"/>
      <c r="CZI11" s="348"/>
      <c r="CZJ11" s="348"/>
      <c r="CZK11" s="348"/>
      <c r="CZL11" s="348"/>
      <c r="CZM11" s="348"/>
      <c r="CZN11" s="348"/>
      <c r="CZO11" s="348"/>
      <c r="CZP11" s="348"/>
      <c r="CZQ11" s="348"/>
      <c r="CZR11" s="348"/>
      <c r="CZS11" s="348"/>
      <c r="CZT11" s="348"/>
      <c r="CZU11" s="348"/>
      <c r="CZV11" s="348"/>
      <c r="CZW11" s="348"/>
      <c r="CZX11" s="348"/>
      <c r="CZY11" s="348"/>
      <c r="CZZ11" s="348"/>
      <c r="DAA11" s="348"/>
      <c r="DAB11" s="348"/>
      <c r="DAC11" s="348"/>
      <c r="DAD11" s="348"/>
      <c r="DAE11" s="348"/>
      <c r="DAF11" s="348"/>
      <c r="DAG11" s="348"/>
      <c r="DAH11" s="348"/>
      <c r="DAI11" s="348"/>
      <c r="DAJ11" s="348"/>
      <c r="DAK11" s="348"/>
      <c r="DAL11" s="348"/>
      <c r="DAM11" s="348"/>
      <c r="DAN11" s="348"/>
      <c r="DAO11" s="348"/>
      <c r="DAP11" s="348"/>
      <c r="DAQ11" s="348"/>
      <c r="DAR11" s="348"/>
      <c r="DAS11" s="348"/>
      <c r="DAT11" s="348"/>
      <c r="DAU11" s="348"/>
      <c r="DAV11" s="348"/>
      <c r="DAW11" s="348"/>
      <c r="DAX11" s="348"/>
      <c r="DAY11" s="348"/>
      <c r="DAZ11" s="348"/>
      <c r="DBA11" s="348"/>
      <c r="DBB11" s="348"/>
      <c r="DBC11" s="348"/>
      <c r="DBD11" s="348"/>
      <c r="DBE11" s="348"/>
      <c r="DBF11" s="348"/>
      <c r="DBG11" s="348"/>
      <c r="DBH11" s="348"/>
      <c r="DBI11" s="348"/>
      <c r="DBJ11" s="348"/>
      <c r="DBK11" s="348"/>
      <c r="DBL11" s="348"/>
      <c r="DBM11" s="348"/>
      <c r="DBN11" s="348"/>
      <c r="DBO11" s="348"/>
      <c r="DBP11" s="348"/>
      <c r="DBQ11" s="348"/>
      <c r="DBR11" s="348"/>
      <c r="DBS11" s="348"/>
      <c r="DBT11" s="348"/>
      <c r="DBU11" s="348"/>
      <c r="DBV11" s="348"/>
      <c r="DBW11" s="348"/>
      <c r="DBX11" s="348"/>
      <c r="DBY11" s="348"/>
      <c r="DBZ11" s="348"/>
      <c r="DCA11" s="348"/>
      <c r="DCB11" s="348"/>
      <c r="DCC11" s="348"/>
      <c r="DCD11" s="348"/>
      <c r="DCE11" s="348"/>
      <c r="DCF11" s="348"/>
      <c r="DCG11" s="348"/>
      <c r="DCH11" s="348"/>
      <c r="DCI11" s="348"/>
      <c r="DCJ11" s="348"/>
      <c r="DCK11" s="348"/>
      <c r="DCL11" s="348"/>
      <c r="DCM11" s="348"/>
      <c r="DCN11" s="348"/>
      <c r="DCO11" s="348"/>
      <c r="DCP11" s="348"/>
      <c r="DCQ11" s="348"/>
      <c r="DCR11" s="348"/>
      <c r="DCS11" s="348"/>
      <c r="DCT11" s="348"/>
      <c r="DCU11" s="348"/>
      <c r="DCV11" s="348"/>
      <c r="DCW11" s="348"/>
      <c r="DCX11" s="348"/>
      <c r="DCY11" s="348"/>
      <c r="DCZ11" s="348"/>
      <c r="DDA11" s="348"/>
      <c r="DDB11" s="348"/>
      <c r="DDC11" s="348"/>
      <c r="DDD11" s="348"/>
      <c r="DDE11" s="348"/>
      <c r="DDF11" s="348"/>
      <c r="DDG11" s="348"/>
      <c r="DDH11" s="348"/>
      <c r="DDI11" s="348"/>
      <c r="DDJ11" s="348"/>
      <c r="DDK11" s="348"/>
      <c r="DDL11" s="348"/>
      <c r="DDM11" s="348"/>
      <c r="DDN11" s="348"/>
      <c r="DDO11" s="348"/>
      <c r="DDP11" s="348"/>
      <c r="DDQ11" s="348"/>
      <c r="DDR11" s="348"/>
      <c r="DDS11" s="348"/>
      <c r="DDT11" s="348"/>
      <c r="DDU11" s="348"/>
      <c r="DDV11" s="348"/>
      <c r="DDW11" s="348"/>
      <c r="DDX11" s="348"/>
      <c r="DDY11" s="348"/>
      <c r="DDZ11" s="348"/>
      <c r="DEA11" s="348"/>
      <c r="DEB11" s="348"/>
      <c r="DEC11" s="348"/>
      <c r="DED11" s="348"/>
      <c r="DEE11" s="348"/>
      <c r="DEF11" s="348"/>
      <c r="DEG11" s="348"/>
      <c r="DEH11" s="348"/>
      <c r="DEI11" s="348"/>
      <c r="DEJ11" s="348"/>
      <c r="DEK11" s="348"/>
      <c r="DEL11" s="348"/>
      <c r="DEM11" s="348"/>
      <c r="DEN11" s="348"/>
      <c r="DEO11" s="348"/>
      <c r="DEP11" s="348"/>
      <c r="DEQ11" s="348"/>
      <c r="DER11" s="348"/>
      <c r="DES11" s="348"/>
      <c r="DET11" s="348"/>
      <c r="DEU11" s="348"/>
      <c r="DEV11" s="348"/>
      <c r="DEW11" s="348"/>
      <c r="DEX11" s="348"/>
      <c r="DEY11" s="348"/>
      <c r="DEZ11" s="348"/>
      <c r="DFA11" s="348"/>
      <c r="DFB11" s="348"/>
      <c r="DFC11" s="348"/>
      <c r="DFD11" s="348"/>
      <c r="DFE11" s="348"/>
      <c r="DFF11" s="348"/>
      <c r="DFG11" s="348"/>
      <c r="DFH11" s="348"/>
      <c r="DFI11" s="348"/>
      <c r="DFJ11" s="348"/>
      <c r="DFK11" s="348"/>
      <c r="DFL11" s="348"/>
      <c r="DFM11" s="348"/>
      <c r="DFN11" s="348"/>
      <c r="DFO11" s="348"/>
      <c r="DFP11" s="348"/>
      <c r="DFQ11" s="348"/>
      <c r="DFR11" s="348"/>
      <c r="DFS11" s="348"/>
      <c r="DFT11" s="348"/>
      <c r="DFU11" s="348"/>
      <c r="DFV11" s="348"/>
      <c r="DFW11" s="348"/>
      <c r="DFX11" s="348"/>
      <c r="DFY11" s="348"/>
      <c r="DFZ11" s="348"/>
      <c r="DGA11" s="348"/>
      <c r="DGB11" s="348"/>
      <c r="DGC11" s="348"/>
      <c r="DGD11" s="348"/>
      <c r="DGE11" s="348"/>
      <c r="DGF11" s="348"/>
      <c r="DGG11" s="348"/>
      <c r="DGH11" s="348"/>
      <c r="DGI11" s="348"/>
      <c r="DGJ11" s="348"/>
      <c r="DGK11" s="348"/>
      <c r="DGL11" s="348"/>
      <c r="DGM11" s="348"/>
      <c r="DGN11" s="348"/>
      <c r="DGO11" s="348"/>
      <c r="DGP11" s="348"/>
      <c r="DGQ11" s="348"/>
      <c r="DGR11" s="348"/>
      <c r="DGS11" s="348"/>
      <c r="DGT11" s="348"/>
      <c r="DGU11" s="348"/>
      <c r="DGV11" s="348"/>
      <c r="DGW11" s="348"/>
      <c r="DGX11" s="348"/>
      <c r="DGY11" s="348"/>
      <c r="DGZ11" s="348"/>
      <c r="DHA11" s="348"/>
      <c r="DHB11" s="348"/>
      <c r="DHC11" s="348"/>
      <c r="DHD11" s="348"/>
      <c r="DHE11" s="348"/>
      <c r="DHF11" s="348"/>
      <c r="DHG11" s="348"/>
      <c r="DHH11" s="348"/>
      <c r="DHI11" s="348"/>
      <c r="DHJ11" s="348"/>
      <c r="DHK11" s="348"/>
      <c r="DHL11" s="348"/>
      <c r="DHM11" s="348"/>
      <c r="DHN11" s="348"/>
      <c r="DHO11" s="348"/>
      <c r="DHP11" s="348"/>
      <c r="DHQ11" s="348"/>
      <c r="DHR11" s="348"/>
      <c r="DHS11" s="348"/>
      <c r="DHT11" s="348"/>
      <c r="DHU11" s="348"/>
      <c r="DHV11" s="348"/>
      <c r="DHW11" s="348"/>
      <c r="DHX11" s="348"/>
      <c r="DHY11" s="348"/>
      <c r="DHZ11" s="348"/>
      <c r="DIA11" s="348"/>
      <c r="DIB11" s="348"/>
      <c r="DIC11" s="348"/>
      <c r="DID11" s="348"/>
      <c r="DIE11" s="348"/>
      <c r="DIF11" s="348"/>
      <c r="DIG11" s="348"/>
      <c r="DIH11" s="348"/>
      <c r="DII11" s="348"/>
      <c r="DIJ11" s="348"/>
      <c r="DIK11" s="348"/>
      <c r="DIL11" s="348"/>
      <c r="DIM11" s="348"/>
      <c r="DIN11" s="348"/>
      <c r="DIO11" s="348"/>
      <c r="DIP11" s="348"/>
      <c r="DIQ11" s="348"/>
      <c r="DIR11" s="348"/>
      <c r="DIS11" s="348"/>
      <c r="DIT11" s="348"/>
      <c r="DIU11" s="348"/>
      <c r="DIV11" s="348"/>
      <c r="DIW11" s="348"/>
      <c r="DIX11" s="348"/>
      <c r="DIY11" s="348"/>
      <c r="DIZ11" s="348"/>
      <c r="DJA11" s="348"/>
      <c r="DJB11" s="348"/>
      <c r="DJC11" s="348"/>
      <c r="DJD11" s="348"/>
      <c r="DJE11" s="348"/>
      <c r="DJF11" s="348"/>
      <c r="DJG11" s="348"/>
      <c r="DJH11" s="348"/>
      <c r="DJI11" s="348"/>
      <c r="DJJ11" s="348"/>
      <c r="DJK11" s="348"/>
      <c r="DJL11" s="348"/>
      <c r="DJM11" s="348"/>
      <c r="DJN11" s="348"/>
      <c r="DJO11" s="348"/>
      <c r="DJP11" s="348"/>
      <c r="DJQ11" s="348"/>
      <c r="DJR11" s="348"/>
      <c r="DJS11" s="348"/>
      <c r="DJT11" s="348"/>
      <c r="DJU11" s="348"/>
      <c r="DJV11" s="348"/>
      <c r="DJW11" s="348"/>
      <c r="DJX11" s="348"/>
      <c r="DJY11" s="348"/>
      <c r="DJZ11" s="348"/>
      <c r="DKA11" s="348"/>
      <c r="DKB11" s="348"/>
      <c r="DKC11" s="348"/>
      <c r="DKD11" s="348"/>
      <c r="DKE11" s="348"/>
      <c r="DKF11" s="348"/>
      <c r="DKG11" s="348"/>
      <c r="DKH11" s="348"/>
      <c r="DKI11" s="348"/>
      <c r="DKJ11" s="348"/>
      <c r="DKK11" s="348"/>
      <c r="DKL11" s="348"/>
      <c r="DKM11" s="348"/>
      <c r="DKN11" s="348"/>
      <c r="DKO11" s="348"/>
      <c r="DKP11" s="348"/>
      <c r="DKQ11" s="348"/>
      <c r="DKR11" s="348"/>
      <c r="DKS11" s="348"/>
      <c r="DKT11" s="348"/>
      <c r="DKU11" s="348"/>
      <c r="DKV11" s="348"/>
      <c r="DKW11" s="348"/>
      <c r="DKX11" s="348"/>
      <c r="DKY11" s="348"/>
      <c r="DKZ11" s="348"/>
      <c r="DLA11" s="348"/>
      <c r="DLB11" s="348"/>
      <c r="DLC11" s="348"/>
      <c r="DLD11" s="348"/>
      <c r="DLE11" s="348"/>
      <c r="DLF11" s="348"/>
      <c r="DLG11" s="348"/>
      <c r="DLH11" s="348"/>
      <c r="DLI11" s="348"/>
      <c r="DLJ11" s="348"/>
      <c r="DLK11" s="348"/>
      <c r="DLL11" s="348"/>
      <c r="DLM11" s="348"/>
      <c r="DLN11" s="348"/>
      <c r="DLO11" s="348"/>
      <c r="DLP11" s="348"/>
      <c r="DLQ11" s="348"/>
      <c r="DLR11" s="348"/>
      <c r="DLS11" s="348"/>
      <c r="DLT11" s="348"/>
      <c r="DLU11" s="348"/>
      <c r="DLV11" s="348"/>
      <c r="DLW11" s="348"/>
      <c r="DLX11" s="348"/>
      <c r="DLY11" s="348"/>
      <c r="DLZ11" s="348"/>
      <c r="DMA11" s="348"/>
      <c r="DMB11" s="348"/>
      <c r="DMC11" s="348"/>
      <c r="DMD11" s="348"/>
      <c r="DME11" s="348"/>
      <c r="DMF11" s="348"/>
      <c r="DMG11" s="348"/>
      <c r="DMH11" s="348"/>
      <c r="DMI11" s="348"/>
      <c r="DMJ11" s="348"/>
      <c r="DMK11" s="348"/>
      <c r="DML11" s="348"/>
      <c r="DMM11" s="348"/>
      <c r="DMN11" s="348"/>
      <c r="DMO11" s="348"/>
      <c r="DMP11" s="348"/>
      <c r="DMQ11" s="348"/>
      <c r="DMR11" s="348"/>
      <c r="DMS11" s="348"/>
      <c r="DMT11" s="348"/>
      <c r="DMU11" s="348"/>
      <c r="DMV11" s="348"/>
      <c r="DMW11" s="348"/>
      <c r="DMX11" s="348"/>
      <c r="DMY11" s="348"/>
      <c r="DMZ11" s="348"/>
      <c r="DNA11" s="348"/>
      <c r="DNB11" s="348"/>
      <c r="DNC11" s="348"/>
      <c r="DND11" s="348"/>
      <c r="DNE11" s="348"/>
      <c r="DNF11" s="348"/>
      <c r="DNG11" s="348"/>
      <c r="DNH11" s="348"/>
      <c r="DNI11" s="348"/>
      <c r="DNJ11" s="348"/>
      <c r="DNK11" s="348"/>
      <c r="DNL11" s="348"/>
      <c r="DNM11" s="348"/>
      <c r="DNN11" s="348"/>
      <c r="DNO11" s="348"/>
      <c r="DNP11" s="348"/>
      <c r="DNQ11" s="348"/>
      <c r="DNR11" s="348"/>
      <c r="DNS11" s="348"/>
      <c r="DNT11" s="348"/>
      <c r="DNU11" s="348"/>
      <c r="DNV11" s="348"/>
      <c r="DNW11" s="348"/>
      <c r="DNX11" s="348"/>
      <c r="DNY11" s="348"/>
      <c r="DNZ11" s="348"/>
      <c r="DOA11" s="348"/>
      <c r="DOB11" s="348"/>
      <c r="DOC11" s="348"/>
      <c r="DOD11" s="348"/>
      <c r="DOE11" s="348"/>
      <c r="DOF11" s="348"/>
      <c r="DOG11" s="348"/>
      <c r="DOH11" s="348"/>
      <c r="DOI11" s="348"/>
      <c r="DOJ11" s="348"/>
      <c r="DOK11" s="348"/>
      <c r="DOL11" s="348"/>
      <c r="DOM11" s="348"/>
      <c r="DON11" s="348"/>
      <c r="DOO11" s="348"/>
      <c r="DOP11" s="348"/>
      <c r="DOQ11" s="348"/>
      <c r="DOR11" s="348"/>
      <c r="DOS11" s="348"/>
      <c r="DOT11" s="348"/>
      <c r="DOU11" s="348"/>
      <c r="DOV11" s="348"/>
      <c r="DOW11" s="348"/>
      <c r="DOX11" s="348"/>
      <c r="DOY11" s="348"/>
      <c r="DOZ11" s="348"/>
      <c r="DPA11" s="348"/>
      <c r="DPB11" s="348"/>
      <c r="DPC11" s="348"/>
      <c r="DPD11" s="348"/>
      <c r="DPE11" s="348"/>
      <c r="DPF11" s="348"/>
      <c r="DPG11" s="348"/>
      <c r="DPH11" s="348"/>
      <c r="DPI11" s="348"/>
      <c r="DPJ11" s="348"/>
      <c r="DPK11" s="348"/>
      <c r="DPL11" s="348"/>
      <c r="DPM11" s="348"/>
      <c r="DPN11" s="348"/>
      <c r="DPO11" s="348"/>
      <c r="DPP11" s="348"/>
      <c r="DPQ11" s="348"/>
      <c r="DPR11" s="348"/>
      <c r="DPS11" s="348"/>
      <c r="DPT11" s="348"/>
      <c r="DPU11" s="348"/>
      <c r="DPV11" s="348"/>
      <c r="DPW11" s="348"/>
      <c r="DPX11" s="348"/>
      <c r="DPY11" s="348"/>
      <c r="DPZ11" s="348"/>
      <c r="DQA11" s="348"/>
      <c r="DQB11" s="348"/>
      <c r="DQC11" s="348"/>
      <c r="DQD11" s="348"/>
      <c r="DQE11" s="348"/>
      <c r="DQF11" s="348"/>
      <c r="DQG11" s="348"/>
      <c r="DQH11" s="348"/>
      <c r="DQI11" s="348"/>
      <c r="DQJ11" s="348"/>
      <c r="DQK11" s="348"/>
      <c r="DQL11" s="348"/>
      <c r="DQM11" s="348"/>
      <c r="DQN11" s="348"/>
      <c r="DQO11" s="348"/>
      <c r="DQP11" s="348"/>
      <c r="DQQ11" s="348"/>
      <c r="DQR11" s="348"/>
      <c r="DQS11" s="348"/>
      <c r="DQT11" s="348"/>
      <c r="DQU11" s="348"/>
      <c r="DQV11" s="348"/>
      <c r="DQW11" s="348"/>
      <c r="DQX11" s="348"/>
      <c r="DQY11" s="348"/>
      <c r="DQZ11" s="348"/>
      <c r="DRA11" s="348"/>
      <c r="DRB11" s="348"/>
      <c r="DRC11" s="348"/>
      <c r="DRD11" s="348"/>
      <c r="DRE11" s="348"/>
      <c r="DRF11" s="348"/>
      <c r="DRG11" s="348"/>
      <c r="DRH11" s="348"/>
      <c r="DRI11" s="348"/>
      <c r="DRJ11" s="348"/>
      <c r="DRK11" s="348"/>
      <c r="DRL11" s="348"/>
      <c r="DRM11" s="348"/>
      <c r="DRN11" s="348"/>
      <c r="DRO11" s="348"/>
      <c r="DRP11" s="348"/>
      <c r="DRQ11" s="348"/>
      <c r="DRR11" s="348"/>
      <c r="DRS11" s="348"/>
      <c r="DRT11" s="348"/>
      <c r="DRU11" s="348"/>
      <c r="DRV11" s="348"/>
      <c r="DRW11" s="348"/>
      <c r="DRX11" s="348"/>
      <c r="DRY11" s="348"/>
      <c r="DRZ11" s="348"/>
      <c r="DSA11" s="348"/>
      <c r="DSB11" s="348"/>
      <c r="DSC11" s="348"/>
      <c r="DSD11" s="348"/>
      <c r="DSE11" s="348"/>
      <c r="DSF11" s="348"/>
      <c r="DSG11" s="348"/>
      <c r="DSH11" s="348"/>
      <c r="DSI11" s="348"/>
      <c r="DSJ11" s="348"/>
      <c r="DSK11" s="348"/>
      <c r="DSL11" s="348"/>
      <c r="DSM11" s="348"/>
      <c r="DSN11" s="348"/>
      <c r="DSO11" s="348"/>
      <c r="DSP11" s="348"/>
      <c r="DSQ11" s="348"/>
      <c r="DSR11" s="348"/>
      <c r="DSS11" s="348"/>
      <c r="DST11" s="348"/>
      <c r="DSU11" s="348"/>
      <c r="DSV11" s="348"/>
      <c r="DSW11" s="348"/>
      <c r="DSX11" s="348"/>
      <c r="DSY11" s="348"/>
      <c r="DSZ11" s="348"/>
      <c r="DTA11" s="348"/>
      <c r="DTB11" s="348"/>
      <c r="DTC11" s="348"/>
      <c r="DTD11" s="348"/>
      <c r="DTE11" s="348"/>
      <c r="DTF11" s="348"/>
      <c r="DTG11" s="348"/>
      <c r="DTH11" s="348"/>
      <c r="DTI11" s="348"/>
      <c r="DTJ11" s="348"/>
      <c r="DTK11" s="348"/>
      <c r="DTL11" s="348"/>
      <c r="DTM11" s="348"/>
      <c r="DTN11" s="348"/>
      <c r="DTO11" s="348"/>
      <c r="DTP11" s="348"/>
      <c r="DTQ11" s="348"/>
      <c r="DTR11" s="348"/>
      <c r="DTS11" s="348"/>
      <c r="DTT11" s="348"/>
      <c r="DTU11" s="348"/>
      <c r="DTV11" s="348"/>
      <c r="DTW11" s="348"/>
      <c r="DTX11" s="348"/>
      <c r="DTY11" s="348"/>
      <c r="DTZ11" s="348"/>
      <c r="DUA11" s="348"/>
      <c r="DUB11" s="348"/>
      <c r="DUC11" s="348"/>
      <c r="DUD11" s="348"/>
      <c r="DUE11" s="348"/>
      <c r="DUF11" s="348"/>
      <c r="DUG11" s="348"/>
      <c r="DUH11" s="348"/>
      <c r="DUI11" s="348"/>
      <c r="DUJ11" s="348"/>
      <c r="DUK11" s="348"/>
      <c r="DUL11" s="348"/>
      <c r="DUM11" s="348"/>
      <c r="DUN11" s="348"/>
      <c r="DUO11" s="348"/>
      <c r="DUP11" s="348"/>
      <c r="DUQ11" s="348"/>
      <c r="DUR11" s="348"/>
      <c r="DUS11" s="348"/>
      <c r="DUT11" s="348"/>
      <c r="DUU11" s="348"/>
      <c r="DUV11" s="348"/>
      <c r="DUW11" s="348"/>
      <c r="DUX11" s="348"/>
      <c r="DUY11" s="348"/>
      <c r="DUZ11" s="348"/>
      <c r="DVA11" s="348"/>
      <c r="DVB11" s="348"/>
      <c r="DVC11" s="348"/>
      <c r="DVD11" s="348"/>
      <c r="DVE11" s="348"/>
      <c r="DVF11" s="348"/>
      <c r="DVG11" s="348"/>
      <c r="DVH11" s="348"/>
      <c r="DVI11" s="348"/>
      <c r="DVJ11" s="348"/>
      <c r="DVK11" s="348"/>
      <c r="DVL11" s="348"/>
      <c r="DVM11" s="348"/>
      <c r="DVN11" s="348"/>
      <c r="DVO11" s="348"/>
      <c r="DVP11" s="348"/>
      <c r="DVQ11" s="348"/>
      <c r="DVR11" s="348"/>
      <c r="DVS11" s="348"/>
      <c r="DVT11" s="348"/>
      <c r="DVU11" s="348"/>
      <c r="DVV11" s="348"/>
      <c r="DVW11" s="348"/>
      <c r="DVX11" s="348"/>
      <c r="DVY11" s="348"/>
      <c r="DVZ11" s="348"/>
      <c r="DWA11" s="348"/>
      <c r="DWB11" s="348"/>
      <c r="DWC11" s="348"/>
      <c r="DWD11" s="348"/>
      <c r="DWE11" s="348"/>
      <c r="DWF11" s="348"/>
      <c r="DWG11" s="348"/>
      <c r="DWH11" s="348"/>
      <c r="DWI11" s="348"/>
      <c r="DWJ11" s="348"/>
      <c r="DWK11" s="348"/>
      <c r="DWL11" s="348"/>
      <c r="DWM11" s="348"/>
      <c r="DWN11" s="348"/>
      <c r="DWO11" s="348"/>
      <c r="DWP11" s="348"/>
      <c r="DWQ11" s="348"/>
      <c r="DWR11" s="348"/>
      <c r="DWS11" s="348"/>
      <c r="DWT11" s="348"/>
      <c r="DWU11" s="348"/>
      <c r="DWV11" s="348"/>
      <c r="DWW11" s="348"/>
      <c r="DWX11" s="348"/>
      <c r="DWY11" s="348"/>
      <c r="DWZ11" s="348"/>
      <c r="DXA11" s="348"/>
      <c r="DXB11" s="348"/>
      <c r="DXC11" s="348"/>
      <c r="DXD11" s="348"/>
      <c r="DXE11" s="348"/>
      <c r="DXF11" s="348"/>
      <c r="DXG11" s="348"/>
      <c r="DXH11" s="348"/>
      <c r="DXI11" s="348"/>
      <c r="DXJ11" s="348"/>
      <c r="DXK11" s="348"/>
      <c r="DXL11" s="348"/>
      <c r="DXM11" s="348"/>
      <c r="DXN11" s="348"/>
      <c r="DXO11" s="348"/>
      <c r="DXP11" s="348"/>
      <c r="DXQ11" s="348"/>
      <c r="DXR11" s="348"/>
      <c r="DXS11" s="348"/>
      <c r="DXT11" s="348"/>
      <c r="DXU11" s="348"/>
      <c r="DXV11" s="348"/>
      <c r="DXW11" s="348"/>
      <c r="DXX11" s="348"/>
      <c r="DXY11" s="348"/>
      <c r="DXZ11" s="348"/>
      <c r="DYA11" s="348"/>
      <c r="DYB11" s="348"/>
      <c r="DYC11" s="348"/>
      <c r="DYD11" s="348"/>
      <c r="DYE11" s="348"/>
      <c r="DYF11" s="348"/>
      <c r="DYG11" s="348"/>
      <c r="DYH11" s="348"/>
      <c r="DYI11" s="348"/>
      <c r="DYJ11" s="348"/>
      <c r="DYK11" s="348"/>
      <c r="DYL11" s="348"/>
      <c r="DYM11" s="348"/>
      <c r="DYN11" s="348"/>
      <c r="DYO11" s="348"/>
      <c r="DYP11" s="348"/>
      <c r="DYQ11" s="348"/>
      <c r="DYR11" s="348"/>
      <c r="DYS11" s="348"/>
      <c r="DYT11" s="348"/>
      <c r="DYU11" s="348"/>
      <c r="DYV11" s="348"/>
      <c r="DYW11" s="348"/>
      <c r="DYX11" s="348"/>
      <c r="DYY11" s="348"/>
      <c r="DYZ11" s="348"/>
      <c r="DZA11" s="348"/>
      <c r="DZB11" s="348"/>
      <c r="DZC11" s="348"/>
      <c r="DZD11" s="348"/>
      <c r="DZE11" s="348"/>
      <c r="DZF11" s="348"/>
      <c r="DZG11" s="348"/>
      <c r="DZH11" s="348"/>
      <c r="DZI11" s="348"/>
      <c r="DZJ11" s="348"/>
      <c r="DZK11" s="348"/>
      <c r="DZL11" s="348"/>
      <c r="DZM11" s="348"/>
      <c r="DZN11" s="348"/>
      <c r="DZO11" s="348"/>
      <c r="DZP11" s="348"/>
      <c r="DZQ11" s="348"/>
      <c r="DZR11" s="348"/>
      <c r="DZS11" s="348"/>
      <c r="DZT11" s="348"/>
      <c r="DZU11" s="348"/>
      <c r="DZV11" s="348"/>
      <c r="DZW11" s="348"/>
      <c r="DZX11" s="348"/>
      <c r="DZY11" s="348"/>
      <c r="DZZ11" s="348"/>
      <c r="EAA11" s="348"/>
      <c r="EAB11" s="348"/>
      <c r="EAC11" s="348"/>
      <c r="EAD11" s="348"/>
      <c r="EAE11" s="348"/>
      <c r="EAF11" s="348"/>
      <c r="EAG11" s="348"/>
      <c r="EAH11" s="348"/>
      <c r="EAI11" s="348"/>
      <c r="EAJ11" s="348"/>
      <c r="EAK11" s="348"/>
      <c r="EAL11" s="348"/>
      <c r="EAM11" s="348"/>
      <c r="EAN11" s="348"/>
      <c r="EAO11" s="348"/>
      <c r="EAP11" s="348"/>
      <c r="EAQ11" s="348"/>
      <c r="EAR11" s="348"/>
      <c r="EAS11" s="348"/>
      <c r="EAT11" s="348"/>
      <c r="EAU11" s="348"/>
      <c r="EAV11" s="348"/>
      <c r="EAW11" s="348"/>
      <c r="EAX11" s="348"/>
      <c r="EAY11" s="348"/>
      <c r="EAZ11" s="348"/>
      <c r="EBA11" s="348"/>
      <c r="EBB11" s="348"/>
      <c r="EBC11" s="348"/>
      <c r="EBD11" s="348"/>
      <c r="EBE11" s="348"/>
      <c r="EBF11" s="348"/>
      <c r="EBG11" s="348"/>
      <c r="EBH11" s="348"/>
      <c r="EBI11" s="348"/>
      <c r="EBJ11" s="348"/>
      <c r="EBK11" s="348"/>
      <c r="EBL11" s="348"/>
      <c r="EBM11" s="348"/>
      <c r="EBN11" s="348"/>
      <c r="EBO11" s="348"/>
      <c r="EBP11" s="348"/>
      <c r="EBQ11" s="348"/>
      <c r="EBR11" s="348"/>
      <c r="EBS11" s="348"/>
      <c r="EBT11" s="348"/>
      <c r="EBU11" s="348"/>
      <c r="EBV11" s="348"/>
      <c r="EBW11" s="348"/>
      <c r="EBX11" s="348"/>
      <c r="EBY11" s="348"/>
      <c r="EBZ11" s="348"/>
      <c r="ECA11" s="348"/>
      <c r="ECB11" s="348"/>
      <c r="ECC11" s="348"/>
      <c r="ECD11" s="348"/>
      <c r="ECE11" s="348"/>
      <c r="ECF11" s="348"/>
      <c r="ECG11" s="348"/>
      <c r="ECH11" s="348"/>
      <c r="ECI11" s="348"/>
      <c r="ECJ11" s="348"/>
      <c r="ECK11" s="348"/>
      <c r="ECL11" s="348"/>
      <c r="ECM11" s="348"/>
      <c r="ECN11" s="348"/>
      <c r="ECO11" s="348"/>
      <c r="ECP11" s="348"/>
      <c r="ECQ11" s="348"/>
      <c r="ECR11" s="348"/>
      <c r="ECS11" s="348"/>
      <c r="ECT11" s="348"/>
      <c r="ECU11" s="348"/>
      <c r="ECV11" s="348"/>
      <c r="ECW11" s="348"/>
      <c r="ECX11" s="348"/>
      <c r="ECY11" s="348"/>
      <c r="ECZ11" s="348"/>
      <c r="EDA11" s="348"/>
      <c r="EDB11" s="348"/>
      <c r="EDC11" s="348"/>
      <c r="EDD11" s="348"/>
      <c r="EDE11" s="348"/>
      <c r="EDF11" s="348"/>
      <c r="EDG11" s="348"/>
      <c r="EDH11" s="348"/>
      <c r="EDI11" s="348"/>
      <c r="EDJ11" s="348"/>
      <c r="EDK11" s="348"/>
      <c r="EDL11" s="348"/>
      <c r="EDM11" s="348"/>
      <c r="EDN11" s="348"/>
      <c r="EDO11" s="348"/>
      <c r="EDP11" s="348"/>
      <c r="EDQ11" s="348"/>
      <c r="EDR11" s="348"/>
      <c r="EDS11" s="348"/>
      <c r="EDT11" s="348"/>
      <c r="EDU11" s="348"/>
      <c r="EDV11" s="348"/>
      <c r="EDW11" s="348"/>
      <c r="EDX11" s="348"/>
      <c r="EDY11" s="348"/>
      <c r="EDZ11" s="348"/>
      <c r="EEA11" s="348"/>
      <c r="EEB11" s="348"/>
      <c r="EEC11" s="348"/>
      <c r="EED11" s="348"/>
      <c r="EEE11" s="348"/>
      <c r="EEF11" s="348"/>
      <c r="EEG11" s="348"/>
      <c r="EEH11" s="348"/>
      <c r="EEI11" s="348"/>
      <c r="EEJ11" s="348"/>
      <c r="EEK11" s="348"/>
      <c r="EEL11" s="348"/>
      <c r="EEM11" s="348"/>
      <c r="EEN11" s="348"/>
      <c r="EEO11" s="348"/>
      <c r="EEP11" s="348"/>
      <c r="EEQ11" s="348"/>
      <c r="EER11" s="348"/>
      <c r="EES11" s="348"/>
      <c r="EET11" s="348"/>
      <c r="EEU11" s="348"/>
      <c r="EEV11" s="348"/>
      <c r="EEW11" s="348"/>
      <c r="EEX11" s="348"/>
      <c r="EEY11" s="348"/>
      <c r="EEZ11" s="348"/>
      <c r="EFA11" s="348"/>
      <c r="EFB11" s="348"/>
      <c r="EFC11" s="348"/>
      <c r="EFD11" s="348"/>
      <c r="EFE11" s="348"/>
      <c r="EFF11" s="348"/>
      <c r="EFG11" s="348"/>
      <c r="EFH11" s="348"/>
      <c r="EFI11" s="348"/>
      <c r="EFJ11" s="348"/>
      <c r="EFK11" s="348"/>
      <c r="EFL11" s="348"/>
      <c r="EFM11" s="348"/>
      <c r="EFN11" s="348"/>
      <c r="EFO11" s="348"/>
      <c r="EFP11" s="348"/>
      <c r="EFQ11" s="348"/>
      <c r="EFR11" s="348"/>
      <c r="EFS11" s="348"/>
      <c r="EFT11" s="348"/>
      <c r="EFU11" s="348"/>
      <c r="EFV11" s="348"/>
      <c r="EFW11" s="348"/>
      <c r="EFX11" s="348"/>
      <c r="EFY11" s="348"/>
      <c r="EFZ11" s="348"/>
      <c r="EGA11" s="348"/>
      <c r="EGB11" s="348"/>
      <c r="EGC11" s="348"/>
      <c r="EGD11" s="348"/>
      <c r="EGE11" s="348"/>
      <c r="EGF11" s="348"/>
      <c r="EGG11" s="348"/>
      <c r="EGH11" s="348"/>
      <c r="EGI11" s="348"/>
      <c r="EGJ11" s="348"/>
      <c r="EGK11" s="348"/>
      <c r="EGL11" s="348"/>
      <c r="EGM11" s="348"/>
      <c r="EGN11" s="348"/>
      <c r="EGO11" s="348"/>
      <c r="EGP11" s="348"/>
      <c r="EGQ11" s="348"/>
      <c r="EGR11" s="348"/>
      <c r="EGS11" s="348"/>
      <c r="EGT11" s="348"/>
      <c r="EGU11" s="348"/>
      <c r="EGV11" s="348"/>
      <c r="EGW11" s="348"/>
      <c r="EGX11" s="348"/>
      <c r="EGY11" s="348"/>
      <c r="EGZ11" s="348"/>
      <c r="EHA11" s="348"/>
      <c r="EHB11" s="348"/>
      <c r="EHC11" s="348"/>
      <c r="EHD11" s="348"/>
      <c r="EHE11" s="348"/>
      <c r="EHF11" s="348"/>
      <c r="EHG11" s="348"/>
      <c r="EHH11" s="348"/>
      <c r="EHI11" s="348"/>
      <c r="EHJ11" s="348"/>
      <c r="EHK11" s="348"/>
      <c r="EHL11" s="348"/>
      <c r="EHM11" s="348"/>
      <c r="EHN11" s="348"/>
      <c r="EHO11" s="348"/>
      <c r="EHP11" s="348"/>
      <c r="EHQ11" s="348"/>
      <c r="EHR11" s="348"/>
      <c r="EHS11" s="348"/>
      <c r="EHT11" s="348"/>
      <c r="EHU11" s="348"/>
      <c r="EHV11" s="348"/>
      <c r="EHW11" s="348"/>
      <c r="EHX11" s="348"/>
      <c r="EHY11" s="348"/>
      <c r="EHZ11" s="348"/>
      <c r="EIA11" s="348"/>
      <c r="EIB11" s="348"/>
      <c r="EIC11" s="348"/>
      <c r="EID11" s="348"/>
      <c r="EIE11" s="348"/>
      <c r="EIF11" s="348"/>
      <c r="EIG11" s="348"/>
      <c r="EIH11" s="348"/>
      <c r="EII11" s="348"/>
      <c r="EIJ11" s="348"/>
      <c r="EIK11" s="348"/>
      <c r="EIL11" s="348"/>
      <c r="EIM11" s="348"/>
      <c r="EIN11" s="348"/>
      <c r="EIO11" s="348"/>
      <c r="EIP11" s="348"/>
      <c r="EIQ11" s="348"/>
      <c r="EIR11" s="348"/>
      <c r="EIS11" s="348"/>
      <c r="EIT11" s="348"/>
      <c r="EIU11" s="348"/>
      <c r="EIV11" s="348"/>
      <c r="EIW11" s="348"/>
      <c r="EIX11" s="348"/>
      <c r="EIY11" s="348"/>
      <c r="EIZ11" s="348"/>
      <c r="EJA11" s="348"/>
      <c r="EJB11" s="348"/>
      <c r="EJC11" s="348"/>
      <c r="EJD11" s="348"/>
      <c r="EJE11" s="348"/>
      <c r="EJF11" s="348"/>
      <c r="EJG11" s="348"/>
      <c r="EJH11" s="348"/>
      <c r="EJI11" s="348"/>
      <c r="EJJ11" s="348"/>
      <c r="EJK11" s="348"/>
      <c r="EJL11" s="348"/>
      <c r="EJM11" s="348"/>
      <c r="EJN11" s="348"/>
      <c r="EJO11" s="348"/>
      <c r="EJP11" s="348"/>
      <c r="EJQ11" s="348"/>
      <c r="EJR11" s="348"/>
      <c r="EJS11" s="348"/>
      <c r="EJT11" s="348"/>
      <c r="EJU11" s="348"/>
      <c r="EJV11" s="348"/>
      <c r="EJW11" s="348"/>
      <c r="EJX11" s="348"/>
      <c r="EJY11" s="348"/>
      <c r="EJZ11" s="348"/>
      <c r="EKA11" s="348"/>
      <c r="EKB11" s="348"/>
      <c r="EKC11" s="348"/>
      <c r="EKD11" s="348"/>
      <c r="EKE11" s="348"/>
      <c r="EKF11" s="348"/>
      <c r="EKG11" s="348"/>
      <c r="EKH11" s="348"/>
      <c r="EKI11" s="348"/>
      <c r="EKJ11" s="348"/>
      <c r="EKK11" s="348"/>
      <c r="EKL11" s="348"/>
      <c r="EKM11" s="348"/>
      <c r="EKN11" s="348"/>
      <c r="EKO11" s="348"/>
      <c r="EKP11" s="348"/>
      <c r="EKQ11" s="348"/>
      <c r="EKR11" s="348"/>
      <c r="EKS11" s="348"/>
      <c r="EKT11" s="348"/>
      <c r="EKU11" s="348"/>
      <c r="EKV11" s="348"/>
      <c r="EKW11" s="348"/>
      <c r="EKX11" s="348"/>
      <c r="EKY11" s="348"/>
      <c r="EKZ11" s="348"/>
      <c r="ELA11" s="348"/>
      <c r="ELB11" s="348"/>
      <c r="ELC11" s="348"/>
      <c r="ELD11" s="348"/>
      <c r="ELE11" s="348"/>
      <c r="ELF11" s="348"/>
      <c r="ELG11" s="348"/>
      <c r="ELH11" s="348"/>
      <c r="ELI11" s="348"/>
      <c r="ELJ11" s="348"/>
      <c r="ELK11" s="348"/>
      <c r="ELL11" s="348"/>
      <c r="ELM11" s="348"/>
      <c r="ELN11" s="348"/>
      <c r="ELO11" s="348"/>
      <c r="ELP11" s="348"/>
      <c r="ELQ11" s="348"/>
      <c r="ELR11" s="348"/>
      <c r="ELS11" s="348"/>
      <c r="ELT11" s="348"/>
      <c r="ELU11" s="348"/>
      <c r="ELV11" s="348"/>
      <c r="ELW11" s="348"/>
      <c r="ELX11" s="348"/>
      <c r="ELY11" s="348"/>
      <c r="ELZ11" s="348"/>
      <c r="EMA11" s="348"/>
      <c r="EMB11" s="348"/>
      <c r="EMC11" s="348"/>
      <c r="EMD11" s="348"/>
      <c r="EME11" s="348"/>
      <c r="EMF11" s="348"/>
      <c r="EMG11" s="348"/>
      <c r="EMH11" s="348"/>
      <c r="EMI11" s="348"/>
      <c r="EMJ11" s="348"/>
      <c r="EMK11" s="348"/>
      <c r="EML11" s="348"/>
      <c r="EMM11" s="348"/>
      <c r="EMN11" s="348"/>
      <c r="EMO11" s="348"/>
      <c r="EMP11" s="348"/>
      <c r="EMQ11" s="348"/>
      <c r="EMR11" s="348"/>
      <c r="EMS11" s="348"/>
      <c r="EMT11" s="348"/>
      <c r="EMU11" s="348"/>
      <c r="EMV11" s="348"/>
      <c r="EMW11" s="348"/>
      <c r="EMX11" s="348"/>
      <c r="EMY11" s="348"/>
      <c r="EMZ11" s="348"/>
      <c r="ENA11" s="348"/>
      <c r="ENB11" s="348"/>
      <c r="ENC11" s="348"/>
      <c r="END11" s="348"/>
      <c r="ENE11" s="348"/>
      <c r="ENF11" s="348"/>
      <c r="ENG11" s="348"/>
      <c r="ENH11" s="348"/>
      <c r="ENI11" s="348"/>
      <c r="ENJ11" s="348"/>
      <c r="ENK11" s="348"/>
      <c r="ENL11" s="348"/>
      <c r="ENM11" s="348"/>
      <c r="ENN11" s="348"/>
      <c r="ENO11" s="348"/>
      <c r="ENP11" s="348"/>
      <c r="ENQ11" s="348"/>
      <c r="ENR11" s="348"/>
      <c r="ENS11" s="348"/>
      <c r="ENT11" s="348"/>
      <c r="ENU11" s="348"/>
      <c r="ENV11" s="348"/>
      <c r="ENW11" s="348"/>
      <c r="ENX11" s="348"/>
      <c r="ENY11" s="348"/>
      <c r="ENZ11" s="348"/>
      <c r="EOA11" s="348"/>
      <c r="EOB11" s="348"/>
      <c r="EOC11" s="348"/>
      <c r="EOD11" s="348"/>
      <c r="EOE11" s="348"/>
      <c r="EOF11" s="348"/>
      <c r="EOG11" s="348"/>
      <c r="EOH11" s="348"/>
      <c r="EOI11" s="348"/>
      <c r="EOJ11" s="348"/>
      <c r="EOK11" s="348"/>
      <c r="EOL11" s="348"/>
      <c r="EOM11" s="348"/>
      <c r="EON11" s="348"/>
      <c r="EOO11" s="348"/>
      <c r="EOP11" s="348"/>
      <c r="EOQ11" s="348"/>
      <c r="EOR11" s="348"/>
      <c r="EOS11" s="348"/>
      <c r="EOT11" s="348"/>
      <c r="EOU11" s="348"/>
      <c r="EOV11" s="348"/>
      <c r="EOW11" s="348"/>
      <c r="EOX11" s="348"/>
      <c r="EOY11" s="348"/>
      <c r="EOZ11" s="348"/>
      <c r="EPA11" s="348"/>
      <c r="EPB11" s="348"/>
      <c r="EPC11" s="348"/>
      <c r="EPD11" s="348"/>
      <c r="EPE11" s="348"/>
      <c r="EPF11" s="348"/>
      <c r="EPG11" s="348"/>
      <c r="EPH11" s="348"/>
      <c r="EPI11" s="348"/>
      <c r="EPJ11" s="348"/>
      <c r="EPK11" s="348"/>
      <c r="EPL11" s="348"/>
      <c r="EPM11" s="348"/>
      <c r="EPN11" s="348"/>
      <c r="EPO11" s="348"/>
      <c r="EPP11" s="348"/>
      <c r="EPQ11" s="348"/>
      <c r="EPR11" s="348"/>
      <c r="EPS11" s="348"/>
      <c r="EPT11" s="348"/>
      <c r="EPU11" s="348"/>
      <c r="EPV11" s="348"/>
      <c r="EPW11" s="348"/>
      <c r="EPX11" s="348"/>
      <c r="EPY11" s="348"/>
      <c r="EPZ11" s="348"/>
      <c r="EQA11" s="348"/>
      <c r="EQB11" s="348"/>
      <c r="EQC11" s="348"/>
      <c r="EQD11" s="348"/>
      <c r="EQE11" s="348"/>
      <c r="EQF11" s="348"/>
      <c r="EQG11" s="348"/>
      <c r="EQH11" s="348"/>
      <c r="EQI11" s="348"/>
      <c r="EQJ11" s="348"/>
      <c r="EQK11" s="348"/>
      <c r="EQL11" s="348"/>
      <c r="EQM11" s="348"/>
      <c r="EQN11" s="348"/>
      <c r="EQO11" s="348"/>
      <c r="EQP11" s="348"/>
      <c r="EQQ11" s="348"/>
      <c r="EQR11" s="348"/>
      <c r="EQS11" s="348"/>
      <c r="EQT11" s="348"/>
      <c r="EQU11" s="348"/>
      <c r="EQV11" s="348"/>
      <c r="EQW11" s="348"/>
      <c r="EQX11" s="348"/>
      <c r="EQY11" s="348"/>
      <c r="EQZ11" s="348"/>
      <c r="ERA11" s="348"/>
      <c r="ERB11" s="348"/>
      <c r="ERC11" s="348"/>
      <c r="ERD11" s="348"/>
      <c r="ERE11" s="348"/>
      <c r="ERF11" s="348"/>
      <c r="ERG11" s="348"/>
      <c r="ERH11" s="348"/>
      <c r="ERI11" s="348"/>
      <c r="ERJ11" s="348"/>
      <c r="ERK11" s="348"/>
      <c r="ERL11" s="348"/>
      <c r="ERM11" s="348"/>
      <c r="ERN11" s="348"/>
      <c r="ERO11" s="348"/>
      <c r="ERP11" s="348"/>
      <c r="ERQ11" s="348"/>
      <c r="ERR11" s="348"/>
      <c r="ERS11" s="348"/>
      <c r="ERT11" s="348"/>
      <c r="ERU11" s="348"/>
      <c r="ERV11" s="348"/>
      <c r="ERW11" s="348"/>
      <c r="ERX11" s="348"/>
      <c r="ERY11" s="348"/>
      <c r="ERZ11" s="348"/>
      <c r="ESA11" s="348"/>
      <c r="ESB11" s="348"/>
      <c r="ESC11" s="348"/>
      <c r="ESD11" s="348"/>
      <c r="ESE11" s="348"/>
      <c r="ESF11" s="348"/>
      <c r="ESG11" s="348"/>
      <c r="ESH11" s="348"/>
      <c r="ESI11" s="348"/>
      <c r="ESJ11" s="348"/>
      <c r="ESK11" s="348"/>
      <c r="ESL11" s="348"/>
      <c r="ESM11" s="348"/>
      <c r="ESN11" s="348"/>
      <c r="ESO11" s="348"/>
      <c r="ESP11" s="348"/>
      <c r="ESQ11" s="348"/>
      <c r="ESR11" s="348"/>
      <c r="ESS11" s="348"/>
      <c r="EST11" s="348"/>
      <c r="ESU11" s="348"/>
      <c r="ESV11" s="348"/>
      <c r="ESW11" s="348"/>
      <c r="ESX11" s="348"/>
      <c r="ESY11" s="348"/>
      <c r="ESZ11" s="348"/>
      <c r="ETA11" s="348"/>
      <c r="ETB11" s="348"/>
      <c r="ETC11" s="348"/>
      <c r="ETD11" s="348"/>
      <c r="ETE11" s="348"/>
      <c r="ETF11" s="348"/>
      <c r="ETG11" s="348"/>
      <c r="ETH11" s="348"/>
      <c r="ETI11" s="348"/>
      <c r="ETJ11" s="348"/>
      <c r="ETK11" s="348"/>
      <c r="ETL11" s="348"/>
      <c r="ETM11" s="348"/>
      <c r="ETN11" s="348"/>
      <c r="ETO11" s="348"/>
      <c r="ETP11" s="348"/>
      <c r="ETQ11" s="348"/>
      <c r="ETR11" s="348"/>
      <c r="ETS11" s="348"/>
      <c r="ETT11" s="348"/>
      <c r="ETU11" s="348"/>
      <c r="ETV11" s="348"/>
      <c r="ETW11" s="348"/>
      <c r="ETX11" s="348"/>
      <c r="ETY11" s="348"/>
      <c r="ETZ11" s="348"/>
      <c r="EUA11" s="348"/>
      <c r="EUB11" s="348"/>
      <c r="EUC11" s="348"/>
      <c r="EUD11" s="348"/>
      <c r="EUE11" s="348"/>
      <c r="EUF11" s="348"/>
      <c r="EUG11" s="348"/>
      <c r="EUH11" s="348"/>
      <c r="EUI11" s="348"/>
      <c r="EUJ11" s="348"/>
      <c r="EUK11" s="348"/>
      <c r="EUL11" s="348"/>
      <c r="EUM11" s="348"/>
      <c r="EUN11" s="348"/>
      <c r="EUO11" s="348"/>
      <c r="EUP11" s="348"/>
      <c r="EUQ11" s="348"/>
      <c r="EUR11" s="348"/>
      <c r="EUS11" s="348"/>
      <c r="EUT11" s="348"/>
      <c r="EUU11" s="348"/>
      <c r="EUV11" s="348"/>
      <c r="EUW11" s="348"/>
      <c r="EUX11" s="348"/>
      <c r="EUY11" s="348"/>
      <c r="EUZ11" s="348"/>
      <c r="EVA11" s="348"/>
      <c r="EVB11" s="348"/>
      <c r="EVC11" s="348"/>
      <c r="EVD11" s="348"/>
      <c r="EVE11" s="348"/>
      <c r="EVF11" s="348"/>
      <c r="EVG11" s="348"/>
      <c r="EVH11" s="348"/>
      <c r="EVI11" s="348"/>
      <c r="EVJ11" s="348"/>
      <c r="EVK11" s="348"/>
      <c r="EVL11" s="348"/>
      <c r="EVM11" s="348"/>
      <c r="EVN11" s="348"/>
      <c r="EVO11" s="348"/>
      <c r="EVP11" s="348"/>
      <c r="EVQ11" s="348"/>
      <c r="EVR11" s="348"/>
      <c r="EVS11" s="348"/>
      <c r="EVT11" s="348"/>
      <c r="EVU11" s="348"/>
      <c r="EVV11" s="348"/>
      <c r="EVW11" s="348"/>
      <c r="EVX11" s="348"/>
      <c r="EVY11" s="348"/>
      <c r="EVZ11" s="348"/>
      <c r="EWA11" s="348"/>
      <c r="EWB11" s="348"/>
      <c r="EWC11" s="348"/>
      <c r="EWD11" s="348"/>
      <c r="EWE11" s="348"/>
      <c r="EWF11" s="348"/>
      <c r="EWG11" s="348"/>
      <c r="EWH11" s="348"/>
      <c r="EWI11" s="348"/>
      <c r="EWJ11" s="348"/>
      <c r="EWK11" s="348"/>
      <c r="EWL11" s="348"/>
      <c r="EWM11" s="348"/>
      <c r="EWN11" s="348"/>
      <c r="EWO11" s="348"/>
      <c r="EWP11" s="348"/>
      <c r="EWQ11" s="348"/>
      <c r="EWR11" s="348"/>
      <c r="EWS11" s="348"/>
      <c r="EWT11" s="348"/>
      <c r="EWU11" s="348"/>
      <c r="EWV11" s="348"/>
      <c r="EWW11" s="348"/>
      <c r="EWX11" s="348"/>
      <c r="EWY11" s="348"/>
      <c r="EWZ11" s="348"/>
      <c r="EXA11" s="348"/>
      <c r="EXB11" s="348"/>
      <c r="EXC11" s="348"/>
      <c r="EXD11" s="348"/>
      <c r="EXE11" s="348"/>
      <c r="EXF11" s="348"/>
      <c r="EXG11" s="348"/>
      <c r="EXH11" s="348"/>
      <c r="EXI11" s="348"/>
      <c r="EXJ11" s="348"/>
      <c r="EXK11" s="348"/>
      <c r="EXL11" s="348"/>
      <c r="EXM11" s="348"/>
      <c r="EXN11" s="348"/>
      <c r="EXO11" s="348"/>
      <c r="EXP11" s="348"/>
      <c r="EXQ11" s="348"/>
      <c r="EXR11" s="348"/>
      <c r="EXS11" s="348"/>
      <c r="EXT11" s="348"/>
      <c r="EXU11" s="348"/>
      <c r="EXV11" s="348"/>
      <c r="EXW11" s="348"/>
      <c r="EXX11" s="348"/>
      <c r="EXY11" s="348"/>
      <c r="EXZ11" s="348"/>
      <c r="EYA11" s="348"/>
      <c r="EYB11" s="348"/>
      <c r="EYC11" s="348"/>
      <c r="EYD11" s="348"/>
      <c r="EYE11" s="348"/>
      <c r="EYF11" s="348"/>
      <c r="EYG11" s="348"/>
      <c r="EYH11" s="348"/>
      <c r="EYI11" s="348"/>
      <c r="EYJ11" s="348"/>
      <c r="EYK11" s="348"/>
      <c r="EYL11" s="348"/>
      <c r="EYM11" s="348"/>
      <c r="EYN11" s="348"/>
      <c r="EYO11" s="348"/>
      <c r="EYP11" s="348"/>
      <c r="EYQ11" s="348"/>
      <c r="EYR11" s="348"/>
      <c r="EYS11" s="348"/>
      <c r="EYT11" s="348"/>
      <c r="EYU11" s="348"/>
      <c r="EYV11" s="348"/>
      <c r="EYW11" s="348"/>
      <c r="EYX11" s="348"/>
      <c r="EYY11" s="348"/>
      <c r="EYZ11" s="348"/>
      <c r="EZA11" s="348"/>
      <c r="EZB11" s="348"/>
      <c r="EZC11" s="348"/>
      <c r="EZD11" s="348"/>
      <c r="EZE11" s="348"/>
      <c r="EZF11" s="348"/>
      <c r="EZG11" s="348"/>
      <c r="EZH11" s="348"/>
      <c r="EZI11" s="348"/>
      <c r="EZJ11" s="348"/>
      <c r="EZK11" s="348"/>
      <c r="EZL11" s="348"/>
      <c r="EZM11" s="348"/>
      <c r="EZN11" s="348"/>
      <c r="EZO11" s="348"/>
      <c r="EZP11" s="348"/>
      <c r="EZQ11" s="348"/>
      <c r="EZR11" s="348"/>
      <c r="EZS11" s="348"/>
      <c r="EZT11" s="348"/>
      <c r="EZU11" s="348"/>
      <c r="EZV11" s="348"/>
      <c r="EZW11" s="348"/>
      <c r="EZX11" s="348"/>
      <c r="EZY11" s="348"/>
      <c r="EZZ11" s="348"/>
      <c r="FAA11" s="348"/>
      <c r="FAB11" s="348"/>
      <c r="FAC11" s="348"/>
      <c r="FAD11" s="348"/>
      <c r="FAE11" s="348"/>
      <c r="FAF11" s="348"/>
      <c r="FAG11" s="348"/>
      <c r="FAH11" s="348"/>
      <c r="FAI11" s="348"/>
      <c r="FAJ11" s="348"/>
      <c r="FAK11" s="348"/>
      <c r="FAL11" s="348"/>
      <c r="FAM11" s="348"/>
      <c r="FAN11" s="348"/>
      <c r="FAO11" s="348"/>
      <c r="FAP11" s="348"/>
      <c r="FAQ11" s="348"/>
      <c r="FAR11" s="348"/>
      <c r="FAS11" s="348"/>
      <c r="FAT11" s="348"/>
      <c r="FAU11" s="348"/>
      <c r="FAV11" s="348"/>
      <c r="FAW11" s="348"/>
      <c r="FAX11" s="348"/>
      <c r="FAY11" s="348"/>
      <c r="FAZ11" s="348"/>
      <c r="FBA11" s="348"/>
      <c r="FBB11" s="348"/>
      <c r="FBC11" s="348"/>
      <c r="FBD11" s="348"/>
      <c r="FBE11" s="348"/>
      <c r="FBF11" s="348"/>
      <c r="FBG11" s="348"/>
      <c r="FBH11" s="348"/>
      <c r="FBI11" s="348"/>
      <c r="FBJ11" s="348"/>
      <c r="FBK11" s="348"/>
      <c r="FBL11" s="348"/>
      <c r="FBM11" s="348"/>
      <c r="FBN11" s="348"/>
      <c r="FBO11" s="348"/>
      <c r="FBP11" s="348"/>
      <c r="FBQ11" s="348"/>
      <c r="FBR11" s="348"/>
      <c r="FBS11" s="348"/>
      <c r="FBT11" s="348"/>
      <c r="FBU11" s="348"/>
      <c r="FBV11" s="348"/>
      <c r="FBW11" s="348"/>
      <c r="FBX11" s="348"/>
      <c r="FBY11" s="348"/>
      <c r="FBZ11" s="348"/>
      <c r="FCA11" s="348"/>
      <c r="FCB11" s="348"/>
      <c r="FCC11" s="348"/>
      <c r="FCD11" s="348"/>
      <c r="FCE11" s="348"/>
      <c r="FCF11" s="348"/>
      <c r="FCG11" s="348"/>
      <c r="FCH11" s="348"/>
      <c r="FCI11" s="348"/>
      <c r="FCJ11" s="348"/>
      <c r="FCK11" s="348"/>
      <c r="FCL11" s="348"/>
      <c r="FCM11" s="348"/>
      <c r="FCN11" s="348"/>
      <c r="FCO11" s="348"/>
      <c r="FCP11" s="348"/>
      <c r="FCQ11" s="348"/>
      <c r="FCR11" s="348"/>
      <c r="FCS11" s="348"/>
      <c r="FCT11" s="348"/>
      <c r="FCU11" s="348"/>
      <c r="FCV11" s="348"/>
      <c r="FCW11" s="348"/>
      <c r="FCX11" s="348"/>
      <c r="FCY11" s="348"/>
      <c r="FCZ11" s="348"/>
      <c r="FDA11" s="348"/>
      <c r="FDB11" s="348"/>
      <c r="FDC11" s="348"/>
      <c r="FDD11" s="348"/>
      <c r="FDE11" s="348"/>
      <c r="FDF11" s="348"/>
      <c r="FDG11" s="348"/>
      <c r="FDH11" s="348"/>
      <c r="FDI11" s="348"/>
      <c r="FDJ11" s="348"/>
      <c r="FDK11" s="348"/>
      <c r="FDL11" s="348"/>
      <c r="FDM11" s="348"/>
      <c r="FDN11" s="348"/>
      <c r="FDO11" s="348"/>
      <c r="FDP11" s="348"/>
      <c r="FDQ11" s="348"/>
      <c r="FDR11" s="348"/>
      <c r="FDS11" s="348"/>
      <c r="FDT11" s="348"/>
      <c r="FDU11" s="348"/>
      <c r="FDV11" s="348"/>
      <c r="FDW11" s="348"/>
      <c r="FDX11" s="348"/>
      <c r="FDY11" s="348"/>
      <c r="FDZ11" s="348"/>
      <c r="FEA11" s="348"/>
      <c r="FEB11" s="348"/>
      <c r="FEC11" s="348"/>
      <c r="FED11" s="348"/>
      <c r="FEE11" s="348"/>
      <c r="FEF11" s="348"/>
      <c r="FEG11" s="348"/>
      <c r="FEH11" s="348"/>
      <c r="FEI11" s="348"/>
      <c r="FEJ11" s="348"/>
      <c r="FEK11" s="348"/>
      <c r="FEL11" s="348"/>
      <c r="FEM11" s="348"/>
      <c r="FEN11" s="348"/>
      <c r="FEO11" s="348"/>
      <c r="FEP11" s="348"/>
      <c r="FEQ11" s="348"/>
      <c r="FER11" s="348"/>
      <c r="FES11" s="348"/>
      <c r="FET11" s="348"/>
      <c r="FEU11" s="348"/>
      <c r="FEV11" s="348"/>
      <c r="FEW11" s="348"/>
      <c r="FEX11" s="348"/>
      <c r="FEY11" s="348"/>
      <c r="FEZ11" s="348"/>
      <c r="FFA11" s="348"/>
      <c r="FFB11" s="348"/>
      <c r="FFC11" s="348"/>
      <c r="FFD11" s="348"/>
      <c r="FFE11" s="348"/>
      <c r="FFF11" s="348"/>
      <c r="FFG11" s="348"/>
      <c r="FFH11" s="348"/>
      <c r="FFI11" s="348"/>
      <c r="FFJ11" s="348"/>
      <c r="FFK11" s="348"/>
      <c r="FFL11" s="348"/>
      <c r="FFM11" s="348"/>
      <c r="FFN11" s="348"/>
      <c r="FFO11" s="348"/>
      <c r="FFP11" s="348"/>
      <c r="FFQ11" s="348"/>
      <c r="FFR11" s="348"/>
      <c r="FFS11" s="348"/>
      <c r="FFT11" s="348"/>
      <c r="FFU11" s="348"/>
      <c r="FFV11" s="348"/>
      <c r="FFW11" s="348"/>
      <c r="FFX11" s="348"/>
      <c r="FFY11" s="348"/>
      <c r="FFZ11" s="348"/>
      <c r="FGA11" s="348"/>
      <c r="FGB11" s="348"/>
      <c r="FGC11" s="348"/>
      <c r="FGD11" s="348"/>
      <c r="FGE11" s="348"/>
      <c r="FGF11" s="348"/>
      <c r="FGG11" s="348"/>
      <c r="FGH11" s="348"/>
      <c r="FGI11" s="348"/>
      <c r="FGJ11" s="348"/>
      <c r="FGK11" s="348"/>
      <c r="FGL11" s="348"/>
      <c r="FGM11" s="348"/>
      <c r="FGN11" s="348"/>
      <c r="FGO11" s="348"/>
      <c r="FGP11" s="348"/>
      <c r="FGQ11" s="348"/>
      <c r="FGR11" s="348"/>
      <c r="FGS11" s="348"/>
      <c r="FGT11" s="348"/>
      <c r="FGU11" s="348"/>
      <c r="FGV11" s="348"/>
      <c r="FGW11" s="348"/>
      <c r="FGX11" s="348"/>
      <c r="FGY11" s="348"/>
      <c r="FGZ11" s="348"/>
      <c r="FHA11" s="348"/>
      <c r="FHB11" s="348"/>
      <c r="FHC11" s="348"/>
      <c r="FHD11" s="348"/>
      <c r="FHE11" s="348"/>
      <c r="FHF11" s="348"/>
      <c r="FHG11" s="348"/>
      <c r="FHH11" s="348"/>
      <c r="FHI11" s="348"/>
      <c r="FHJ11" s="348"/>
      <c r="FHK11" s="348"/>
      <c r="FHL11" s="348"/>
      <c r="FHM11" s="348"/>
      <c r="FHN11" s="348"/>
      <c r="FHO11" s="348"/>
      <c r="FHP11" s="348"/>
      <c r="FHQ11" s="348"/>
      <c r="FHR11" s="348"/>
      <c r="FHS11" s="348"/>
      <c r="FHT11" s="348"/>
      <c r="FHU11" s="348"/>
      <c r="FHV11" s="348"/>
      <c r="FHW11" s="348"/>
      <c r="FHX11" s="348"/>
      <c r="FHY11" s="348"/>
      <c r="FHZ11" s="348"/>
      <c r="FIA11" s="348"/>
      <c r="FIB11" s="348"/>
      <c r="FIC11" s="348"/>
      <c r="FID11" s="348"/>
      <c r="FIE11" s="348"/>
      <c r="FIF11" s="348"/>
      <c r="FIG11" s="348"/>
      <c r="FIH11" s="348"/>
      <c r="FII11" s="348"/>
      <c r="FIJ11" s="348"/>
      <c r="FIK11" s="348"/>
      <c r="FIL11" s="348"/>
      <c r="FIM11" s="348"/>
      <c r="FIN11" s="348"/>
      <c r="FIO11" s="348"/>
      <c r="FIP11" s="348"/>
      <c r="FIQ11" s="348"/>
      <c r="FIR11" s="348"/>
      <c r="FIS11" s="348"/>
      <c r="FIT11" s="348"/>
      <c r="FIU11" s="348"/>
      <c r="FIV11" s="348"/>
      <c r="FIW11" s="348"/>
      <c r="FIX11" s="348"/>
      <c r="FIY11" s="348"/>
      <c r="FIZ11" s="348"/>
      <c r="FJA11" s="348"/>
      <c r="FJB11" s="348"/>
      <c r="FJC11" s="348"/>
      <c r="FJD11" s="348"/>
      <c r="FJE11" s="348"/>
      <c r="FJF11" s="348"/>
      <c r="FJG11" s="348"/>
      <c r="FJH11" s="348"/>
      <c r="FJI11" s="348"/>
      <c r="FJJ11" s="348"/>
      <c r="FJK11" s="348"/>
      <c r="FJL11" s="348"/>
      <c r="FJM11" s="348"/>
      <c r="FJN11" s="348"/>
      <c r="FJO11" s="348"/>
      <c r="FJP11" s="348"/>
      <c r="FJQ11" s="348"/>
      <c r="FJR11" s="348"/>
      <c r="FJS11" s="348"/>
      <c r="FJT11" s="348"/>
      <c r="FJU11" s="348"/>
      <c r="FJV11" s="348"/>
      <c r="FJW11" s="348"/>
      <c r="FJX11" s="348"/>
      <c r="FJY11" s="348"/>
      <c r="FJZ11" s="348"/>
      <c r="FKA11" s="348"/>
      <c r="FKB11" s="348"/>
      <c r="FKC11" s="348"/>
      <c r="FKD11" s="348"/>
      <c r="FKE11" s="348"/>
      <c r="FKF11" s="348"/>
      <c r="FKG11" s="348"/>
      <c r="FKH11" s="348"/>
      <c r="FKI11" s="348"/>
      <c r="FKJ11" s="348"/>
      <c r="FKK11" s="348"/>
      <c r="FKL11" s="348"/>
      <c r="FKM11" s="348"/>
      <c r="FKN11" s="348"/>
      <c r="FKO11" s="348"/>
      <c r="FKP11" s="348"/>
      <c r="FKQ11" s="348"/>
      <c r="FKR11" s="348"/>
      <c r="FKS11" s="348"/>
      <c r="FKT11" s="348"/>
      <c r="FKU11" s="348"/>
      <c r="FKV11" s="348"/>
      <c r="FKW11" s="348"/>
      <c r="FKX11" s="348"/>
      <c r="FKY11" s="348"/>
      <c r="FKZ11" s="348"/>
      <c r="FLA11" s="348"/>
      <c r="FLB11" s="348"/>
      <c r="FLC11" s="348"/>
      <c r="FLD11" s="348"/>
      <c r="FLE11" s="348"/>
      <c r="FLF11" s="348"/>
      <c r="FLG11" s="348"/>
      <c r="FLH11" s="348"/>
      <c r="FLI11" s="348"/>
      <c r="FLJ11" s="348"/>
      <c r="FLK11" s="348"/>
      <c r="FLL11" s="348"/>
      <c r="FLM11" s="348"/>
      <c r="FLN11" s="348"/>
      <c r="FLO11" s="348"/>
      <c r="FLP11" s="348"/>
      <c r="FLQ11" s="348"/>
      <c r="FLR11" s="348"/>
      <c r="FLS11" s="348"/>
      <c r="FLT11" s="348"/>
      <c r="FLU11" s="348"/>
      <c r="FLV11" s="348"/>
      <c r="FLW11" s="348"/>
      <c r="FLX11" s="348"/>
      <c r="FLY11" s="348"/>
      <c r="FLZ11" s="348"/>
      <c r="FMA11" s="348"/>
      <c r="FMB11" s="348"/>
      <c r="FMC11" s="348"/>
      <c r="FMD11" s="348"/>
      <c r="FME11" s="348"/>
      <c r="FMF11" s="348"/>
      <c r="FMG11" s="348"/>
      <c r="FMH11" s="348"/>
      <c r="FMI11" s="348"/>
      <c r="FMJ11" s="348"/>
      <c r="FMK11" s="348"/>
      <c r="FML11" s="348"/>
      <c r="FMM11" s="348"/>
      <c r="FMN11" s="348"/>
      <c r="FMO11" s="348"/>
      <c r="FMP11" s="348"/>
      <c r="FMQ11" s="348"/>
      <c r="FMR11" s="348"/>
      <c r="FMS11" s="348"/>
      <c r="FMT11" s="348"/>
      <c r="FMU11" s="348"/>
      <c r="FMV11" s="348"/>
      <c r="FMW11" s="348"/>
      <c r="FMX11" s="348"/>
      <c r="FMY11" s="348"/>
      <c r="FMZ11" s="348"/>
      <c r="FNA11" s="348"/>
      <c r="FNB11" s="348"/>
      <c r="FNC11" s="348"/>
      <c r="FND11" s="348"/>
      <c r="FNE11" s="348"/>
      <c r="FNF11" s="348"/>
      <c r="FNG11" s="348"/>
      <c r="FNH11" s="348"/>
      <c r="FNI11" s="348"/>
      <c r="FNJ11" s="348"/>
      <c r="FNK11" s="348"/>
      <c r="FNL11" s="348"/>
      <c r="FNM11" s="348"/>
      <c r="FNN11" s="348"/>
      <c r="FNO11" s="348"/>
      <c r="FNP11" s="348"/>
      <c r="FNQ11" s="348"/>
      <c r="FNR11" s="348"/>
      <c r="FNS11" s="348"/>
      <c r="FNT11" s="348"/>
      <c r="FNU11" s="348"/>
      <c r="FNV11" s="348"/>
      <c r="FNW11" s="348"/>
      <c r="FNX11" s="348"/>
      <c r="FNY11" s="348"/>
      <c r="FNZ11" s="348"/>
      <c r="FOA11" s="348"/>
      <c r="FOB11" s="348"/>
      <c r="FOC11" s="348"/>
      <c r="FOD11" s="348"/>
      <c r="FOE11" s="348"/>
      <c r="FOF11" s="348"/>
      <c r="FOG11" s="348"/>
      <c r="FOH11" s="348"/>
      <c r="FOI11" s="348"/>
      <c r="FOJ11" s="348"/>
      <c r="FOK11" s="348"/>
      <c r="FOL11" s="348"/>
      <c r="FOM11" s="348"/>
      <c r="FON11" s="348"/>
      <c r="FOO11" s="348"/>
      <c r="FOP11" s="348"/>
      <c r="FOQ11" s="348"/>
      <c r="FOR11" s="348"/>
      <c r="FOS11" s="348"/>
      <c r="FOT11" s="348"/>
      <c r="FOU11" s="348"/>
      <c r="FOV11" s="348"/>
      <c r="FOW11" s="348"/>
      <c r="FOX11" s="348"/>
      <c r="FOY11" s="348"/>
      <c r="FOZ11" s="348"/>
      <c r="FPA11" s="348"/>
      <c r="FPB11" s="348"/>
      <c r="FPC11" s="348"/>
      <c r="FPD11" s="348"/>
      <c r="FPE11" s="348"/>
      <c r="FPF11" s="348"/>
      <c r="FPG11" s="348"/>
      <c r="FPH11" s="348"/>
      <c r="FPI11" s="348"/>
      <c r="FPJ11" s="348"/>
      <c r="FPK11" s="348"/>
      <c r="FPL11" s="348"/>
      <c r="FPM11" s="348"/>
      <c r="FPN11" s="348"/>
      <c r="FPO11" s="348"/>
      <c r="FPP11" s="348"/>
      <c r="FPQ11" s="348"/>
      <c r="FPR11" s="348"/>
      <c r="FPS11" s="348"/>
      <c r="FPT11" s="348"/>
      <c r="FPU11" s="348"/>
      <c r="FPV11" s="348"/>
      <c r="FPW11" s="348"/>
      <c r="FPX11" s="348"/>
      <c r="FPY11" s="348"/>
      <c r="FPZ11" s="348"/>
      <c r="FQA11" s="348"/>
      <c r="FQB11" s="348"/>
      <c r="FQC11" s="348"/>
      <c r="FQD11" s="348"/>
      <c r="FQE11" s="348"/>
      <c r="FQF11" s="348"/>
      <c r="FQG11" s="348"/>
      <c r="FQH11" s="348"/>
      <c r="FQI11" s="348"/>
      <c r="FQJ11" s="348"/>
      <c r="FQK11" s="348"/>
      <c r="FQL11" s="348"/>
      <c r="FQM11" s="348"/>
      <c r="FQN11" s="348"/>
      <c r="FQO11" s="348"/>
      <c r="FQP11" s="348"/>
      <c r="FQQ11" s="348"/>
      <c r="FQR11" s="348"/>
      <c r="FQS11" s="348"/>
      <c r="FQT11" s="348"/>
      <c r="FQU11" s="348"/>
      <c r="FQV11" s="348"/>
      <c r="FQW11" s="348"/>
      <c r="FQX11" s="348"/>
      <c r="FQY11" s="348"/>
      <c r="FQZ11" s="348"/>
      <c r="FRA11" s="348"/>
      <c r="FRB11" s="348"/>
      <c r="FRC11" s="348"/>
      <c r="FRD11" s="348"/>
      <c r="FRE11" s="348"/>
      <c r="FRF11" s="348"/>
      <c r="FRG11" s="348"/>
      <c r="FRH11" s="348"/>
      <c r="FRI11" s="348"/>
      <c r="FRJ11" s="348"/>
      <c r="FRK11" s="348"/>
      <c r="FRL11" s="348"/>
      <c r="FRM11" s="348"/>
      <c r="FRN11" s="348"/>
      <c r="FRO11" s="348"/>
      <c r="FRP11" s="348"/>
      <c r="FRQ11" s="348"/>
      <c r="FRR11" s="348"/>
      <c r="FRS11" s="348"/>
      <c r="FRT11" s="348"/>
      <c r="FRU11" s="348"/>
      <c r="FRV11" s="348"/>
      <c r="FRW11" s="348"/>
      <c r="FRX11" s="348"/>
      <c r="FRY11" s="348"/>
      <c r="FRZ11" s="348"/>
      <c r="FSA11" s="348"/>
      <c r="FSB11" s="348"/>
      <c r="FSC11" s="348"/>
      <c r="FSD11" s="348"/>
      <c r="FSE11" s="348"/>
      <c r="FSF11" s="348"/>
      <c r="FSG11" s="348"/>
      <c r="FSH11" s="348"/>
      <c r="FSI11" s="348"/>
      <c r="FSJ11" s="348"/>
      <c r="FSK11" s="348"/>
      <c r="FSL11" s="348"/>
      <c r="FSM11" s="348"/>
      <c r="FSN11" s="348"/>
      <c r="FSO11" s="348"/>
      <c r="FSP11" s="348"/>
      <c r="FSQ11" s="348"/>
      <c r="FSR11" s="348"/>
      <c r="FSS11" s="348"/>
      <c r="FST11" s="348"/>
      <c r="FSU11" s="348"/>
      <c r="FSV11" s="348"/>
      <c r="FSW11" s="348"/>
      <c r="FSX11" s="348"/>
      <c r="FSY11" s="348"/>
      <c r="FSZ11" s="348"/>
      <c r="FTA11" s="348"/>
      <c r="FTB11" s="348"/>
      <c r="FTC11" s="348"/>
      <c r="FTD11" s="348"/>
      <c r="FTE11" s="348"/>
      <c r="FTF11" s="348"/>
      <c r="FTG11" s="348"/>
      <c r="FTH11" s="348"/>
      <c r="FTI11" s="348"/>
      <c r="FTJ11" s="348"/>
      <c r="FTK11" s="348"/>
      <c r="FTL11" s="348"/>
      <c r="FTM11" s="348"/>
      <c r="FTN11" s="348"/>
      <c r="FTO11" s="348"/>
      <c r="FTP11" s="348"/>
      <c r="FTQ11" s="348"/>
      <c r="FTR11" s="348"/>
      <c r="FTS11" s="348"/>
      <c r="FTT11" s="348"/>
      <c r="FTU11" s="348"/>
      <c r="FTV11" s="348"/>
      <c r="FTW11" s="348"/>
      <c r="FTX11" s="348"/>
      <c r="FTY11" s="348"/>
      <c r="FTZ11" s="348"/>
      <c r="FUA11" s="348"/>
      <c r="FUB11" s="348"/>
      <c r="FUC11" s="348"/>
      <c r="FUD11" s="348"/>
      <c r="FUE11" s="348"/>
      <c r="FUF11" s="348"/>
      <c r="FUG11" s="348"/>
      <c r="FUH11" s="348"/>
      <c r="FUI11" s="348"/>
      <c r="FUJ11" s="348"/>
      <c r="FUK11" s="348"/>
      <c r="FUL11" s="348"/>
      <c r="FUM11" s="348"/>
      <c r="FUN11" s="348"/>
      <c r="FUO11" s="348"/>
      <c r="FUP11" s="348"/>
      <c r="FUQ11" s="348"/>
      <c r="FUR11" s="348"/>
      <c r="FUS11" s="348"/>
      <c r="FUT11" s="348"/>
      <c r="FUU11" s="348"/>
      <c r="FUV11" s="348"/>
      <c r="FUW11" s="348"/>
      <c r="FUX11" s="348"/>
      <c r="FUY11" s="348"/>
      <c r="FUZ11" s="348"/>
      <c r="FVA11" s="348"/>
      <c r="FVB11" s="348"/>
      <c r="FVC11" s="348"/>
      <c r="FVD11" s="348"/>
      <c r="FVE11" s="348"/>
      <c r="FVF11" s="348"/>
      <c r="FVG11" s="348"/>
      <c r="FVH11" s="348"/>
      <c r="FVI11" s="348"/>
      <c r="FVJ11" s="348"/>
      <c r="FVK11" s="348"/>
      <c r="FVL11" s="348"/>
      <c r="FVM11" s="348"/>
      <c r="FVN11" s="348"/>
      <c r="FVO11" s="348"/>
      <c r="FVP11" s="348"/>
      <c r="FVQ11" s="348"/>
      <c r="FVR11" s="348"/>
      <c r="FVS11" s="348"/>
      <c r="FVT11" s="348"/>
      <c r="FVU11" s="348"/>
      <c r="FVV11" s="348"/>
      <c r="FVW11" s="348"/>
      <c r="FVX11" s="348"/>
      <c r="FVY11" s="348"/>
      <c r="FVZ11" s="348"/>
      <c r="FWA11" s="348"/>
      <c r="FWB11" s="348"/>
      <c r="FWC11" s="348"/>
      <c r="FWD11" s="348"/>
      <c r="FWE11" s="348"/>
      <c r="FWF11" s="348"/>
      <c r="FWG11" s="348"/>
      <c r="FWH11" s="348"/>
      <c r="FWI11" s="348"/>
      <c r="FWJ11" s="348"/>
      <c r="FWK11" s="348"/>
      <c r="FWL11" s="348"/>
      <c r="FWM11" s="348"/>
      <c r="FWN11" s="348"/>
      <c r="FWO11" s="348"/>
      <c r="FWP11" s="348"/>
      <c r="FWQ11" s="348"/>
      <c r="FWR11" s="348"/>
      <c r="FWS11" s="348"/>
      <c r="FWT11" s="348"/>
      <c r="FWU11" s="348"/>
      <c r="FWV11" s="348"/>
      <c r="FWW11" s="348"/>
      <c r="FWX11" s="348"/>
      <c r="FWY11" s="348"/>
      <c r="FWZ11" s="348"/>
      <c r="FXA11" s="348"/>
      <c r="FXB11" s="348"/>
      <c r="FXC11" s="348"/>
      <c r="FXD11" s="348"/>
      <c r="FXE11" s="348"/>
      <c r="FXF11" s="348"/>
      <c r="FXG11" s="348"/>
      <c r="FXH11" s="348"/>
      <c r="FXI11" s="348"/>
      <c r="FXJ11" s="348"/>
      <c r="FXK11" s="348"/>
      <c r="FXL11" s="348"/>
      <c r="FXM11" s="348"/>
      <c r="FXN11" s="348"/>
      <c r="FXO11" s="348"/>
      <c r="FXP11" s="348"/>
      <c r="FXQ11" s="348"/>
      <c r="FXR11" s="348"/>
      <c r="FXS11" s="348"/>
      <c r="FXT11" s="348"/>
      <c r="FXU11" s="348"/>
      <c r="FXV11" s="348"/>
      <c r="FXW11" s="348"/>
      <c r="FXX11" s="348"/>
      <c r="FXY11" s="348"/>
      <c r="FXZ11" s="348"/>
      <c r="FYA11" s="348"/>
      <c r="FYB11" s="348"/>
      <c r="FYC11" s="348"/>
      <c r="FYD11" s="348"/>
      <c r="FYE11" s="348"/>
      <c r="FYF11" s="348"/>
      <c r="FYG11" s="348"/>
      <c r="FYH11" s="348"/>
      <c r="FYI11" s="348"/>
      <c r="FYJ11" s="348"/>
      <c r="FYK11" s="348"/>
      <c r="FYL11" s="348"/>
      <c r="FYM11" s="348"/>
      <c r="FYN11" s="348"/>
      <c r="FYO11" s="348"/>
      <c r="FYP11" s="348"/>
      <c r="FYQ11" s="348"/>
      <c r="FYR11" s="348"/>
      <c r="FYS11" s="348"/>
      <c r="FYT11" s="348"/>
      <c r="FYU11" s="348"/>
      <c r="FYV11" s="348"/>
      <c r="FYW11" s="348"/>
      <c r="FYX11" s="348"/>
      <c r="FYY11" s="348"/>
      <c r="FYZ11" s="348"/>
      <c r="FZA11" s="348"/>
      <c r="FZB11" s="348"/>
      <c r="FZC11" s="348"/>
      <c r="FZD11" s="348"/>
      <c r="FZE11" s="348"/>
      <c r="FZF11" s="348"/>
      <c r="FZG11" s="348"/>
      <c r="FZH11" s="348"/>
      <c r="FZI11" s="348"/>
      <c r="FZJ11" s="348"/>
      <c r="FZK11" s="348"/>
      <c r="FZL11" s="348"/>
      <c r="FZM11" s="348"/>
      <c r="FZN11" s="348"/>
      <c r="FZO11" s="348"/>
      <c r="FZP11" s="348"/>
      <c r="FZQ11" s="348"/>
      <c r="FZR11" s="348"/>
      <c r="FZS11" s="348"/>
      <c r="FZT11" s="348"/>
      <c r="FZU11" s="348"/>
      <c r="FZV11" s="348"/>
      <c r="FZW11" s="348"/>
      <c r="FZX11" s="348"/>
      <c r="FZY11" s="348"/>
      <c r="FZZ11" s="348"/>
      <c r="GAA11" s="348"/>
      <c r="GAB11" s="348"/>
      <c r="GAC11" s="348"/>
      <c r="GAD11" s="348"/>
      <c r="GAE11" s="348"/>
      <c r="GAF11" s="348"/>
      <c r="GAG11" s="348"/>
      <c r="GAH11" s="348"/>
      <c r="GAI11" s="348"/>
      <c r="GAJ11" s="348"/>
      <c r="GAK11" s="348"/>
      <c r="GAL11" s="348"/>
      <c r="GAM11" s="348"/>
      <c r="GAN11" s="348"/>
      <c r="GAO11" s="348"/>
      <c r="GAP11" s="348"/>
      <c r="GAQ11" s="348"/>
      <c r="GAR11" s="348"/>
      <c r="GAS11" s="348"/>
      <c r="GAT11" s="348"/>
      <c r="GAU11" s="348"/>
      <c r="GAV11" s="348"/>
      <c r="GAW11" s="348"/>
      <c r="GAX11" s="348"/>
      <c r="GAY11" s="348"/>
      <c r="GAZ11" s="348"/>
      <c r="GBA11" s="348"/>
      <c r="GBB11" s="348"/>
      <c r="GBC11" s="348"/>
      <c r="GBD11" s="348"/>
      <c r="GBE11" s="348"/>
      <c r="GBF11" s="348"/>
      <c r="GBG11" s="348"/>
      <c r="GBH11" s="348"/>
      <c r="GBI11" s="348"/>
      <c r="GBJ11" s="348"/>
      <c r="GBK11" s="348"/>
      <c r="GBL11" s="348"/>
      <c r="GBM11" s="348"/>
      <c r="GBN11" s="348"/>
      <c r="GBO11" s="348"/>
      <c r="GBP11" s="348"/>
      <c r="GBQ11" s="348"/>
      <c r="GBR11" s="348"/>
      <c r="GBS11" s="348"/>
      <c r="GBT11" s="348"/>
      <c r="GBU11" s="348"/>
      <c r="GBV11" s="348"/>
      <c r="GBW11" s="348"/>
      <c r="GBX11" s="348"/>
      <c r="GBY11" s="348"/>
      <c r="GBZ11" s="348"/>
      <c r="GCA11" s="348"/>
      <c r="GCB11" s="348"/>
      <c r="GCC11" s="348"/>
      <c r="GCD11" s="348"/>
      <c r="GCE11" s="348"/>
      <c r="GCF11" s="348"/>
      <c r="GCG11" s="348"/>
      <c r="GCH11" s="348"/>
      <c r="GCI11" s="348"/>
      <c r="GCJ11" s="348"/>
      <c r="GCK11" s="348"/>
      <c r="GCL11" s="348"/>
      <c r="GCM11" s="348"/>
      <c r="GCN11" s="348"/>
      <c r="GCO11" s="348"/>
      <c r="GCP11" s="348"/>
      <c r="GCQ11" s="348"/>
      <c r="GCR11" s="348"/>
      <c r="GCS11" s="348"/>
      <c r="GCT11" s="348"/>
      <c r="GCU11" s="348"/>
      <c r="GCV11" s="348"/>
      <c r="GCW11" s="348"/>
      <c r="GCX11" s="348"/>
      <c r="GCY11" s="348"/>
      <c r="GCZ11" s="348"/>
      <c r="GDA11" s="348"/>
      <c r="GDB11" s="348"/>
      <c r="GDC11" s="348"/>
      <c r="GDD11" s="348"/>
      <c r="GDE11" s="348"/>
      <c r="GDF11" s="348"/>
      <c r="GDG11" s="348"/>
      <c r="GDH11" s="348"/>
      <c r="GDI11" s="348"/>
      <c r="GDJ11" s="348"/>
      <c r="GDK11" s="348"/>
      <c r="GDL11" s="348"/>
      <c r="GDM11" s="348"/>
      <c r="GDN11" s="348"/>
      <c r="GDO11" s="348"/>
      <c r="GDP11" s="348"/>
      <c r="GDQ11" s="348"/>
      <c r="GDR11" s="348"/>
      <c r="GDS11" s="348"/>
      <c r="GDT11" s="348"/>
      <c r="GDU11" s="348"/>
      <c r="GDV11" s="348"/>
      <c r="GDW11" s="348"/>
      <c r="GDX11" s="348"/>
      <c r="GDY11" s="348"/>
      <c r="GDZ11" s="348"/>
      <c r="GEA11" s="348"/>
      <c r="GEB11" s="348"/>
      <c r="GEC11" s="348"/>
      <c r="GED11" s="348"/>
      <c r="GEE11" s="348"/>
      <c r="GEF11" s="348"/>
      <c r="GEG11" s="348"/>
      <c r="GEH11" s="348"/>
      <c r="GEI11" s="348"/>
      <c r="GEJ11" s="348"/>
      <c r="GEK11" s="348"/>
      <c r="GEL11" s="348"/>
      <c r="GEM11" s="348"/>
      <c r="GEN11" s="348"/>
      <c r="GEO11" s="348"/>
      <c r="GEP11" s="348"/>
      <c r="GEQ11" s="348"/>
      <c r="GER11" s="348"/>
      <c r="GES11" s="348"/>
      <c r="GET11" s="348"/>
      <c r="GEU11" s="348"/>
      <c r="GEV11" s="348"/>
      <c r="GEW11" s="348"/>
      <c r="GEX11" s="348"/>
      <c r="GEY11" s="348"/>
      <c r="GEZ11" s="348"/>
      <c r="GFA11" s="348"/>
      <c r="GFB11" s="348"/>
      <c r="GFC11" s="348"/>
      <c r="GFD11" s="348"/>
      <c r="GFE11" s="348"/>
      <c r="GFF11" s="348"/>
      <c r="GFG11" s="348"/>
      <c r="GFH11" s="348"/>
      <c r="GFI11" s="348"/>
      <c r="GFJ11" s="348"/>
      <c r="GFK11" s="348"/>
      <c r="GFL11" s="348"/>
      <c r="GFM11" s="348"/>
      <c r="GFN11" s="348"/>
      <c r="GFO11" s="348"/>
      <c r="GFP11" s="348"/>
      <c r="GFQ11" s="348"/>
      <c r="GFR11" s="348"/>
      <c r="GFS11" s="348"/>
      <c r="GFT11" s="348"/>
      <c r="GFU11" s="348"/>
      <c r="GFV11" s="348"/>
      <c r="GFW11" s="348"/>
      <c r="GFX11" s="348"/>
      <c r="GFY11" s="348"/>
      <c r="GFZ11" s="348"/>
      <c r="GGA11" s="348"/>
      <c r="GGB11" s="348"/>
      <c r="GGC11" s="348"/>
      <c r="GGD11" s="348"/>
      <c r="GGE11" s="348"/>
      <c r="GGF11" s="348"/>
      <c r="GGG11" s="348"/>
      <c r="GGH11" s="348"/>
      <c r="GGI11" s="348"/>
      <c r="GGJ11" s="348"/>
      <c r="GGK11" s="348"/>
      <c r="GGL11" s="348"/>
      <c r="GGM11" s="348"/>
      <c r="GGN11" s="348"/>
      <c r="GGO11" s="348"/>
      <c r="GGP11" s="348"/>
      <c r="GGQ11" s="348"/>
      <c r="GGR11" s="348"/>
      <c r="GGS11" s="348"/>
      <c r="GGT11" s="348"/>
      <c r="GGU11" s="348"/>
      <c r="GGV11" s="348"/>
      <c r="GGW11" s="348"/>
      <c r="GGX11" s="348"/>
      <c r="GGY11" s="348"/>
      <c r="GGZ11" s="348"/>
      <c r="GHA11" s="348"/>
      <c r="GHB11" s="348"/>
      <c r="GHC11" s="348"/>
      <c r="GHD11" s="348"/>
      <c r="GHE11" s="348"/>
      <c r="GHF11" s="348"/>
      <c r="GHG11" s="348"/>
      <c r="GHH11" s="348"/>
      <c r="GHI11" s="348"/>
      <c r="GHJ11" s="348"/>
      <c r="GHK11" s="348"/>
      <c r="GHL11" s="348"/>
      <c r="GHM11" s="348"/>
      <c r="GHN11" s="348"/>
      <c r="GHO11" s="348"/>
      <c r="GHP11" s="348"/>
      <c r="GHQ11" s="348"/>
      <c r="GHR11" s="348"/>
      <c r="GHS11" s="348"/>
      <c r="GHT11" s="348"/>
      <c r="GHU11" s="348"/>
      <c r="GHV11" s="348"/>
      <c r="GHW11" s="348"/>
      <c r="GHX11" s="348"/>
      <c r="GHY11" s="348"/>
      <c r="GHZ11" s="348"/>
      <c r="GIA11" s="348"/>
      <c r="GIB11" s="348"/>
      <c r="GIC11" s="348"/>
      <c r="GID11" s="348"/>
      <c r="GIE11" s="348"/>
      <c r="GIF11" s="348"/>
      <c r="GIG11" s="348"/>
      <c r="GIH11" s="348"/>
      <c r="GII11" s="348"/>
      <c r="GIJ11" s="348"/>
      <c r="GIK11" s="348"/>
      <c r="GIL11" s="348"/>
      <c r="GIM11" s="348"/>
      <c r="GIN11" s="348"/>
      <c r="GIO11" s="348"/>
      <c r="GIP11" s="348"/>
      <c r="GIQ11" s="348"/>
      <c r="GIR11" s="348"/>
      <c r="GIS11" s="348"/>
      <c r="GIT11" s="348"/>
      <c r="GIU11" s="348"/>
      <c r="GIV11" s="348"/>
      <c r="GIW11" s="348"/>
      <c r="GIX11" s="348"/>
      <c r="GIY11" s="348"/>
      <c r="GIZ11" s="348"/>
      <c r="GJA11" s="348"/>
      <c r="GJB11" s="348"/>
      <c r="GJC11" s="348"/>
      <c r="GJD11" s="348"/>
      <c r="GJE11" s="348"/>
      <c r="GJF11" s="348"/>
      <c r="GJG11" s="348"/>
      <c r="GJH11" s="348"/>
      <c r="GJI11" s="348"/>
      <c r="GJJ11" s="348"/>
      <c r="GJK11" s="348"/>
      <c r="GJL11" s="348"/>
      <c r="GJM11" s="348"/>
      <c r="GJN11" s="348"/>
      <c r="GJO11" s="348"/>
      <c r="GJP11" s="348"/>
      <c r="GJQ11" s="348"/>
      <c r="GJR11" s="348"/>
      <c r="GJS11" s="348"/>
      <c r="GJT11" s="348"/>
      <c r="GJU11" s="348"/>
      <c r="GJV11" s="348"/>
      <c r="GJW11" s="348"/>
      <c r="GJX11" s="348"/>
      <c r="GJY11" s="348"/>
      <c r="GJZ11" s="348"/>
      <c r="GKA11" s="348"/>
      <c r="GKB11" s="348"/>
      <c r="GKC11" s="348"/>
      <c r="GKD11" s="348"/>
      <c r="GKE11" s="348"/>
      <c r="GKF11" s="348"/>
      <c r="GKG11" s="348"/>
      <c r="GKH11" s="348"/>
      <c r="GKI11" s="348"/>
      <c r="GKJ11" s="348"/>
      <c r="GKK11" s="348"/>
      <c r="GKL11" s="348"/>
      <c r="GKM11" s="348"/>
      <c r="GKN11" s="348"/>
      <c r="GKO11" s="348"/>
      <c r="GKP11" s="348"/>
      <c r="GKQ11" s="348"/>
      <c r="GKR11" s="348"/>
      <c r="GKS11" s="348"/>
      <c r="GKT11" s="348"/>
      <c r="GKU11" s="348"/>
      <c r="GKV11" s="348"/>
      <c r="GKW11" s="348"/>
      <c r="GKX11" s="348"/>
      <c r="GKY11" s="348"/>
      <c r="GKZ11" s="348"/>
      <c r="GLA11" s="348"/>
      <c r="GLB11" s="348"/>
      <c r="GLC11" s="348"/>
      <c r="GLD11" s="348"/>
      <c r="GLE11" s="348"/>
      <c r="GLF11" s="348"/>
      <c r="GLG11" s="348"/>
      <c r="GLH11" s="348"/>
      <c r="GLI11" s="348"/>
      <c r="GLJ11" s="348"/>
      <c r="GLK11" s="348"/>
      <c r="GLL11" s="348"/>
      <c r="GLM11" s="348"/>
      <c r="GLN11" s="348"/>
      <c r="GLO11" s="348"/>
      <c r="GLP11" s="348"/>
      <c r="GLQ11" s="348"/>
      <c r="GLR11" s="348"/>
      <c r="GLS11" s="348"/>
      <c r="GLT11" s="348"/>
      <c r="GLU11" s="348"/>
      <c r="GLV11" s="348"/>
      <c r="GLW11" s="348"/>
      <c r="GLX11" s="348"/>
      <c r="GLY11" s="348"/>
      <c r="GLZ11" s="348"/>
      <c r="GMA11" s="348"/>
      <c r="GMB11" s="348"/>
      <c r="GMC11" s="348"/>
      <c r="GMD11" s="348"/>
      <c r="GME11" s="348"/>
      <c r="GMF11" s="348"/>
      <c r="GMG11" s="348"/>
      <c r="GMH11" s="348"/>
      <c r="GMI11" s="348"/>
      <c r="GMJ11" s="348"/>
      <c r="GMK11" s="348"/>
      <c r="GML11" s="348"/>
      <c r="GMM11" s="348"/>
      <c r="GMN11" s="348"/>
      <c r="GMO11" s="348"/>
      <c r="GMP11" s="348"/>
      <c r="GMQ11" s="348"/>
      <c r="GMR11" s="348"/>
      <c r="GMS11" s="348"/>
      <c r="GMT11" s="348"/>
      <c r="GMU11" s="348"/>
      <c r="GMV11" s="348"/>
      <c r="GMW11" s="348"/>
      <c r="GMX11" s="348"/>
      <c r="GMY11" s="348"/>
      <c r="GMZ11" s="348"/>
      <c r="GNA11" s="348"/>
      <c r="GNB11" s="348"/>
      <c r="GNC11" s="348"/>
      <c r="GND11" s="348"/>
      <c r="GNE11" s="348"/>
      <c r="GNF11" s="348"/>
      <c r="GNG11" s="348"/>
      <c r="GNH11" s="348"/>
      <c r="GNI11" s="348"/>
      <c r="GNJ11" s="348"/>
      <c r="GNK11" s="348"/>
      <c r="GNL11" s="348"/>
      <c r="GNM11" s="348"/>
      <c r="GNN11" s="348"/>
      <c r="GNO11" s="348"/>
      <c r="GNP11" s="348"/>
      <c r="GNQ11" s="348"/>
      <c r="GNR11" s="348"/>
      <c r="GNS11" s="348"/>
      <c r="GNT11" s="348"/>
      <c r="GNU11" s="348"/>
      <c r="GNV11" s="348"/>
      <c r="GNW11" s="348"/>
      <c r="GNX11" s="348"/>
      <c r="GNY11" s="348"/>
      <c r="GNZ11" s="348"/>
      <c r="GOA11" s="348"/>
      <c r="GOB11" s="348"/>
      <c r="GOC11" s="348"/>
      <c r="GOD11" s="348"/>
      <c r="GOE11" s="348"/>
      <c r="GOF11" s="348"/>
      <c r="GOG11" s="348"/>
      <c r="GOH11" s="348"/>
      <c r="GOI11" s="348"/>
      <c r="GOJ11" s="348"/>
      <c r="GOK11" s="348"/>
      <c r="GOL11" s="348"/>
      <c r="GOM11" s="348"/>
      <c r="GON11" s="348"/>
      <c r="GOO11" s="348"/>
      <c r="GOP11" s="348"/>
      <c r="GOQ11" s="348"/>
      <c r="GOR11" s="348"/>
      <c r="GOS11" s="348"/>
      <c r="GOT11" s="348"/>
      <c r="GOU11" s="348"/>
      <c r="GOV11" s="348"/>
      <c r="GOW11" s="348"/>
      <c r="GOX11" s="348"/>
      <c r="GOY11" s="348"/>
      <c r="GOZ11" s="348"/>
      <c r="GPA11" s="348"/>
      <c r="GPB11" s="348"/>
      <c r="GPC11" s="348"/>
      <c r="GPD11" s="348"/>
      <c r="GPE11" s="348"/>
      <c r="GPF11" s="348"/>
      <c r="GPG11" s="348"/>
      <c r="GPH11" s="348"/>
      <c r="GPI11" s="348"/>
      <c r="GPJ11" s="348"/>
      <c r="GPK11" s="348"/>
      <c r="GPL11" s="348"/>
      <c r="GPM11" s="348"/>
      <c r="GPN11" s="348"/>
      <c r="GPO11" s="348"/>
      <c r="GPP11" s="348"/>
      <c r="GPQ11" s="348"/>
      <c r="GPR11" s="348"/>
      <c r="GPS11" s="348"/>
      <c r="GPT11" s="348"/>
      <c r="GPU11" s="348"/>
      <c r="GPV11" s="348"/>
      <c r="GPW11" s="348"/>
      <c r="GPX11" s="348"/>
      <c r="GPY11" s="348"/>
      <c r="GPZ11" s="348"/>
      <c r="GQA11" s="348"/>
      <c r="GQB11" s="348"/>
      <c r="GQC11" s="348"/>
      <c r="GQD11" s="348"/>
      <c r="GQE11" s="348"/>
      <c r="GQF11" s="348"/>
      <c r="GQG11" s="348"/>
      <c r="GQH11" s="348"/>
      <c r="GQI11" s="348"/>
      <c r="GQJ11" s="348"/>
      <c r="GQK11" s="348"/>
      <c r="GQL11" s="348"/>
      <c r="GQM11" s="348"/>
      <c r="GQN11" s="348"/>
      <c r="GQO11" s="348"/>
      <c r="GQP11" s="348"/>
      <c r="GQQ11" s="348"/>
      <c r="GQR11" s="348"/>
      <c r="GQS11" s="348"/>
      <c r="GQT11" s="348"/>
      <c r="GQU11" s="348"/>
      <c r="GQV11" s="348"/>
      <c r="GQW11" s="348"/>
      <c r="GQX11" s="348"/>
      <c r="GQY11" s="348"/>
      <c r="GQZ11" s="348"/>
      <c r="GRA11" s="348"/>
      <c r="GRB11" s="348"/>
      <c r="GRC11" s="348"/>
      <c r="GRD11" s="348"/>
      <c r="GRE11" s="348"/>
      <c r="GRF11" s="348"/>
      <c r="GRG11" s="348"/>
      <c r="GRH11" s="348"/>
      <c r="GRI11" s="348"/>
      <c r="GRJ11" s="348"/>
      <c r="GRK11" s="348"/>
      <c r="GRL11" s="348"/>
      <c r="GRM11" s="348"/>
      <c r="GRN11" s="348"/>
      <c r="GRO11" s="348"/>
      <c r="GRP11" s="348"/>
      <c r="GRQ11" s="348"/>
      <c r="GRR11" s="348"/>
      <c r="GRS11" s="348"/>
      <c r="GRT11" s="348"/>
      <c r="GRU11" s="348"/>
      <c r="GRV11" s="348"/>
      <c r="GRW11" s="348"/>
      <c r="GRX11" s="348"/>
      <c r="GRY11" s="348"/>
      <c r="GRZ11" s="348"/>
      <c r="GSA11" s="348"/>
      <c r="GSB11" s="348"/>
      <c r="GSC11" s="348"/>
      <c r="GSD11" s="348"/>
      <c r="GSE11" s="348"/>
      <c r="GSF11" s="348"/>
      <c r="GSG11" s="348"/>
      <c r="GSH11" s="348"/>
      <c r="GSI11" s="348"/>
      <c r="GSJ11" s="348"/>
      <c r="GSK11" s="348"/>
      <c r="GSL11" s="348"/>
      <c r="GSM11" s="348"/>
      <c r="GSN11" s="348"/>
      <c r="GSO11" s="348"/>
      <c r="GSP11" s="348"/>
      <c r="GSQ11" s="348"/>
      <c r="GSR11" s="348"/>
      <c r="GSS11" s="348"/>
      <c r="GST11" s="348"/>
      <c r="GSU11" s="348"/>
      <c r="GSV11" s="348"/>
      <c r="GSW11" s="348"/>
      <c r="GSX11" s="348"/>
      <c r="GSY11" s="348"/>
      <c r="GSZ11" s="348"/>
      <c r="GTA11" s="348"/>
      <c r="GTB11" s="348"/>
      <c r="GTC11" s="348"/>
      <c r="GTD11" s="348"/>
      <c r="GTE11" s="348"/>
      <c r="GTF11" s="348"/>
      <c r="GTG11" s="348"/>
      <c r="GTH11" s="348"/>
      <c r="GTI11" s="348"/>
      <c r="GTJ11" s="348"/>
      <c r="GTK11" s="348"/>
      <c r="GTL11" s="348"/>
      <c r="GTM11" s="348"/>
      <c r="GTN11" s="348"/>
      <c r="GTO11" s="348"/>
      <c r="GTP11" s="348"/>
      <c r="GTQ11" s="348"/>
      <c r="GTR11" s="348"/>
      <c r="GTS11" s="348"/>
      <c r="GTT11" s="348"/>
      <c r="GTU11" s="348"/>
      <c r="GTV11" s="348"/>
      <c r="GTW11" s="348"/>
      <c r="GTX11" s="348"/>
      <c r="GTY11" s="348"/>
      <c r="GTZ11" s="348"/>
      <c r="GUA11" s="348"/>
      <c r="GUB11" s="348"/>
      <c r="GUC11" s="348"/>
      <c r="GUD11" s="348"/>
      <c r="GUE11" s="348"/>
      <c r="GUF11" s="348"/>
      <c r="GUG11" s="348"/>
      <c r="GUH11" s="348"/>
      <c r="GUI11" s="348"/>
      <c r="GUJ11" s="348"/>
      <c r="GUK11" s="348"/>
      <c r="GUL11" s="348"/>
      <c r="GUM11" s="348"/>
      <c r="GUN11" s="348"/>
      <c r="GUO11" s="348"/>
      <c r="GUP11" s="348"/>
      <c r="GUQ11" s="348"/>
      <c r="GUR11" s="348"/>
      <c r="GUS11" s="348"/>
      <c r="GUT11" s="348"/>
      <c r="GUU11" s="348"/>
      <c r="GUV11" s="348"/>
      <c r="GUW11" s="348"/>
      <c r="GUX11" s="348"/>
      <c r="GUY11" s="348"/>
      <c r="GUZ11" s="348"/>
      <c r="GVA11" s="348"/>
      <c r="GVB11" s="348"/>
      <c r="GVC11" s="348"/>
      <c r="GVD11" s="348"/>
      <c r="GVE11" s="348"/>
      <c r="GVF11" s="348"/>
      <c r="GVG11" s="348"/>
      <c r="GVH11" s="348"/>
      <c r="GVI11" s="348"/>
      <c r="GVJ11" s="348"/>
      <c r="GVK11" s="348"/>
      <c r="GVL11" s="348"/>
      <c r="GVM11" s="348"/>
      <c r="GVN11" s="348"/>
      <c r="GVO11" s="348"/>
      <c r="GVP11" s="348"/>
      <c r="GVQ11" s="348"/>
      <c r="GVR11" s="348"/>
      <c r="GVS11" s="348"/>
      <c r="GVT11" s="348"/>
      <c r="GVU11" s="348"/>
      <c r="GVV11" s="348"/>
      <c r="GVW11" s="348"/>
      <c r="GVX11" s="348"/>
      <c r="GVY11" s="348"/>
      <c r="GVZ11" s="348"/>
      <c r="GWA11" s="348"/>
      <c r="GWB11" s="348"/>
      <c r="GWC11" s="348"/>
      <c r="GWD11" s="348"/>
      <c r="GWE11" s="348"/>
      <c r="GWF11" s="348"/>
      <c r="GWG11" s="348"/>
      <c r="GWH11" s="348"/>
      <c r="GWI11" s="348"/>
      <c r="GWJ11" s="348"/>
      <c r="GWK11" s="348"/>
      <c r="GWL11" s="348"/>
      <c r="GWM11" s="348"/>
      <c r="GWN11" s="348"/>
      <c r="GWO11" s="348"/>
      <c r="GWP11" s="348"/>
      <c r="GWQ11" s="348"/>
      <c r="GWR11" s="348"/>
      <c r="GWS11" s="348"/>
      <c r="GWT11" s="348"/>
      <c r="GWU11" s="348"/>
      <c r="GWV11" s="348"/>
      <c r="GWW11" s="348"/>
      <c r="GWX11" s="348"/>
      <c r="GWY11" s="348"/>
      <c r="GWZ11" s="348"/>
      <c r="GXA11" s="348"/>
      <c r="GXB11" s="348"/>
      <c r="GXC11" s="348"/>
      <c r="GXD11" s="348"/>
      <c r="GXE11" s="348"/>
      <c r="GXF11" s="348"/>
      <c r="GXG11" s="348"/>
      <c r="GXH11" s="348"/>
      <c r="GXI11" s="348"/>
      <c r="GXJ11" s="348"/>
      <c r="GXK11" s="348"/>
      <c r="GXL11" s="348"/>
      <c r="GXM11" s="348"/>
      <c r="GXN11" s="348"/>
      <c r="GXO11" s="348"/>
      <c r="GXP11" s="348"/>
      <c r="GXQ11" s="348"/>
      <c r="GXR11" s="348"/>
      <c r="GXS11" s="348"/>
      <c r="GXT11" s="348"/>
      <c r="GXU11" s="348"/>
      <c r="GXV11" s="348"/>
      <c r="GXW11" s="348"/>
      <c r="GXX11" s="348"/>
      <c r="GXY11" s="348"/>
      <c r="GXZ11" s="348"/>
      <c r="GYA11" s="348"/>
      <c r="GYB11" s="348"/>
      <c r="GYC11" s="348"/>
      <c r="GYD11" s="348"/>
      <c r="GYE11" s="348"/>
      <c r="GYF11" s="348"/>
      <c r="GYG11" s="348"/>
      <c r="GYH11" s="348"/>
      <c r="GYI11" s="348"/>
      <c r="GYJ11" s="348"/>
      <c r="GYK11" s="348"/>
      <c r="GYL11" s="348"/>
      <c r="GYM11" s="348"/>
      <c r="GYN11" s="348"/>
      <c r="GYO11" s="348"/>
      <c r="GYP11" s="348"/>
      <c r="GYQ11" s="348"/>
      <c r="GYR11" s="348"/>
      <c r="GYS11" s="348"/>
      <c r="GYT11" s="348"/>
      <c r="GYU11" s="348"/>
      <c r="GYV11" s="348"/>
      <c r="GYW11" s="348"/>
      <c r="GYX11" s="348"/>
      <c r="GYY11" s="348"/>
      <c r="GYZ11" s="348"/>
      <c r="GZA11" s="348"/>
      <c r="GZB11" s="348"/>
      <c r="GZC11" s="348"/>
      <c r="GZD11" s="348"/>
      <c r="GZE11" s="348"/>
      <c r="GZF11" s="348"/>
      <c r="GZG11" s="348"/>
      <c r="GZH11" s="348"/>
      <c r="GZI11" s="348"/>
      <c r="GZJ11" s="348"/>
      <c r="GZK11" s="348"/>
      <c r="GZL11" s="348"/>
      <c r="GZM11" s="348"/>
      <c r="GZN11" s="348"/>
      <c r="GZO11" s="348"/>
      <c r="GZP11" s="348"/>
      <c r="GZQ11" s="348"/>
      <c r="GZR11" s="348"/>
      <c r="GZS11" s="348"/>
      <c r="GZT11" s="348"/>
      <c r="GZU11" s="348"/>
      <c r="GZV11" s="348"/>
      <c r="GZW11" s="348"/>
      <c r="GZX11" s="348"/>
      <c r="GZY11" s="348"/>
      <c r="GZZ11" s="348"/>
      <c r="HAA11" s="348"/>
      <c r="HAB11" s="348"/>
      <c r="HAC11" s="348"/>
      <c r="HAD11" s="348"/>
      <c r="HAE11" s="348"/>
      <c r="HAF11" s="348"/>
      <c r="HAG11" s="348"/>
      <c r="HAH11" s="348"/>
      <c r="HAI11" s="348"/>
      <c r="HAJ11" s="348"/>
      <c r="HAK11" s="348"/>
      <c r="HAL11" s="348"/>
      <c r="HAM11" s="348"/>
      <c r="HAN11" s="348"/>
      <c r="HAO11" s="348"/>
      <c r="HAP11" s="348"/>
      <c r="HAQ11" s="348"/>
      <c r="HAR11" s="348"/>
      <c r="HAS11" s="348"/>
      <c r="HAT11" s="348"/>
      <c r="HAU11" s="348"/>
      <c r="HAV11" s="348"/>
      <c r="HAW11" s="348"/>
      <c r="HAX11" s="348"/>
      <c r="HAY11" s="348"/>
      <c r="HAZ11" s="348"/>
      <c r="HBA11" s="348"/>
      <c r="HBB11" s="348"/>
      <c r="HBC11" s="348"/>
      <c r="HBD11" s="348"/>
      <c r="HBE11" s="348"/>
      <c r="HBF11" s="348"/>
      <c r="HBG11" s="348"/>
      <c r="HBH11" s="348"/>
      <c r="HBI11" s="348"/>
      <c r="HBJ11" s="348"/>
      <c r="HBK11" s="348"/>
      <c r="HBL11" s="348"/>
      <c r="HBM11" s="348"/>
      <c r="HBN11" s="348"/>
      <c r="HBO11" s="348"/>
      <c r="HBP11" s="348"/>
      <c r="HBQ11" s="348"/>
      <c r="HBR11" s="348"/>
      <c r="HBS11" s="348"/>
      <c r="HBT11" s="348"/>
      <c r="HBU11" s="348"/>
      <c r="HBV11" s="348"/>
      <c r="HBW11" s="348"/>
      <c r="HBX11" s="348"/>
      <c r="HBY11" s="348"/>
      <c r="HBZ11" s="348"/>
      <c r="HCA11" s="348"/>
      <c r="HCB11" s="348"/>
      <c r="HCC11" s="348"/>
      <c r="HCD11" s="348"/>
      <c r="HCE11" s="348"/>
      <c r="HCF11" s="348"/>
      <c r="HCG11" s="348"/>
      <c r="HCH11" s="348"/>
      <c r="HCI11" s="348"/>
      <c r="HCJ11" s="348"/>
      <c r="HCK11" s="348"/>
      <c r="HCL11" s="348"/>
      <c r="HCM11" s="348"/>
      <c r="HCN11" s="348"/>
      <c r="HCO11" s="348"/>
      <c r="HCP11" s="348"/>
      <c r="HCQ11" s="348"/>
      <c r="HCR11" s="348"/>
      <c r="HCS11" s="348"/>
      <c r="HCT11" s="348"/>
      <c r="HCU11" s="348"/>
      <c r="HCV11" s="348"/>
      <c r="HCW11" s="348"/>
      <c r="HCX11" s="348"/>
      <c r="HCY11" s="348"/>
      <c r="HCZ11" s="348"/>
      <c r="HDA11" s="348"/>
      <c r="HDB11" s="348"/>
      <c r="HDC11" s="348"/>
      <c r="HDD11" s="348"/>
      <c r="HDE11" s="348"/>
      <c r="HDF11" s="348"/>
      <c r="HDG11" s="348"/>
      <c r="HDH11" s="348"/>
      <c r="HDI11" s="348"/>
      <c r="HDJ11" s="348"/>
      <c r="HDK11" s="348"/>
      <c r="HDL11" s="348"/>
      <c r="HDM11" s="348"/>
      <c r="HDN11" s="348"/>
      <c r="HDO11" s="348"/>
      <c r="HDP11" s="348"/>
      <c r="HDQ11" s="348"/>
      <c r="HDR11" s="348"/>
      <c r="HDS11" s="348"/>
      <c r="HDT11" s="348"/>
      <c r="HDU11" s="348"/>
      <c r="HDV11" s="348"/>
      <c r="HDW11" s="348"/>
      <c r="HDX11" s="348"/>
      <c r="HDY11" s="348"/>
      <c r="HDZ11" s="348"/>
      <c r="HEA11" s="348"/>
      <c r="HEB11" s="348"/>
      <c r="HEC11" s="348"/>
      <c r="HED11" s="348"/>
      <c r="HEE11" s="348"/>
      <c r="HEF11" s="348"/>
      <c r="HEG11" s="348"/>
      <c r="HEH11" s="348"/>
      <c r="HEI11" s="348"/>
      <c r="HEJ11" s="348"/>
      <c r="HEK11" s="348"/>
      <c r="HEL11" s="348"/>
      <c r="HEM11" s="348"/>
      <c r="HEN11" s="348"/>
      <c r="HEO11" s="348"/>
      <c r="HEP11" s="348"/>
      <c r="HEQ11" s="348"/>
      <c r="HER11" s="348"/>
      <c r="HES11" s="348"/>
      <c r="HET11" s="348"/>
      <c r="HEU11" s="348"/>
      <c r="HEV11" s="348"/>
      <c r="HEW11" s="348"/>
      <c r="HEX11" s="348"/>
      <c r="HEY11" s="348"/>
      <c r="HEZ11" s="348"/>
      <c r="HFA11" s="348"/>
      <c r="HFB11" s="348"/>
      <c r="HFC11" s="348"/>
      <c r="HFD11" s="348"/>
      <c r="HFE11" s="348"/>
      <c r="HFF11" s="348"/>
      <c r="HFG11" s="348"/>
      <c r="HFH11" s="348"/>
      <c r="HFI11" s="348"/>
      <c r="HFJ11" s="348"/>
      <c r="HFK11" s="348"/>
      <c r="HFL11" s="348"/>
      <c r="HFM11" s="348"/>
      <c r="HFN11" s="348"/>
      <c r="HFO11" s="348"/>
      <c r="HFP11" s="348"/>
      <c r="HFQ11" s="348"/>
      <c r="HFR11" s="348"/>
      <c r="HFS11" s="348"/>
      <c r="HFT11" s="348"/>
      <c r="HFU11" s="348"/>
      <c r="HFV11" s="348"/>
      <c r="HFW11" s="348"/>
      <c r="HFX11" s="348"/>
      <c r="HFY11" s="348"/>
      <c r="HFZ11" s="348"/>
      <c r="HGA11" s="348"/>
      <c r="HGB11" s="348"/>
      <c r="HGC11" s="348"/>
      <c r="HGD11" s="348"/>
      <c r="HGE11" s="348"/>
      <c r="HGF11" s="348"/>
      <c r="HGG11" s="348"/>
      <c r="HGH11" s="348"/>
      <c r="HGI11" s="348"/>
      <c r="HGJ11" s="348"/>
      <c r="HGK11" s="348"/>
      <c r="HGL11" s="348"/>
      <c r="HGM11" s="348"/>
      <c r="HGN11" s="348"/>
      <c r="HGO11" s="348"/>
      <c r="HGP11" s="348"/>
      <c r="HGQ11" s="348"/>
      <c r="HGR11" s="348"/>
      <c r="HGS11" s="348"/>
      <c r="HGT11" s="348"/>
      <c r="HGU11" s="348"/>
      <c r="HGV11" s="348"/>
      <c r="HGW11" s="348"/>
      <c r="HGX11" s="348"/>
      <c r="HGY11" s="348"/>
      <c r="HGZ11" s="348"/>
      <c r="HHA11" s="348"/>
      <c r="HHB11" s="348"/>
      <c r="HHC11" s="348"/>
      <c r="HHD11" s="348"/>
      <c r="HHE11" s="348"/>
      <c r="HHF11" s="348"/>
      <c r="HHG11" s="348"/>
      <c r="HHH11" s="348"/>
      <c r="HHI11" s="348"/>
      <c r="HHJ11" s="348"/>
      <c r="HHK11" s="348"/>
      <c r="HHL11" s="348"/>
      <c r="HHM11" s="348"/>
      <c r="HHN11" s="348"/>
      <c r="HHO11" s="348"/>
      <c r="HHP11" s="348"/>
      <c r="HHQ11" s="348"/>
      <c r="HHR11" s="348"/>
      <c r="HHS11" s="348"/>
      <c r="HHT11" s="348"/>
      <c r="HHU11" s="348"/>
      <c r="HHV11" s="348"/>
      <c r="HHW11" s="348"/>
      <c r="HHX11" s="348"/>
      <c r="HHY11" s="348"/>
      <c r="HHZ11" s="348"/>
      <c r="HIA11" s="348"/>
      <c r="HIB11" s="348"/>
      <c r="HIC11" s="348"/>
      <c r="HID11" s="348"/>
      <c r="HIE11" s="348"/>
      <c r="HIF11" s="348"/>
      <c r="HIG11" s="348"/>
      <c r="HIH11" s="348"/>
      <c r="HII11" s="348"/>
      <c r="HIJ11" s="348"/>
      <c r="HIK11" s="348"/>
      <c r="HIL11" s="348"/>
      <c r="HIM11" s="348"/>
      <c r="HIN11" s="348"/>
      <c r="HIO11" s="348"/>
      <c r="HIP11" s="348"/>
      <c r="HIQ11" s="348"/>
      <c r="HIR11" s="348"/>
      <c r="HIS11" s="348"/>
      <c r="HIT11" s="348"/>
      <c r="HIU11" s="348"/>
      <c r="HIV11" s="348"/>
      <c r="HIW11" s="348"/>
      <c r="HIX11" s="348"/>
      <c r="HIY11" s="348"/>
      <c r="HIZ11" s="348"/>
      <c r="HJA11" s="348"/>
      <c r="HJB11" s="348"/>
      <c r="HJC11" s="348"/>
      <c r="HJD11" s="348"/>
      <c r="HJE11" s="348"/>
      <c r="HJF11" s="348"/>
      <c r="HJG11" s="348"/>
      <c r="HJH11" s="348"/>
      <c r="HJI11" s="348"/>
      <c r="HJJ11" s="348"/>
      <c r="HJK11" s="348"/>
      <c r="HJL11" s="348"/>
      <c r="HJM11" s="348"/>
      <c r="HJN11" s="348"/>
      <c r="HJO11" s="348"/>
      <c r="HJP11" s="348"/>
      <c r="HJQ11" s="348"/>
      <c r="HJR11" s="348"/>
      <c r="HJS11" s="348"/>
      <c r="HJT11" s="348"/>
      <c r="HJU11" s="348"/>
      <c r="HJV11" s="348"/>
      <c r="HJW11" s="348"/>
      <c r="HJX11" s="348"/>
      <c r="HJY11" s="348"/>
      <c r="HJZ11" s="348"/>
      <c r="HKA11" s="348"/>
      <c r="HKB11" s="348"/>
      <c r="HKC11" s="348"/>
      <c r="HKD11" s="348"/>
      <c r="HKE11" s="348"/>
      <c r="HKF11" s="348"/>
      <c r="HKG11" s="348"/>
      <c r="HKH11" s="348"/>
      <c r="HKI11" s="348"/>
      <c r="HKJ11" s="348"/>
      <c r="HKK11" s="348"/>
      <c r="HKL11" s="348"/>
      <c r="HKM11" s="348"/>
      <c r="HKN11" s="348"/>
      <c r="HKO11" s="348"/>
      <c r="HKP11" s="348"/>
      <c r="HKQ11" s="348"/>
      <c r="HKR11" s="348"/>
      <c r="HKS11" s="348"/>
      <c r="HKT11" s="348"/>
      <c r="HKU11" s="348"/>
      <c r="HKV11" s="348"/>
      <c r="HKW11" s="348"/>
      <c r="HKX11" s="348"/>
      <c r="HKY11" s="348"/>
      <c r="HKZ11" s="348"/>
      <c r="HLA11" s="348"/>
      <c r="HLB11" s="348"/>
      <c r="HLC11" s="348"/>
      <c r="HLD11" s="348"/>
      <c r="HLE11" s="348"/>
      <c r="HLF11" s="348"/>
      <c r="HLG11" s="348"/>
      <c r="HLH11" s="348"/>
      <c r="HLI11" s="348"/>
      <c r="HLJ11" s="348"/>
      <c r="HLK11" s="348"/>
      <c r="HLL11" s="348"/>
      <c r="HLM11" s="348"/>
      <c r="HLN11" s="348"/>
      <c r="HLO11" s="348"/>
      <c r="HLP11" s="348"/>
      <c r="HLQ11" s="348"/>
      <c r="HLR11" s="348"/>
      <c r="HLS11" s="348"/>
      <c r="HLT11" s="348"/>
      <c r="HLU11" s="348"/>
      <c r="HLV11" s="348"/>
      <c r="HLW11" s="348"/>
      <c r="HLX11" s="348"/>
      <c r="HLY11" s="348"/>
      <c r="HLZ11" s="348"/>
      <c r="HMA11" s="348"/>
      <c r="HMB11" s="348"/>
      <c r="HMC11" s="348"/>
      <c r="HMD11" s="348"/>
      <c r="HME11" s="348"/>
      <c r="HMF11" s="348"/>
      <c r="HMG11" s="348"/>
      <c r="HMH11" s="348"/>
      <c r="HMI11" s="348"/>
      <c r="HMJ11" s="348"/>
      <c r="HMK11" s="348"/>
      <c r="HML11" s="348"/>
      <c r="HMM11" s="348"/>
      <c r="HMN11" s="348"/>
      <c r="HMO11" s="348"/>
      <c r="HMP11" s="348"/>
      <c r="HMQ11" s="348"/>
      <c r="HMR11" s="348"/>
      <c r="HMS11" s="348"/>
      <c r="HMT11" s="348"/>
      <c r="HMU11" s="348"/>
      <c r="HMV11" s="348"/>
      <c r="HMW11" s="348"/>
      <c r="HMX11" s="348"/>
      <c r="HMY11" s="348"/>
      <c r="HMZ11" s="348"/>
      <c r="HNA11" s="348"/>
      <c r="HNB11" s="348"/>
      <c r="HNC11" s="348"/>
      <c r="HND11" s="348"/>
      <c r="HNE11" s="348"/>
      <c r="HNF11" s="348"/>
      <c r="HNG11" s="348"/>
      <c r="HNH11" s="348"/>
      <c r="HNI11" s="348"/>
      <c r="HNJ11" s="348"/>
      <c r="HNK11" s="348"/>
      <c r="HNL11" s="348"/>
      <c r="HNM11" s="348"/>
      <c r="HNN11" s="348"/>
      <c r="HNO11" s="348"/>
      <c r="HNP11" s="348"/>
      <c r="HNQ11" s="348"/>
      <c r="HNR11" s="348"/>
      <c r="HNS11" s="348"/>
      <c r="HNT11" s="348"/>
      <c r="HNU11" s="348"/>
      <c r="HNV11" s="348"/>
      <c r="HNW11" s="348"/>
      <c r="HNX11" s="348"/>
      <c r="HNY11" s="348"/>
      <c r="HNZ11" s="348"/>
      <c r="HOA11" s="348"/>
      <c r="HOB11" s="348"/>
      <c r="HOC11" s="348"/>
      <c r="HOD11" s="348"/>
      <c r="HOE11" s="348"/>
      <c r="HOF11" s="348"/>
      <c r="HOG11" s="348"/>
      <c r="HOH11" s="348"/>
      <c r="HOI11" s="348"/>
      <c r="HOJ11" s="348"/>
      <c r="HOK11" s="348"/>
      <c r="HOL11" s="348"/>
      <c r="HOM11" s="348"/>
      <c r="HON11" s="348"/>
      <c r="HOO11" s="348"/>
      <c r="HOP11" s="348"/>
      <c r="HOQ11" s="348"/>
      <c r="HOR11" s="348"/>
      <c r="HOS11" s="348"/>
      <c r="HOT11" s="348"/>
      <c r="HOU11" s="348"/>
      <c r="HOV11" s="348"/>
      <c r="HOW11" s="348"/>
      <c r="HOX11" s="348"/>
      <c r="HOY11" s="348"/>
      <c r="HOZ11" s="348"/>
      <c r="HPA11" s="348"/>
      <c r="HPB11" s="348"/>
      <c r="HPC11" s="348"/>
      <c r="HPD11" s="348"/>
      <c r="HPE11" s="348"/>
      <c r="HPF11" s="348"/>
      <c r="HPG11" s="348"/>
      <c r="HPH11" s="348"/>
      <c r="HPI11" s="348"/>
      <c r="HPJ11" s="348"/>
      <c r="HPK11" s="348"/>
      <c r="HPL11" s="348"/>
      <c r="HPM11" s="348"/>
      <c r="HPN11" s="348"/>
      <c r="HPO11" s="348"/>
      <c r="HPP11" s="348"/>
      <c r="HPQ11" s="348"/>
      <c r="HPR11" s="348"/>
      <c r="HPS11" s="348"/>
      <c r="HPT11" s="348"/>
      <c r="HPU11" s="348"/>
      <c r="HPV11" s="348"/>
      <c r="HPW11" s="348"/>
      <c r="HPX11" s="348"/>
      <c r="HPY11" s="348"/>
      <c r="HPZ11" s="348"/>
      <c r="HQA11" s="348"/>
      <c r="HQB11" s="348"/>
      <c r="HQC11" s="348"/>
      <c r="HQD11" s="348"/>
      <c r="HQE11" s="348"/>
      <c r="HQF11" s="348"/>
      <c r="HQG11" s="348"/>
      <c r="HQH11" s="348"/>
      <c r="HQI11" s="348"/>
      <c r="HQJ11" s="348"/>
      <c r="HQK11" s="348"/>
      <c r="HQL11" s="348"/>
      <c r="HQM11" s="348"/>
      <c r="HQN11" s="348"/>
      <c r="HQO11" s="348"/>
      <c r="HQP11" s="348"/>
      <c r="HQQ11" s="348"/>
      <c r="HQR11" s="348"/>
      <c r="HQS11" s="348"/>
      <c r="HQT11" s="348"/>
      <c r="HQU11" s="348"/>
      <c r="HQV11" s="348"/>
      <c r="HQW11" s="348"/>
      <c r="HQX11" s="348"/>
      <c r="HQY11" s="348"/>
      <c r="HQZ11" s="348"/>
      <c r="HRA11" s="348"/>
      <c r="HRB11" s="348"/>
      <c r="HRC11" s="348"/>
      <c r="HRD11" s="348"/>
      <c r="HRE11" s="348"/>
      <c r="HRF11" s="348"/>
      <c r="HRG11" s="348"/>
      <c r="HRH11" s="348"/>
      <c r="HRI11" s="348"/>
      <c r="HRJ11" s="348"/>
      <c r="HRK11" s="348"/>
      <c r="HRL11" s="348"/>
      <c r="HRM11" s="348"/>
      <c r="HRN11" s="348"/>
      <c r="HRO11" s="348"/>
      <c r="HRP11" s="348"/>
      <c r="HRQ11" s="348"/>
      <c r="HRR11" s="348"/>
      <c r="HRS11" s="348"/>
      <c r="HRT11" s="348"/>
      <c r="HRU11" s="348"/>
      <c r="HRV11" s="348"/>
      <c r="HRW11" s="348"/>
      <c r="HRX11" s="348"/>
      <c r="HRY11" s="348"/>
      <c r="HRZ11" s="348"/>
      <c r="HSA11" s="348"/>
      <c r="HSB11" s="348"/>
      <c r="HSC11" s="348"/>
      <c r="HSD11" s="348"/>
      <c r="HSE11" s="348"/>
      <c r="HSF11" s="348"/>
      <c r="HSG11" s="348"/>
      <c r="HSH11" s="348"/>
      <c r="HSI11" s="348"/>
      <c r="HSJ11" s="348"/>
      <c r="HSK11" s="348"/>
      <c r="HSL11" s="348"/>
      <c r="HSM11" s="348"/>
      <c r="HSN11" s="348"/>
      <c r="HSO11" s="348"/>
      <c r="HSP11" s="348"/>
      <c r="HSQ11" s="348"/>
      <c r="HSR11" s="348"/>
      <c r="HSS11" s="348"/>
      <c r="HST11" s="348"/>
      <c r="HSU11" s="348"/>
      <c r="HSV11" s="348"/>
      <c r="HSW11" s="348"/>
      <c r="HSX11" s="348"/>
      <c r="HSY11" s="348"/>
      <c r="HSZ11" s="348"/>
      <c r="HTA11" s="348"/>
      <c r="HTB11" s="348"/>
      <c r="HTC11" s="348"/>
      <c r="HTD11" s="348"/>
      <c r="HTE11" s="348"/>
      <c r="HTF11" s="348"/>
      <c r="HTG11" s="348"/>
      <c r="HTH11" s="348"/>
      <c r="HTI11" s="348"/>
      <c r="HTJ11" s="348"/>
      <c r="HTK11" s="348"/>
      <c r="HTL11" s="348"/>
      <c r="HTM11" s="348"/>
      <c r="HTN11" s="348"/>
      <c r="HTO11" s="348"/>
      <c r="HTP11" s="348"/>
      <c r="HTQ11" s="348"/>
      <c r="HTR11" s="348"/>
      <c r="HTS11" s="348"/>
      <c r="HTT11" s="348"/>
      <c r="HTU11" s="348"/>
      <c r="HTV11" s="348"/>
      <c r="HTW11" s="348"/>
      <c r="HTX11" s="348"/>
      <c r="HTY11" s="348"/>
      <c r="HTZ11" s="348"/>
      <c r="HUA11" s="348"/>
      <c r="HUB11" s="348"/>
      <c r="HUC11" s="348"/>
      <c r="HUD11" s="348"/>
      <c r="HUE11" s="348"/>
      <c r="HUF11" s="348"/>
      <c r="HUG11" s="348"/>
      <c r="HUH11" s="348"/>
      <c r="HUI11" s="348"/>
      <c r="HUJ11" s="348"/>
      <c r="HUK11" s="348"/>
      <c r="HUL11" s="348"/>
      <c r="HUM11" s="348"/>
      <c r="HUN11" s="348"/>
      <c r="HUO11" s="348"/>
      <c r="HUP11" s="348"/>
      <c r="HUQ11" s="348"/>
      <c r="HUR11" s="348"/>
      <c r="HUS11" s="348"/>
      <c r="HUT11" s="348"/>
      <c r="HUU11" s="348"/>
      <c r="HUV11" s="348"/>
      <c r="HUW11" s="348"/>
      <c r="HUX11" s="348"/>
      <c r="HUY11" s="348"/>
      <c r="HUZ11" s="348"/>
      <c r="HVA11" s="348"/>
      <c r="HVB11" s="348"/>
      <c r="HVC11" s="348"/>
      <c r="HVD11" s="348"/>
      <c r="HVE11" s="348"/>
      <c r="HVF11" s="348"/>
      <c r="HVG11" s="348"/>
      <c r="HVH11" s="348"/>
      <c r="HVI11" s="348"/>
      <c r="HVJ11" s="348"/>
      <c r="HVK11" s="348"/>
      <c r="HVL11" s="348"/>
      <c r="HVM11" s="348"/>
      <c r="HVN11" s="348"/>
      <c r="HVO11" s="348"/>
      <c r="HVP11" s="348"/>
      <c r="HVQ11" s="348"/>
      <c r="HVR11" s="348"/>
      <c r="HVS11" s="348"/>
      <c r="HVT11" s="348"/>
      <c r="HVU11" s="348"/>
      <c r="HVV11" s="348"/>
      <c r="HVW11" s="348"/>
      <c r="HVX11" s="348"/>
      <c r="HVY11" s="348"/>
      <c r="HVZ11" s="348"/>
      <c r="HWA11" s="348"/>
      <c r="HWB11" s="348"/>
      <c r="HWC11" s="348"/>
      <c r="HWD11" s="348"/>
      <c r="HWE11" s="348"/>
      <c r="HWF11" s="348"/>
      <c r="HWG11" s="348"/>
      <c r="HWH11" s="348"/>
      <c r="HWI11" s="348"/>
      <c r="HWJ11" s="348"/>
      <c r="HWK11" s="348"/>
      <c r="HWL11" s="348"/>
      <c r="HWM11" s="348"/>
      <c r="HWN11" s="348"/>
      <c r="HWO11" s="348"/>
      <c r="HWP11" s="348"/>
      <c r="HWQ11" s="348"/>
      <c r="HWR11" s="348"/>
      <c r="HWS11" s="348"/>
      <c r="HWT11" s="348"/>
      <c r="HWU11" s="348"/>
      <c r="HWV11" s="348"/>
      <c r="HWW11" s="348"/>
      <c r="HWX11" s="348"/>
      <c r="HWY11" s="348"/>
      <c r="HWZ11" s="348"/>
      <c r="HXA11" s="348"/>
      <c r="HXB11" s="348"/>
      <c r="HXC11" s="348"/>
      <c r="HXD11" s="348"/>
      <c r="HXE11" s="348"/>
      <c r="HXF11" s="348"/>
      <c r="HXG11" s="348"/>
      <c r="HXH11" s="348"/>
      <c r="HXI11" s="348"/>
      <c r="HXJ11" s="348"/>
      <c r="HXK11" s="348"/>
      <c r="HXL11" s="348"/>
      <c r="HXM11" s="348"/>
      <c r="HXN11" s="348"/>
      <c r="HXO11" s="348"/>
      <c r="HXP11" s="348"/>
      <c r="HXQ11" s="348"/>
      <c r="HXR11" s="348"/>
      <c r="HXS11" s="348"/>
      <c r="HXT11" s="348"/>
      <c r="HXU11" s="348"/>
      <c r="HXV11" s="348"/>
      <c r="HXW11" s="348"/>
      <c r="HXX11" s="348"/>
      <c r="HXY11" s="348"/>
      <c r="HXZ11" s="348"/>
      <c r="HYA11" s="348"/>
      <c r="HYB11" s="348"/>
      <c r="HYC11" s="348"/>
      <c r="HYD11" s="348"/>
      <c r="HYE11" s="348"/>
      <c r="HYF11" s="348"/>
      <c r="HYG11" s="348"/>
      <c r="HYH11" s="348"/>
      <c r="HYI11" s="348"/>
      <c r="HYJ11" s="348"/>
      <c r="HYK11" s="348"/>
      <c r="HYL11" s="348"/>
      <c r="HYM11" s="348"/>
      <c r="HYN11" s="348"/>
      <c r="HYO11" s="348"/>
      <c r="HYP11" s="348"/>
      <c r="HYQ11" s="348"/>
      <c r="HYR11" s="348"/>
      <c r="HYS11" s="348"/>
      <c r="HYT11" s="348"/>
      <c r="HYU11" s="348"/>
      <c r="HYV11" s="348"/>
      <c r="HYW11" s="348"/>
      <c r="HYX11" s="348"/>
      <c r="HYY11" s="348"/>
      <c r="HYZ11" s="348"/>
      <c r="HZA11" s="348"/>
      <c r="HZB11" s="348"/>
      <c r="HZC11" s="348"/>
      <c r="HZD11" s="348"/>
      <c r="HZE11" s="348"/>
      <c r="HZF11" s="348"/>
      <c r="HZG11" s="348"/>
      <c r="HZH11" s="348"/>
      <c r="HZI11" s="348"/>
      <c r="HZJ11" s="348"/>
      <c r="HZK11" s="348"/>
      <c r="HZL11" s="348"/>
      <c r="HZM11" s="348"/>
      <c r="HZN11" s="348"/>
      <c r="HZO11" s="348"/>
      <c r="HZP11" s="348"/>
      <c r="HZQ11" s="348"/>
      <c r="HZR11" s="348"/>
      <c r="HZS11" s="348"/>
      <c r="HZT11" s="348"/>
      <c r="HZU11" s="348"/>
      <c r="HZV11" s="348"/>
      <c r="HZW11" s="348"/>
      <c r="HZX11" s="348"/>
      <c r="HZY11" s="348"/>
      <c r="HZZ11" s="348"/>
      <c r="IAA11" s="348"/>
      <c r="IAB11" s="348"/>
      <c r="IAC11" s="348"/>
      <c r="IAD11" s="348"/>
      <c r="IAE11" s="348"/>
      <c r="IAF11" s="348"/>
      <c r="IAG11" s="348"/>
      <c r="IAH11" s="348"/>
      <c r="IAI11" s="348"/>
      <c r="IAJ11" s="348"/>
      <c r="IAK11" s="348"/>
      <c r="IAL11" s="348"/>
      <c r="IAM11" s="348"/>
      <c r="IAN11" s="348"/>
      <c r="IAO11" s="348"/>
      <c r="IAP11" s="348"/>
      <c r="IAQ11" s="348"/>
      <c r="IAR11" s="348"/>
      <c r="IAS11" s="348"/>
      <c r="IAT11" s="348"/>
      <c r="IAU11" s="348"/>
      <c r="IAV11" s="348"/>
      <c r="IAW11" s="348"/>
      <c r="IAX11" s="348"/>
      <c r="IAY11" s="348"/>
      <c r="IAZ11" s="348"/>
      <c r="IBA11" s="348"/>
      <c r="IBB11" s="348"/>
      <c r="IBC11" s="348"/>
      <c r="IBD11" s="348"/>
      <c r="IBE11" s="348"/>
      <c r="IBF11" s="348"/>
      <c r="IBG11" s="348"/>
      <c r="IBH11" s="348"/>
      <c r="IBI11" s="348"/>
      <c r="IBJ11" s="348"/>
      <c r="IBK11" s="348"/>
      <c r="IBL11" s="348"/>
      <c r="IBM11" s="348"/>
      <c r="IBN11" s="348"/>
      <c r="IBO11" s="348"/>
      <c r="IBP11" s="348"/>
      <c r="IBQ11" s="348"/>
      <c r="IBR11" s="348"/>
      <c r="IBS11" s="348"/>
      <c r="IBT11" s="348"/>
      <c r="IBU11" s="348"/>
      <c r="IBV11" s="348"/>
      <c r="IBW11" s="348"/>
      <c r="IBX11" s="348"/>
      <c r="IBY11" s="348"/>
      <c r="IBZ11" s="348"/>
      <c r="ICA11" s="348"/>
      <c r="ICB11" s="348"/>
      <c r="ICC11" s="348"/>
      <c r="ICD11" s="348"/>
      <c r="ICE11" s="348"/>
      <c r="ICF11" s="348"/>
      <c r="ICG11" s="348"/>
      <c r="ICH11" s="348"/>
      <c r="ICI11" s="348"/>
      <c r="ICJ11" s="348"/>
      <c r="ICK11" s="348"/>
      <c r="ICL11" s="348"/>
      <c r="ICM11" s="348"/>
      <c r="ICN11" s="348"/>
      <c r="ICO11" s="348"/>
      <c r="ICP11" s="348"/>
      <c r="ICQ11" s="348"/>
      <c r="ICR11" s="348"/>
      <c r="ICS11" s="348"/>
      <c r="ICT11" s="348"/>
      <c r="ICU11" s="348"/>
      <c r="ICV11" s="348"/>
      <c r="ICW11" s="348"/>
      <c r="ICX11" s="348"/>
      <c r="ICY11" s="348"/>
      <c r="ICZ11" s="348"/>
      <c r="IDA11" s="348"/>
      <c r="IDB11" s="348"/>
      <c r="IDC11" s="348"/>
      <c r="IDD11" s="348"/>
      <c r="IDE11" s="348"/>
      <c r="IDF11" s="348"/>
      <c r="IDG11" s="348"/>
      <c r="IDH11" s="348"/>
      <c r="IDI11" s="348"/>
      <c r="IDJ11" s="348"/>
      <c r="IDK11" s="348"/>
      <c r="IDL11" s="348"/>
      <c r="IDM11" s="348"/>
      <c r="IDN11" s="348"/>
      <c r="IDO11" s="348"/>
      <c r="IDP11" s="348"/>
      <c r="IDQ11" s="348"/>
      <c r="IDR11" s="348"/>
      <c r="IDS11" s="348"/>
      <c r="IDT11" s="348"/>
      <c r="IDU11" s="348"/>
      <c r="IDV11" s="348"/>
      <c r="IDW11" s="348"/>
      <c r="IDX11" s="348"/>
      <c r="IDY11" s="348"/>
      <c r="IDZ11" s="348"/>
      <c r="IEA11" s="348"/>
      <c r="IEB11" s="348"/>
      <c r="IEC11" s="348"/>
      <c r="IED11" s="348"/>
      <c r="IEE11" s="348"/>
      <c r="IEF11" s="348"/>
      <c r="IEG11" s="348"/>
      <c r="IEH11" s="348"/>
      <c r="IEI11" s="348"/>
      <c r="IEJ11" s="348"/>
      <c r="IEK11" s="348"/>
      <c r="IEL11" s="348"/>
      <c r="IEM11" s="348"/>
      <c r="IEN11" s="348"/>
      <c r="IEO11" s="348"/>
      <c r="IEP11" s="348"/>
      <c r="IEQ11" s="348"/>
      <c r="IER11" s="348"/>
      <c r="IES11" s="348"/>
      <c r="IET11" s="348"/>
      <c r="IEU11" s="348"/>
      <c r="IEV11" s="348"/>
      <c r="IEW11" s="348"/>
      <c r="IEX11" s="348"/>
      <c r="IEY11" s="348"/>
      <c r="IEZ11" s="348"/>
      <c r="IFA11" s="348"/>
      <c r="IFB11" s="348"/>
      <c r="IFC11" s="348"/>
      <c r="IFD11" s="348"/>
      <c r="IFE11" s="348"/>
      <c r="IFF11" s="348"/>
      <c r="IFG11" s="348"/>
      <c r="IFH11" s="348"/>
      <c r="IFI11" s="348"/>
      <c r="IFJ11" s="348"/>
      <c r="IFK11" s="348"/>
      <c r="IFL11" s="348"/>
      <c r="IFM11" s="348"/>
      <c r="IFN11" s="348"/>
      <c r="IFO11" s="348"/>
      <c r="IFP11" s="348"/>
      <c r="IFQ11" s="348"/>
      <c r="IFR11" s="348"/>
      <c r="IFS11" s="348"/>
      <c r="IFT11" s="348"/>
      <c r="IFU11" s="348"/>
      <c r="IFV11" s="348"/>
      <c r="IFW11" s="348"/>
      <c r="IFX11" s="348"/>
      <c r="IFY11" s="348"/>
      <c r="IFZ11" s="348"/>
      <c r="IGA11" s="348"/>
      <c r="IGB11" s="348"/>
      <c r="IGC11" s="348"/>
      <c r="IGD11" s="348"/>
      <c r="IGE11" s="348"/>
      <c r="IGF11" s="348"/>
      <c r="IGG11" s="348"/>
      <c r="IGH11" s="348"/>
      <c r="IGI11" s="348"/>
      <c r="IGJ11" s="348"/>
      <c r="IGK11" s="348"/>
      <c r="IGL11" s="348"/>
      <c r="IGM11" s="348"/>
      <c r="IGN11" s="348"/>
      <c r="IGO11" s="348"/>
      <c r="IGP11" s="348"/>
      <c r="IGQ11" s="348"/>
      <c r="IGR11" s="348"/>
      <c r="IGS11" s="348"/>
      <c r="IGT11" s="348"/>
      <c r="IGU11" s="348"/>
      <c r="IGV11" s="348"/>
      <c r="IGW11" s="348"/>
      <c r="IGX11" s="348"/>
      <c r="IGY11" s="348"/>
      <c r="IGZ11" s="348"/>
      <c r="IHA11" s="348"/>
      <c r="IHB11" s="348"/>
      <c r="IHC11" s="348"/>
      <c r="IHD11" s="348"/>
      <c r="IHE11" s="348"/>
      <c r="IHF11" s="348"/>
      <c r="IHG11" s="348"/>
      <c r="IHH11" s="348"/>
      <c r="IHI11" s="348"/>
      <c r="IHJ11" s="348"/>
      <c r="IHK11" s="348"/>
      <c r="IHL11" s="348"/>
      <c r="IHM11" s="348"/>
      <c r="IHN11" s="348"/>
      <c r="IHO11" s="348"/>
      <c r="IHP11" s="348"/>
      <c r="IHQ11" s="348"/>
      <c r="IHR11" s="348"/>
      <c r="IHS11" s="348"/>
      <c r="IHT11" s="348"/>
      <c r="IHU11" s="348"/>
      <c r="IHV11" s="348"/>
      <c r="IHW11" s="348"/>
      <c r="IHX11" s="348"/>
      <c r="IHY11" s="348"/>
      <c r="IHZ11" s="348"/>
      <c r="IIA11" s="348"/>
      <c r="IIB11" s="348"/>
      <c r="IIC11" s="348"/>
      <c r="IID11" s="348"/>
      <c r="IIE11" s="348"/>
      <c r="IIF11" s="348"/>
      <c r="IIG11" s="348"/>
      <c r="IIH11" s="348"/>
      <c r="III11" s="348"/>
      <c r="IIJ11" s="348"/>
      <c r="IIK11" s="348"/>
      <c r="IIL11" s="348"/>
      <c r="IIM11" s="348"/>
      <c r="IIN11" s="348"/>
      <c r="IIO11" s="348"/>
      <c r="IIP11" s="348"/>
      <c r="IIQ11" s="348"/>
      <c r="IIR11" s="348"/>
      <c r="IIS11" s="348"/>
      <c r="IIT11" s="348"/>
      <c r="IIU11" s="348"/>
      <c r="IIV11" s="348"/>
      <c r="IIW11" s="348"/>
      <c r="IIX11" s="348"/>
      <c r="IIY11" s="348"/>
      <c r="IIZ11" s="348"/>
      <c r="IJA11" s="348"/>
      <c r="IJB11" s="348"/>
      <c r="IJC11" s="348"/>
      <c r="IJD11" s="348"/>
      <c r="IJE11" s="348"/>
      <c r="IJF11" s="348"/>
      <c r="IJG11" s="348"/>
      <c r="IJH11" s="348"/>
      <c r="IJI11" s="348"/>
      <c r="IJJ11" s="348"/>
      <c r="IJK11" s="348"/>
      <c r="IJL11" s="348"/>
      <c r="IJM11" s="348"/>
      <c r="IJN11" s="348"/>
      <c r="IJO11" s="348"/>
      <c r="IJP11" s="348"/>
      <c r="IJQ11" s="348"/>
      <c r="IJR11" s="348"/>
      <c r="IJS11" s="348"/>
      <c r="IJT11" s="348"/>
      <c r="IJU11" s="348"/>
      <c r="IJV11" s="348"/>
      <c r="IJW11" s="348"/>
      <c r="IJX11" s="348"/>
      <c r="IJY11" s="348"/>
      <c r="IJZ11" s="348"/>
      <c r="IKA11" s="348"/>
      <c r="IKB11" s="348"/>
      <c r="IKC11" s="348"/>
      <c r="IKD11" s="348"/>
      <c r="IKE11" s="348"/>
      <c r="IKF11" s="348"/>
      <c r="IKG11" s="348"/>
      <c r="IKH11" s="348"/>
      <c r="IKI11" s="348"/>
      <c r="IKJ11" s="348"/>
      <c r="IKK11" s="348"/>
      <c r="IKL11" s="348"/>
      <c r="IKM11" s="348"/>
      <c r="IKN11" s="348"/>
      <c r="IKO11" s="348"/>
      <c r="IKP11" s="348"/>
      <c r="IKQ11" s="348"/>
      <c r="IKR11" s="348"/>
      <c r="IKS11" s="348"/>
      <c r="IKT11" s="348"/>
      <c r="IKU11" s="348"/>
      <c r="IKV11" s="348"/>
      <c r="IKW11" s="348"/>
      <c r="IKX11" s="348"/>
      <c r="IKY11" s="348"/>
      <c r="IKZ11" s="348"/>
      <c r="ILA11" s="348"/>
      <c r="ILB11" s="348"/>
      <c r="ILC11" s="348"/>
      <c r="ILD11" s="348"/>
      <c r="ILE11" s="348"/>
      <c r="ILF11" s="348"/>
      <c r="ILG11" s="348"/>
      <c r="ILH11" s="348"/>
      <c r="ILI11" s="348"/>
      <c r="ILJ11" s="348"/>
      <c r="ILK11" s="348"/>
      <c r="ILL11" s="348"/>
      <c r="ILM11" s="348"/>
      <c r="ILN11" s="348"/>
      <c r="ILO11" s="348"/>
      <c r="ILP11" s="348"/>
      <c r="ILQ11" s="348"/>
      <c r="ILR11" s="348"/>
      <c r="ILS11" s="348"/>
      <c r="ILT11" s="348"/>
      <c r="ILU11" s="348"/>
      <c r="ILV11" s="348"/>
      <c r="ILW11" s="348"/>
      <c r="ILX11" s="348"/>
      <c r="ILY11" s="348"/>
      <c r="ILZ11" s="348"/>
      <c r="IMA11" s="348"/>
      <c r="IMB11" s="348"/>
      <c r="IMC11" s="348"/>
      <c r="IMD11" s="348"/>
      <c r="IME11" s="348"/>
      <c r="IMF11" s="348"/>
      <c r="IMG11" s="348"/>
      <c r="IMH11" s="348"/>
      <c r="IMI11" s="348"/>
      <c r="IMJ11" s="348"/>
      <c r="IMK11" s="348"/>
      <c r="IML11" s="348"/>
      <c r="IMM11" s="348"/>
      <c r="IMN11" s="348"/>
      <c r="IMO11" s="348"/>
      <c r="IMP11" s="348"/>
      <c r="IMQ11" s="348"/>
      <c r="IMR11" s="348"/>
      <c r="IMS11" s="348"/>
      <c r="IMT11" s="348"/>
      <c r="IMU11" s="348"/>
      <c r="IMV11" s="348"/>
      <c r="IMW11" s="348"/>
      <c r="IMX11" s="348"/>
      <c r="IMY11" s="348"/>
      <c r="IMZ11" s="348"/>
      <c r="INA11" s="348"/>
      <c r="INB11" s="348"/>
      <c r="INC11" s="348"/>
      <c r="IND11" s="348"/>
      <c r="INE11" s="348"/>
      <c r="INF11" s="348"/>
      <c r="ING11" s="348"/>
      <c r="INH11" s="348"/>
      <c r="INI11" s="348"/>
      <c r="INJ11" s="348"/>
      <c r="INK11" s="348"/>
      <c r="INL11" s="348"/>
      <c r="INM11" s="348"/>
      <c r="INN11" s="348"/>
      <c r="INO11" s="348"/>
      <c r="INP11" s="348"/>
      <c r="INQ11" s="348"/>
      <c r="INR11" s="348"/>
      <c r="INS11" s="348"/>
      <c r="INT11" s="348"/>
      <c r="INU11" s="348"/>
      <c r="INV11" s="348"/>
      <c r="INW11" s="348"/>
      <c r="INX11" s="348"/>
      <c r="INY11" s="348"/>
      <c r="INZ11" s="348"/>
      <c r="IOA11" s="348"/>
      <c r="IOB11" s="348"/>
      <c r="IOC11" s="348"/>
      <c r="IOD11" s="348"/>
      <c r="IOE11" s="348"/>
      <c r="IOF11" s="348"/>
      <c r="IOG11" s="348"/>
      <c r="IOH11" s="348"/>
      <c r="IOI11" s="348"/>
      <c r="IOJ11" s="348"/>
      <c r="IOK11" s="348"/>
      <c r="IOL11" s="348"/>
      <c r="IOM11" s="348"/>
      <c r="ION11" s="348"/>
      <c r="IOO11" s="348"/>
      <c r="IOP11" s="348"/>
      <c r="IOQ11" s="348"/>
      <c r="IOR11" s="348"/>
      <c r="IOS11" s="348"/>
      <c r="IOT11" s="348"/>
      <c r="IOU11" s="348"/>
      <c r="IOV11" s="348"/>
      <c r="IOW11" s="348"/>
      <c r="IOX11" s="348"/>
      <c r="IOY11" s="348"/>
      <c r="IOZ11" s="348"/>
      <c r="IPA11" s="348"/>
      <c r="IPB11" s="348"/>
      <c r="IPC11" s="348"/>
      <c r="IPD11" s="348"/>
      <c r="IPE11" s="348"/>
      <c r="IPF11" s="348"/>
      <c r="IPG11" s="348"/>
      <c r="IPH11" s="348"/>
      <c r="IPI11" s="348"/>
      <c r="IPJ11" s="348"/>
      <c r="IPK11" s="348"/>
      <c r="IPL11" s="348"/>
      <c r="IPM11" s="348"/>
      <c r="IPN11" s="348"/>
      <c r="IPO11" s="348"/>
      <c r="IPP11" s="348"/>
      <c r="IPQ11" s="348"/>
      <c r="IPR11" s="348"/>
      <c r="IPS11" s="348"/>
      <c r="IPT11" s="348"/>
      <c r="IPU11" s="348"/>
      <c r="IPV11" s="348"/>
      <c r="IPW11" s="348"/>
      <c r="IPX11" s="348"/>
      <c r="IPY11" s="348"/>
      <c r="IPZ11" s="348"/>
      <c r="IQA11" s="348"/>
      <c r="IQB11" s="348"/>
      <c r="IQC11" s="348"/>
      <c r="IQD11" s="348"/>
      <c r="IQE11" s="348"/>
      <c r="IQF11" s="348"/>
      <c r="IQG11" s="348"/>
      <c r="IQH11" s="348"/>
      <c r="IQI11" s="348"/>
      <c r="IQJ11" s="348"/>
      <c r="IQK11" s="348"/>
      <c r="IQL11" s="348"/>
      <c r="IQM11" s="348"/>
      <c r="IQN11" s="348"/>
      <c r="IQO11" s="348"/>
      <c r="IQP11" s="348"/>
      <c r="IQQ11" s="348"/>
      <c r="IQR11" s="348"/>
      <c r="IQS11" s="348"/>
      <c r="IQT11" s="348"/>
      <c r="IQU11" s="348"/>
      <c r="IQV11" s="348"/>
      <c r="IQW11" s="348"/>
      <c r="IQX11" s="348"/>
      <c r="IQY11" s="348"/>
      <c r="IQZ11" s="348"/>
      <c r="IRA11" s="348"/>
      <c r="IRB11" s="348"/>
      <c r="IRC11" s="348"/>
      <c r="IRD11" s="348"/>
      <c r="IRE11" s="348"/>
      <c r="IRF11" s="348"/>
      <c r="IRG11" s="348"/>
      <c r="IRH11" s="348"/>
      <c r="IRI11" s="348"/>
      <c r="IRJ11" s="348"/>
      <c r="IRK11" s="348"/>
      <c r="IRL11" s="348"/>
      <c r="IRM11" s="348"/>
      <c r="IRN11" s="348"/>
      <c r="IRO11" s="348"/>
      <c r="IRP11" s="348"/>
      <c r="IRQ11" s="348"/>
      <c r="IRR11" s="348"/>
      <c r="IRS11" s="348"/>
      <c r="IRT11" s="348"/>
      <c r="IRU11" s="348"/>
      <c r="IRV11" s="348"/>
      <c r="IRW11" s="348"/>
      <c r="IRX11" s="348"/>
      <c r="IRY11" s="348"/>
      <c r="IRZ11" s="348"/>
      <c r="ISA11" s="348"/>
      <c r="ISB11" s="348"/>
      <c r="ISC11" s="348"/>
      <c r="ISD11" s="348"/>
      <c r="ISE11" s="348"/>
      <c r="ISF11" s="348"/>
      <c r="ISG11" s="348"/>
      <c r="ISH11" s="348"/>
      <c r="ISI11" s="348"/>
      <c r="ISJ11" s="348"/>
      <c r="ISK11" s="348"/>
      <c r="ISL11" s="348"/>
      <c r="ISM11" s="348"/>
      <c r="ISN11" s="348"/>
      <c r="ISO11" s="348"/>
      <c r="ISP11" s="348"/>
      <c r="ISQ11" s="348"/>
      <c r="ISR11" s="348"/>
      <c r="ISS11" s="348"/>
      <c r="IST11" s="348"/>
      <c r="ISU11" s="348"/>
      <c r="ISV11" s="348"/>
      <c r="ISW11" s="348"/>
      <c r="ISX11" s="348"/>
      <c r="ISY11" s="348"/>
      <c r="ISZ11" s="348"/>
      <c r="ITA11" s="348"/>
      <c r="ITB11" s="348"/>
      <c r="ITC11" s="348"/>
      <c r="ITD11" s="348"/>
      <c r="ITE11" s="348"/>
      <c r="ITF11" s="348"/>
      <c r="ITG11" s="348"/>
      <c r="ITH11" s="348"/>
      <c r="ITI11" s="348"/>
      <c r="ITJ11" s="348"/>
      <c r="ITK11" s="348"/>
      <c r="ITL11" s="348"/>
      <c r="ITM11" s="348"/>
      <c r="ITN11" s="348"/>
      <c r="ITO11" s="348"/>
      <c r="ITP11" s="348"/>
      <c r="ITQ11" s="348"/>
      <c r="ITR11" s="348"/>
      <c r="ITS11" s="348"/>
      <c r="ITT11" s="348"/>
      <c r="ITU11" s="348"/>
      <c r="ITV11" s="348"/>
      <c r="ITW11" s="348"/>
      <c r="ITX11" s="348"/>
      <c r="ITY11" s="348"/>
      <c r="ITZ11" s="348"/>
      <c r="IUA11" s="348"/>
      <c r="IUB11" s="348"/>
      <c r="IUC11" s="348"/>
      <c r="IUD11" s="348"/>
      <c r="IUE11" s="348"/>
      <c r="IUF11" s="348"/>
      <c r="IUG11" s="348"/>
      <c r="IUH11" s="348"/>
      <c r="IUI11" s="348"/>
      <c r="IUJ11" s="348"/>
      <c r="IUK11" s="348"/>
      <c r="IUL11" s="348"/>
      <c r="IUM11" s="348"/>
      <c r="IUN11" s="348"/>
      <c r="IUO11" s="348"/>
      <c r="IUP11" s="348"/>
      <c r="IUQ11" s="348"/>
      <c r="IUR11" s="348"/>
      <c r="IUS11" s="348"/>
      <c r="IUT11" s="348"/>
      <c r="IUU11" s="348"/>
      <c r="IUV11" s="348"/>
      <c r="IUW11" s="348"/>
      <c r="IUX11" s="348"/>
      <c r="IUY11" s="348"/>
      <c r="IUZ11" s="348"/>
      <c r="IVA11" s="348"/>
      <c r="IVB11" s="348"/>
      <c r="IVC11" s="348"/>
      <c r="IVD11" s="348"/>
      <c r="IVE11" s="348"/>
      <c r="IVF11" s="348"/>
      <c r="IVG11" s="348"/>
      <c r="IVH11" s="348"/>
      <c r="IVI11" s="348"/>
      <c r="IVJ11" s="348"/>
      <c r="IVK11" s="348"/>
      <c r="IVL11" s="348"/>
      <c r="IVM11" s="348"/>
      <c r="IVN11" s="348"/>
      <c r="IVO11" s="348"/>
      <c r="IVP11" s="348"/>
      <c r="IVQ11" s="348"/>
      <c r="IVR11" s="348"/>
      <c r="IVS11" s="348"/>
      <c r="IVT11" s="348"/>
      <c r="IVU11" s="348"/>
      <c r="IVV11" s="348"/>
      <c r="IVW11" s="348"/>
      <c r="IVX11" s="348"/>
      <c r="IVY11" s="348"/>
      <c r="IVZ11" s="348"/>
      <c r="IWA11" s="348"/>
      <c r="IWB11" s="348"/>
      <c r="IWC11" s="348"/>
      <c r="IWD11" s="348"/>
      <c r="IWE11" s="348"/>
      <c r="IWF11" s="348"/>
      <c r="IWG11" s="348"/>
      <c r="IWH11" s="348"/>
      <c r="IWI11" s="348"/>
      <c r="IWJ11" s="348"/>
      <c r="IWK11" s="348"/>
      <c r="IWL11" s="348"/>
      <c r="IWM11" s="348"/>
      <c r="IWN11" s="348"/>
      <c r="IWO11" s="348"/>
      <c r="IWP11" s="348"/>
      <c r="IWQ11" s="348"/>
      <c r="IWR11" s="348"/>
      <c r="IWS11" s="348"/>
      <c r="IWT11" s="348"/>
      <c r="IWU11" s="348"/>
      <c r="IWV11" s="348"/>
      <c r="IWW11" s="348"/>
      <c r="IWX11" s="348"/>
      <c r="IWY11" s="348"/>
      <c r="IWZ11" s="348"/>
      <c r="IXA11" s="348"/>
      <c r="IXB11" s="348"/>
      <c r="IXC11" s="348"/>
      <c r="IXD11" s="348"/>
      <c r="IXE11" s="348"/>
      <c r="IXF11" s="348"/>
      <c r="IXG11" s="348"/>
      <c r="IXH11" s="348"/>
      <c r="IXI11" s="348"/>
      <c r="IXJ11" s="348"/>
      <c r="IXK11" s="348"/>
      <c r="IXL11" s="348"/>
      <c r="IXM11" s="348"/>
      <c r="IXN11" s="348"/>
      <c r="IXO11" s="348"/>
      <c r="IXP11" s="348"/>
      <c r="IXQ11" s="348"/>
      <c r="IXR11" s="348"/>
      <c r="IXS11" s="348"/>
      <c r="IXT11" s="348"/>
      <c r="IXU11" s="348"/>
      <c r="IXV11" s="348"/>
      <c r="IXW11" s="348"/>
      <c r="IXX11" s="348"/>
      <c r="IXY11" s="348"/>
      <c r="IXZ11" s="348"/>
      <c r="IYA11" s="348"/>
      <c r="IYB11" s="348"/>
      <c r="IYC11" s="348"/>
      <c r="IYD11" s="348"/>
      <c r="IYE11" s="348"/>
      <c r="IYF11" s="348"/>
      <c r="IYG11" s="348"/>
      <c r="IYH11" s="348"/>
      <c r="IYI11" s="348"/>
      <c r="IYJ11" s="348"/>
      <c r="IYK11" s="348"/>
      <c r="IYL11" s="348"/>
      <c r="IYM11" s="348"/>
      <c r="IYN11" s="348"/>
      <c r="IYO11" s="348"/>
      <c r="IYP11" s="348"/>
      <c r="IYQ11" s="348"/>
      <c r="IYR11" s="348"/>
      <c r="IYS11" s="348"/>
      <c r="IYT11" s="348"/>
      <c r="IYU11" s="348"/>
      <c r="IYV11" s="348"/>
      <c r="IYW11" s="348"/>
      <c r="IYX11" s="348"/>
      <c r="IYY11" s="348"/>
      <c r="IYZ11" s="348"/>
      <c r="IZA11" s="348"/>
      <c r="IZB11" s="348"/>
      <c r="IZC11" s="348"/>
      <c r="IZD11" s="348"/>
      <c r="IZE11" s="348"/>
      <c r="IZF11" s="348"/>
      <c r="IZG11" s="348"/>
      <c r="IZH11" s="348"/>
      <c r="IZI11" s="348"/>
      <c r="IZJ11" s="348"/>
      <c r="IZK11" s="348"/>
      <c r="IZL11" s="348"/>
      <c r="IZM11" s="348"/>
      <c r="IZN11" s="348"/>
      <c r="IZO11" s="348"/>
      <c r="IZP11" s="348"/>
      <c r="IZQ11" s="348"/>
      <c r="IZR11" s="348"/>
      <c r="IZS11" s="348"/>
      <c r="IZT11" s="348"/>
      <c r="IZU11" s="348"/>
      <c r="IZV11" s="348"/>
      <c r="IZW11" s="348"/>
      <c r="IZX11" s="348"/>
      <c r="IZY11" s="348"/>
      <c r="IZZ11" s="348"/>
      <c r="JAA11" s="348"/>
      <c r="JAB11" s="348"/>
      <c r="JAC11" s="348"/>
      <c r="JAD11" s="348"/>
      <c r="JAE11" s="348"/>
      <c r="JAF11" s="348"/>
      <c r="JAG11" s="348"/>
      <c r="JAH11" s="348"/>
      <c r="JAI11" s="348"/>
      <c r="JAJ11" s="348"/>
      <c r="JAK11" s="348"/>
      <c r="JAL11" s="348"/>
      <c r="JAM11" s="348"/>
      <c r="JAN11" s="348"/>
      <c r="JAO11" s="348"/>
      <c r="JAP11" s="348"/>
      <c r="JAQ11" s="348"/>
      <c r="JAR11" s="348"/>
      <c r="JAS11" s="348"/>
      <c r="JAT11" s="348"/>
      <c r="JAU11" s="348"/>
      <c r="JAV11" s="348"/>
      <c r="JAW11" s="348"/>
      <c r="JAX11" s="348"/>
      <c r="JAY11" s="348"/>
      <c r="JAZ11" s="348"/>
      <c r="JBA11" s="348"/>
      <c r="JBB11" s="348"/>
      <c r="JBC11" s="348"/>
      <c r="JBD11" s="348"/>
      <c r="JBE11" s="348"/>
      <c r="JBF11" s="348"/>
      <c r="JBG11" s="348"/>
      <c r="JBH11" s="348"/>
      <c r="JBI11" s="348"/>
      <c r="JBJ11" s="348"/>
      <c r="JBK11" s="348"/>
      <c r="JBL11" s="348"/>
      <c r="JBM11" s="348"/>
      <c r="JBN11" s="348"/>
      <c r="JBO11" s="348"/>
      <c r="JBP11" s="348"/>
      <c r="JBQ11" s="348"/>
      <c r="JBR11" s="348"/>
      <c r="JBS11" s="348"/>
      <c r="JBT11" s="348"/>
      <c r="JBU11" s="348"/>
      <c r="JBV11" s="348"/>
      <c r="JBW11" s="348"/>
      <c r="JBX11" s="348"/>
      <c r="JBY11" s="348"/>
      <c r="JBZ11" s="348"/>
      <c r="JCA11" s="348"/>
      <c r="JCB11" s="348"/>
      <c r="JCC11" s="348"/>
      <c r="JCD11" s="348"/>
      <c r="JCE11" s="348"/>
      <c r="JCF11" s="348"/>
      <c r="JCG11" s="348"/>
      <c r="JCH11" s="348"/>
      <c r="JCI11" s="348"/>
      <c r="JCJ11" s="348"/>
      <c r="JCK11" s="348"/>
      <c r="JCL11" s="348"/>
      <c r="JCM11" s="348"/>
      <c r="JCN11" s="348"/>
      <c r="JCO11" s="348"/>
      <c r="JCP11" s="348"/>
      <c r="JCQ11" s="348"/>
      <c r="JCR11" s="348"/>
      <c r="JCS11" s="348"/>
      <c r="JCT11" s="348"/>
      <c r="JCU11" s="348"/>
      <c r="JCV11" s="348"/>
      <c r="JCW11" s="348"/>
      <c r="JCX11" s="348"/>
      <c r="JCY11" s="348"/>
      <c r="JCZ11" s="348"/>
      <c r="JDA11" s="348"/>
      <c r="JDB11" s="348"/>
      <c r="JDC11" s="348"/>
      <c r="JDD11" s="348"/>
      <c r="JDE11" s="348"/>
      <c r="JDF11" s="348"/>
      <c r="JDG11" s="348"/>
      <c r="JDH11" s="348"/>
      <c r="JDI11" s="348"/>
      <c r="JDJ11" s="348"/>
      <c r="JDK11" s="348"/>
      <c r="JDL11" s="348"/>
      <c r="JDM11" s="348"/>
      <c r="JDN11" s="348"/>
      <c r="JDO11" s="348"/>
      <c r="JDP11" s="348"/>
      <c r="JDQ11" s="348"/>
      <c r="JDR11" s="348"/>
      <c r="JDS11" s="348"/>
      <c r="JDT11" s="348"/>
      <c r="JDU11" s="348"/>
      <c r="JDV11" s="348"/>
      <c r="JDW11" s="348"/>
      <c r="JDX11" s="348"/>
      <c r="JDY11" s="348"/>
      <c r="JDZ11" s="348"/>
      <c r="JEA11" s="348"/>
      <c r="JEB11" s="348"/>
      <c r="JEC11" s="348"/>
      <c r="JED11" s="348"/>
      <c r="JEE11" s="348"/>
      <c r="JEF11" s="348"/>
      <c r="JEG11" s="348"/>
      <c r="JEH11" s="348"/>
      <c r="JEI11" s="348"/>
      <c r="JEJ11" s="348"/>
      <c r="JEK11" s="348"/>
      <c r="JEL11" s="348"/>
      <c r="JEM11" s="348"/>
      <c r="JEN11" s="348"/>
      <c r="JEO11" s="348"/>
      <c r="JEP11" s="348"/>
      <c r="JEQ11" s="348"/>
      <c r="JER11" s="348"/>
      <c r="JES11" s="348"/>
      <c r="JET11" s="348"/>
      <c r="JEU11" s="348"/>
      <c r="JEV11" s="348"/>
      <c r="JEW11" s="348"/>
      <c r="JEX11" s="348"/>
      <c r="JEY11" s="348"/>
      <c r="JEZ11" s="348"/>
      <c r="JFA11" s="348"/>
      <c r="JFB11" s="348"/>
      <c r="JFC11" s="348"/>
      <c r="JFD11" s="348"/>
      <c r="JFE11" s="348"/>
      <c r="JFF11" s="348"/>
      <c r="JFG11" s="348"/>
      <c r="JFH11" s="348"/>
      <c r="JFI11" s="348"/>
      <c r="JFJ11" s="348"/>
      <c r="JFK11" s="348"/>
      <c r="JFL11" s="348"/>
      <c r="JFM11" s="348"/>
      <c r="JFN11" s="348"/>
      <c r="JFO11" s="348"/>
      <c r="JFP11" s="348"/>
      <c r="JFQ11" s="348"/>
      <c r="JFR11" s="348"/>
      <c r="JFS11" s="348"/>
      <c r="JFT11" s="348"/>
      <c r="JFU11" s="348"/>
      <c r="JFV11" s="348"/>
      <c r="JFW11" s="348"/>
      <c r="JFX11" s="348"/>
      <c r="JFY11" s="348"/>
      <c r="JFZ11" s="348"/>
      <c r="JGA11" s="348"/>
      <c r="JGB11" s="348"/>
      <c r="JGC11" s="348"/>
      <c r="JGD11" s="348"/>
      <c r="JGE11" s="348"/>
      <c r="JGF11" s="348"/>
      <c r="JGG11" s="348"/>
      <c r="JGH11" s="348"/>
      <c r="JGI11" s="348"/>
      <c r="JGJ11" s="348"/>
      <c r="JGK11" s="348"/>
      <c r="JGL11" s="348"/>
      <c r="JGM11" s="348"/>
      <c r="JGN11" s="348"/>
      <c r="JGO11" s="348"/>
      <c r="JGP11" s="348"/>
      <c r="JGQ11" s="348"/>
      <c r="JGR11" s="348"/>
      <c r="JGS11" s="348"/>
      <c r="JGT11" s="348"/>
      <c r="JGU11" s="348"/>
      <c r="JGV11" s="348"/>
      <c r="JGW11" s="348"/>
      <c r="JGX11" s="348"/>
      <c r="JGY11" s="348"/>
      <c r="JGZ11" s="348"/>
      <c r="JHA11" s="348"/>
      <c r="JHB11" s="348"/>
      <c r="JHC11" s="348"/>
      <c r="JHD11" s="348"/>
      <c r="JHE11" s="348"/>
      <c r="JHF11" s="348"/>
      <c r="JHG11" s="348"/>
      <c r="JHH11" s="348"/>
      <c r="JHI11" s="348"/>
      <c r="JHJ11" s="348"/>
      <c r="JHK11" s="348"/>
      <c r="JHL11" s="348"/>
      <c r="JHM11" s="348"/>
      <c r="JHN11" s="348"/>
      <c r="JHO11" s="348"/>
      <c r="JHP11" s="348"/>
      <c r="JHQ11" s="348"/>
      <c r="JHR11" s="348"/>
      <c r="JHS11" s="348"/>
      <c r="JHT11" s="348"/>
      <c r="JHU11" s="348"/>
      <c r="JHV11" s="348"/>
      <c r="JHW11" s="348"/>
      <c r="JHX11" s="348"/>
      <c r="JHY11" s="348"/>
      <c r="JHZ11" s="348"/>
      <c r="JIA11" s="348"/>
      <c r="JIB11" s="348"/>
      <c r="JIC11" s="348"/>
      <c r="JID11" s="348"/>
      <c r="JIE11" s="348"/>
      <c r="JIF11" s="348"/>
      <c r="JIG11" s="348"/>
      <c r="JIH11" s="348"/>
      <c r="JII11" s="348"/>
      <c r="JIJ11" s="348"/>
      <c r="JIK11" s="348"/>
      <c r="JIL11" s="348"/>
      <c r="JIM11" s="348"/>
      <c r="JIN11" s="348"/>
      <c r="JIO11" s="348"/>
      <c r="JIP11" s="348"/>
      <c r="JIQ11" s="348"/>
      <c r="JIR11" s="348"/>
      <c r="JIS11" s="348"/>
      <c r="JIT11" s="348"/>
      <c r="JIU11" s="348"/>
      <c r="JIV11" s="348"/>
      <c r="JIW11" s="348"/>
      <c r="JIX11" s="348"/>
      <c r="JIY11" s="348"/>
      <c r="JIZ11" s="348"/>
      <c r="JJA11" s="348"/>
      <c r="JJB11" s="348"/>
      <c r="JJC11" s="348"/>
      <c r="JJD11" s="348"/>
      <c r="JJE11" s="348"/>
      <c r="JJF11" s="348"/>
      <c r="JJG11" s="348"/>
      <c r="JJH11" s="348"/>
      <c r="JJI11" s="348"/>
      <c r="JJJ11" s="348"/>
      <c r="JJK11" s="348"/>
      <c r="JJL11" s="348"/>
      <c r="JJM11" s="348"/>
      <c r="JJN11" s="348"/>
      <c r="JJO11" s="348"/>
      <c r="JJP11" s="348"/>
      <c r="JJQ11" s="348"/>
      <c r="JJR11" s="348"/>
      <c r="JJS11" s="348"/>
      <c r="JJT11" s="348"/>
      <c r="JJU11" s="348"/>
      <c r="JJV11" s="348"/>
      <c r="JJW11" s="348"/>
      <c r="JJX11" s="348"/>
      <c r="JJY11" s="348"/>
      <c r="JJZ11" s="348"/>
      <c r="JKA11" s="348"/>
      <c r="JKB11" s="348"/>
      <c r="JKC11" s="348"/>
      <c r="JKD11" s="348"/>
      <c r="JKE11" s="348"/>
      <c r="JKF11" s="348"/>
      <c r="JKG11" s="348"/>
      <c r="JKH11" s="348"/>
      <c r="JKI11" s="348"/>
      <c r="JKJ11" s="348"/>
      <c r="JKK11" s="348"/>
      <c r="JKL11" s="348"/>
      <c r="JKM11" s="348"/>
      <c r="JKN11" s="348"/>
      <c r="JKO11" s="348"/>
      <c r="JKP11" s="348"/>
      <c r="JKQ11" s="348"/>
      <c r="JKR11" s="348"/>
      <c r="JKS11" s="348"/>
      <c r="JKT11" s="348"/>
      <c r="JKU11" s="348"/>
      <c r="JKV11" s="348"/>
      <c r="JKW11" s="348"/>
      <c r="JKX11" s="348"/>
      <c r="JKY11" s="348"/>
      <c r="JKZ11" s="348"/>
      <c r="JLA11" s="348"/>
      <c r="JLB11" s="348"/>
      <c r="JLC11" s="348"/>
      <c r="JLD11" s="348"/>
      <c r="JLE11" s="348"/>
      <c r="JLF11" s="348"/>
      <c r="JLG11" s="348"/>
      <c r="JLH11" s="348"/>
      <c r="JLI11" s="348"/>
      <c r="JLJ11" s="348"/>
      <c r="JLK11" s="348"/>
      <c r="JLL11" s="348"/>
      <c r="JLM11" s="348"/>
      <c r="JLN11" s="348"/>
      <c r="JLO11" s="348"/>
      <c r="JLP11" s="348"/>
      <c r="JLQ11" s="348"/>
      <c r="JLR11" s="348"/>
      <c r="JLS11" s="348"/>
      <c r="JLT11" s="348"/>
      <c r="JLU11" s="348"/>
      <c r="JLV11" s="348"/>
      <c r="JLW11" s="348"/>
      <c r="JLX11" s="348"/>
      <c r="JLY11" s="348"/>
      <c r="JLZ11" s="348"/>
      <c r="JMA11" s="348"/>
      <c r="JMB11" s="348"/>
      <c r="JMC11" s="348"/>
      <c r="JMD11" s="348"/>
      <c r="JME11" s="348"/>
      <c r="JMF11" s="348"/>
      <c r="JMG11" s="348"/>
      <c r="JMH11" s="348"/>
      <c r="JMI11" s="348"/>
      <c r="JMJ11" s="348"/>
      <c r="JMK11" s="348"/>
      <c r="JML11" s="348"/>
      <c r="JMM11" s="348"/>
      <c r="JMN11" s="348"/>
      <c r="JMO11" s="348"/>
      <c r="JMP11" s="348"/>
      <c r="JMQ11" s="348"/>
      <c r="JMR11" s="348"/>
      <c r="JMS11" s="348"/>
      <c r="JMT11" s="348"/>
      <c r="JMU11" s="348"/>
      <c r="JMV11" s="348"/>
      <c r="JMW11" s="348"/>
      <c r="JMX11" s="348"/>
      <c r="JMY11" s="348"/>
      <c r="JMZ11" s="348"/>
      <c r="JNA11" s="348"/>
      <c r="JNB11" s="348"/>
      <c r="JNC11" s="348"/>
      <c r="JND11" s="348"/>
      <c r="JNE11" s="348"/>
      <c r="JNF11" s="348"/>
      <c r="JNG11" s="348"/>
      <c r="JNH11" s="348"/>
      <c r="JNI11" s="348"/>
      <c r="JNJ11" s="348"/>
      <c r="JNK11" s="348"/>
      <c r="JNL11" s="348"/>
      <c r="JNM11" s="348"/>
      <c r="JNN11" s="348"/>
      <c r="JNO11" s="348"/>
      <c r="JNP11" s="348"/>
      <c r="JNQ11" s="348"/>
      <c r="JNR11" s="348"/>
      <c r="JNS11" s="348"/>
      <c r="JNT11" s="348"/>
      <c r="JNU11" s="348"/>
      <c r="JNV11" s="348"/>
      <c r="JNW11" s="348"/>
      <c r="JNX11" s="348"/>
      <c r="JNY11" s="348"/>
      <c r="JNZ11" s="348"/>
      <c r="JOA11" s="348"/>
      <c r="JOB11" s="348"/>
      <c r="JOC11" s="348"/>
      <c r="JOD11" s="348"/>
      <c r="JOE11" s="348"/>
      <c r="JOF11" s="348"/>
      <c r="JOG11" s="348"/>
      <c r="JOH11" s="348"/>
      <c r="JOI11" s="348"/>
      <c r="JOJ11" s="348"/>
      <c r="JOK11" s="348"/>
      <c r="JOL11" s="348"/>
      <c r="JOM11" s="348"/>
      <c r="JON11" s="348"/>
      <c r="JOO11" s="348"/>
      <c r="JOP11" s="348"/>
      <c r="JOQ11" s="348"/>
      <c r="JOR11" s="348"/>
      <c r="JOS11" s="348"/>
      <c r="JOT11" s="348"/>
      <c r="JOU11" s="348"/>
      <c r="JOV11" s="348"/>
      <c r="JOW11" s="348"/>
      <c r="JOX11" s="348"/>
      <c r="JOY11" s="348"/>
      <c r="JOZ11" s="348"/>
      <c r="JPA11" s="348"/>
      <c r="JPB11" s="348"/>
      <c r="JPC11" s="348"/>
      <c r="JPD11" s="348"/>
      <c r="JPE11" s="348"/>
      <c r="JPF11" s="348"/>
      <c r="JPG11" s="348"/>
      <c r="JPH11" s="348"/>
      <c r="JPI11" s="348"/>
      <c r="JPJ11" s="348"/>
      <c r="JPK11" s="348"/>
      <c r="JPL11" s="348"/>
      <c r="JPM11" s="348"/>
      <c r="JPN11" s="348"/>
      <c r="JPO11" s="348"/>
      <c r="JPP11" s="348"/>
      <c r="JPQ11" s="348"/>
      <c r="JPR11" s="348"/>
      <c r="JPS11" s="348"/>
      <c r="JPT11" s="348"/>
      <c r="JPU11" s="348"/>
      <c r="JPV11" s="348"/>
      <c r="JPW11" s="348"/>
      <c r="JPX11" s="348"/>
      <c r="JPY11" s="348"/>
      <c r="JPZ11" s="348"/>
      <c r="JQA11" s="348"/>
      <c r="JQB11" s="348"/>
      <c r="JQC11" s="348"/>
      <c r="JQD11" s="348"/>
      <c r="JQE11" s="348"/>
      <c r="JQF11" s="348"/>
      <c r="JQG11" s="348"/>
      <c r="JQH11" s="348"/>
      <c r="JQI11" s="348"/>
      <c r="JQJ11" s="348"/>
      <c r="JQK11" s="348"/>
      <c r="JQL11" s="348"/>
      <c r="JQM11" s="348"/>
      <c r="JQN11" s="348"/>
      <c r="JQO11" s="348"/>
      <c r="JQP11" s="348"/>
      <c r="JQQ11" s="348"/>
      <c r="JQR11" s="348"/>
      <c r="JQS11" s="348"/>
      <c r="JQT11" s="348"/>
      <c r="JQU11" s="348"/>
      <c r="JQV11" s="348"/>
      <c r="JQW11" s="348"/>
      <c r="JQX11" s="348"/>
      <c r="JQY11" s="348"/>
      <c r="JQZ11" s="348"/>
      <c r="JRA11" s="348"/>
      <c r="JRB11" s="348"/>
      <c r="JRC11" s="348"/>
      <c r="JRD11" s="348"/>
      <c r="JRE11" s="348"/>
      <c r="JRF11" s="348"/>
      <c r="JRG11" s="348"/>
      <c r="JRH11" s="348"/>
      <c r="JRI11" s="348"/>
      <c r="JRJ11" s="348"/>
      <c r="JRK11" s="348"/>
      <c r="JRL11" s="348"/>
      <c r="JRM11" s="348"/>
      <c r="JRN11" s="348"/>
      <c r="JRO11" s="348"/>
      <c r="JRP11" s="348"/>
      <c r="JRQ11" s="348"/>
      <c r="JRR11" s="348"/>
      <c r="JRS11" s="348"/>
      <c r="JRT11" s="348"/>
      <c r="JRU11" s="348"/>
      <c r="JRV11" s="348"/>
      <c r="JRW11" s="348"/>
      <c r="JRX11" s="348"/>
      <c r="JRY11" s="348"/>
      <c r="JRZ11" s="348"/>
      <c r="JSA11" s="348"/>
      <c r="JSB11" s="348"/>
      <c r="JSC11" s="348"/>
      <c r="JSD11" s="348"/>
      <c r="JSE11" s="348"/>
      <c r="JSF11" s="348"/>
      <c r="JSG11" s="348"/>
      <c r="JSH11" s="348"/>
      <c r="JSI11" s="348"/>
      <c r="JSJ11" s="348"/>
      <c r="JSK11" s="348"/>
      <c r="JSL11" s="348"/>
      <c r="JSM11" s="348"/>
      <c r="JSN11" s="348"/>
      <c r="JSO11" s="348"/>
      <c r="JSP11" s="348"/>
      <c r="JSQ11" s="348"/>
      <c r="JSR11" s="348"/>
      <c r="JSS11" s="348"/>
      <c r="JST11" s="348"/>
      <c r="JSU11" s="348"/>
      <c r="JSV11" s="348"/>
      <c r="JSW11" s="348"/>
      <c r="JSX11" s="348"/>
      <c r="JSY11" s="348"/>
      <c r="JSZ11" s="348"/>
      <c r="JTA11" s="348"/>
      <c r="JTB11" s="348"/>
      <c r="JTC11" s="348"/>
      <c r="JTD11" s="348"/>
      <c r="JTE11" s="348"/>
      <c r="JTF11" s="348"/>
      <c r="JTG11" s="348"/>
      <c r="JTH11" s="348"/>
      <c r="JTI11" s="348"/>
      <c r="JTJ11" s="348"/>
      <c r="JTK11" s="348"/>
      <c r="JTL11" s="348"/>
      <c r="JTM11" s="348"/>
      <c r="JTN11" s="348"/>
      <c r="JTO11" s="348"/>
      <c r="JTP11" s="348"/>
      <c r="JTQ11" s="348"/>
      <c r="JTR11" s="348"/>
      <c r="JTS11" s="348"/>
      <c r="JTT11" s="348"/>
      <c r="JTU11" s="348"/>
      <c r="JTV11" s="348"/>
      <c r="JTW11" s="348"/>
      <c r="JTX11" s="348"/>
      <c r="JTY11" s="348"/>
      <c r="JTZ11" s="348"/>
      <c r="JUA11" s="348"/>
      <c r="JUB11" s="348"/>
      <c r="JUC11" s="348"/>
      <c r="JUD11" s="348"/>
      <c r="JUE11" s="348"/>
      <c r="JUF11" s="348"/>
      <c r="JUG11" s="348"/>
      <c r="JUH11" s="348"/>
      <c r="JUI11" s="348"/>
      <c r="JUJ11" s="348"/>
      <c r="JUK11" s="348"/>
      <c r="JUL11" s="348"/>
      <c r="JUM11" s="348"/>
      <c r="JUN11" s="348"/>
      <c r="JUO11" s="348"/>
      <c r="JUP11" s="348"/>
      <c r="JUQ11" s="348"/>
      <c r="JUR11" s="348"/>
      <c r="JUS11" s="348"/>
      <c r="JUT11" s="348"/>
      <c r="JUU11" s="348"/>
      <c r="JUV11" s="348"/>
      <c r="JUW11" s="348"/>
      <c r="JUX11" s="348"/>
      <c r="JUY11" s="348"/>
      <c r="JUZ11" s="348"/>
      <c r="JVA11" s="348"/>
      <c r="JVB11" s="348"/>
      <c r="JVC11" s="348"/>
      <c r="JVD11" s="348"/>
      <c r="JVE11" s="348"/>
      <c r="JVF11" s="348"/>
      <c r="JVG11" s="348"/>
      <c r="JVH11" s="348"/>
      <c r="JVI11" s="348"/>
      <c r="JVJ11" s="348"/>
      <c r="JVK11" s="348"/>
      <c r="JVL11" s="348"/>
      <c r="JVM11" s="348"/>
      <c r="JVN11" s="348"/>
      <c r="JVO11" s="348"/>
      <c r="JVP11" s="348"/>
      <c r="JVQ11" s="348"/>
      <c r="JVR11" s="348"/>
      <c r="JVS11" s="348"/>
      <c r="JVT11" s="348"/>
      <c r="JVU11" s="348"/>
      <c r="JVV11" s="348"/>
      <c r="JVW11" s="348"/>
      <c r="JVX11" s="348"/>
      <c r="JVY11" s="348"/>
      <c r="JVZ11" s="348"/>
      <c r="JWA11" s="348"/>
      <c r="JWB11" s="348"/>
      <c r="JWC11" s="348"/>
      <c r="JWD11" s="348"/>
      <c r="JWE11" s="348"/>
      <c r="JWF11" s="348"/>
      <c r="JWG11" s="348"/>
      <c r="JWH11" s="348"/>
      <c r="JWI11" s="348"/>
      <c r="JWJ11" s="348"/>
      <c r="JWK11" s="348"/>
      <c r="JWL11" s="348"/>
      <c r="JWM11" s="348"/>
      <c r="JWN11" s="348"/>
      <c r="JWO11" s="348"/>
      <c r="JWP11" s="348"/>
      <c r="JWQ11" s="348"/>
      <c r="JWR11" s="348"/>
      <c r="JWS11" s="348"/>
      <c r="JWT11" s="348"/>
      <c r="JWU11" s="348"/>
      <c r="JWV11" s="348"/>
      <c r="JWW11" s="348"/>
      <c r="JWX11" s="348"/>
      <c r="JWY11" s="348"/>
      <c r="JWZ11" s="348"/>
      <c r="JXA11" s="348"/>
      <c r="JXB11" s="348"/>
      <c r="JXC11" s="348"/>
      <c r="JXD11" s="348"/>
      <c r="JXE11" s="348"/>
      <c r="JXF11" s="348"/>
      <c r="JXG11" s="348"/>
      <c r="JXH11" s="348"/>
      <c r="JXI11" s="348"/>
      <c r="JXJ11" s="348"/>
      <c r="JXK11" s="348"/>
      <c r="JXL11" s="348"/>
      <c r="JXM11" s="348"/>
      <c r="JXN11" s="348"/>
      <c r="JXO11" s="348"/>
      <c r="JXP11" s="348"/>
      <c r="JXQ11" s="348"/>
      <c r="JXR11" s="348"/>
      <c r="JXS11" s="348"/>
      <c r="JXT11" s="348"/>
      <c r="JXU11" s="348"/>
      <c r="JXV11" s="348"/>
      <c r="JXW11" s="348"/>
      <c r="JXX11" s="348"/>
      <c r="JXY11" s="348"/>
      <c r="JXZ11" s="348"/>
      <c r="JYA11" s="348"/>
      <c r="JYB11" s="348"/>
      <c r="JYC11" s="348"/>
      <c r="JYD11" s="348"/>
      <c r="JYE11" s="348"/>
      <c r="JYF11" s="348"/>
      <c r="JYG11" s="348"/>
      <c r="JYH11" s="348"/>
      <c r="JYI11" s="348"/>
      <c r="JYJ11" s="348"/>
      <c r="JYK11" s="348"/>
      <c r="JYL11" s="348"/>
      <c r="JYM11" s="348"/>
      <c r="JYN11" s="348"/>
      <c r="JYO11" s="348"/>
      <c r="JYP11" s="348"/>
      <c r="JYQ11" s="348"/>
      <c r="JYR11" s="348"/>
      <c r="JYS11" s="348"/>
      <c r="JYT11" s="348"/>
      <c r="JYU11" s="348"/>
      <c r="JYV11" s="348"/>
      <c r="JYW11" s="348"/>
      <c r="JYX11" s="348"/>
      <c r="JYY11" s="348"/>
      <c r="JYZ11" s="348"/>
      <c r="JZA11" s="348"/>
      <c r="JZB11" s="348"/>
      <c r="JZC11" s="348"/>
      <c r="JZD11" s="348"/>
      <c r="JZE11" s="348"/>
      <c r="JZF11" s="348"/>
      <c r="JZG11" s="348"/>
      <c r="JZH11" s="348"/>
      <c r="JZI11" s="348"/>
      <c r="JZJ11" s="348"/>
      <c r="JZK11" s="348"/>
      <c r="JZL11" s="348"/>
      <c r="JZM11" s="348"/>
      <c r="JZN11" s="348"/>
      <c r="JZO11" s="348"/>
      <c r="JZP11" s="348"/>
      <c r="JZQ11" s="348"/>
      <c r="JZR11" s="348"/>
      <c r="JZS11" s="348"/>
      <c r="JZT11" s="348"/>
      <c r="JZU11" s="348"/>
      <c r="JZV11" s="348"/>
      <c r="JZW11" s="348"/>
      <c r="JZX11" s="348"/>
      <c r="JZY11" s="348"/>
      <c r="JZZ11" s="348"/>
      <c r="KAA11" s="348"/>
      <c r="KAB11" s="348"/>
      <c r="KAC11" s="348"/>
      <c r="KAD11" s="348"/>
      <c r="KAE11" s="348"/>
      <c r="KAF11" s="348"/>
      <c r="KAG11" s="348"/>
      <c r="KAH11" s="348"/>
      <c r="KAI11" s="348"/>
      <c r="KAJ11" s="348"/>
      <c r="KAK11" s="348"/>
      <c r="KAL11" s="348"/>
      <c r="KAM11" s="348"/>
      <c r="KAN11" s="348"/>
      <c r="KAO11" s="348"/>
      <c r="KAP11" s="348"/>
      <c r="KAQ11" s="348"/>
      <c r="KAR11" s="348"/>
      <c r="KAS11" s="348"/>
      <c r="KAT11" s="348"/>
      <c r="KAU11" s="348"/>
      <c r="KAV11" s="348"/>
      <c r="KAW11" s="348"/>
      <c r="KAX11" s="348"/>
      <c r="KAY11" s="348"/>
      <c r="KAZ11" s="348"/>
      <c r="KBA11" s="348"/>
      <c r="KBB11" s="348"/>
      <c r="KBC11" s="348"/>
      <c r="KBD11" s="348"/>
      <c r="KBE11" s="348"/>
      <c r="KBF11" s="348"/>
      <c r="KBG11" s="348"/>
      <c r="KBH11" s="348"/>
      <c r="KBI11" s="348"/>
      <c r="KBJ11" s="348"/>
      <c r="KBK11" s="348"/>
      <c r="KBL11" s="348"/>
      <c r="KBM11" s="348"/>
      <c r="KBN11" s="348"/>
      <c r="KBO11" s="348"/>
      <c r="KBP11" s="348"/>
      <c r="KBQ11" s="348"/>
      <c r="KBR11" s="348"/>
      <c r="KBS11" s="348"/>
      <c r="KBT11" s="348"/>
      <c r="KBU11" s="348"/>
      <c r="KBV11" s="348"/>
      <c r="KBW11" s="348"/>
      <c r="KBX11" s="348"/>
      <c r="KBY11" s="348"/>
      <c r="KBZ11" s="348"/>
      <c r="KCA11" s="348"/>
      <c r="KCB11" s="348"/>
      <c r="KCC11" s="348"/>
      <c r="KCD11" s="348"/>
      <c r="KCE11" s="348"/>
      <c r="KCF11" s="348"/>
      <c r="KCG11" s="348"/>
      <c r="KCH11" s="348"/>
      <c r="KCI11" s="348"/>
      <c r="KCJ11" s="348"/>
      <c r="KCK11" s="348"/>
      <c r="KCL11" s="348"/>
      <c r="KCM11" s="348"/>
      <c r="KCN11" s="348"/>
      <c r="KCO11" s="348"/>
      <c r="KCP11" s="348"/>
      <c r="KCQ11" s="348"/>
      <c r="KCR11" s="348"/>
      <c r="KCS11" s="348"/>
      <c r="KCT11" s="348"/>
      <c r="KCU11" s="348"/>
      <c r="KCV11" s="348"/>
      <c r="KCW11" s="348"/>
      <c r="KCX11" s="348"/>
      <c r="KCY11" s="348"/>
      <c r="KCZ11" s="348"/>
      <c r="KDA11" s="348"/>
      <c r="KDB11" s="348"/>
      <c r="KDC11" s="348"/>
      <c r="KDD11" s="348"/>
      <c r="KDE11" s="348"/>
      <c r="KDF11" s="348"/>
      <c r="KDG11" s="348"/>
      <c r="KDH11" s="348"/>
      <c r="KDI11" s="348"/>
      <c r="KDJ11" s="348"/>
      <c r="KDK11" s="348"/>
      <c r="KDL11" s="348"/>
      <c r="KDM11" s="348"/>
      <c r="KDN11" s="348"/>
      <c r="KDO11" s="348"/>
      <c r="KDP11" s="348"/>
      <c r="KDQ11" s="348"/>
      <c r="KDR11" s="348"/>
      <c r="KDS11" s="348"/>
      <c r="KDT11" s="348"/>
      <c r="KDU11" s="348"/>
      <c r="KDV11" s="348"/>
      <c r="KDW11" s="348"/>
      <c r="KDX11" s="348"/>
      <c r="KDY11" s="348"/>
      <c r="KDZ11" s="348"/>
      <c r="KEA11" s="348"/>
      <c r="KEB11" s="348"/>
      <c r="KEC11" s="348"/>
      <c r="KED11" s="348"/>
      <c r="KEE11" s="348"/>
      <c r="KEF11" s="348"/>
      <c r="KEG11" s="348"/>
      <c r="KEH11" s="348"/>
      <c r="KEI11" s="348"/>
      <c r="KEJ11" s="348"/>
      <c r="KEK11" s="348"/>
      <c r="KEL11" s="348"/>
      <c r="KEM11" s="348"/>
      <c r="KEN11" s="348"/>
      <c r="KEO11" s="348"/>
      <c r="KEP11" s="348"/>
      <c r="KEQ11" s="348"/>
      <c r="KER11" s="348"/>
      <c r="KES11" s="348"/>
      <c r="KET11" s="348"/>
      <c r="KEU11" s="348"/>
      <c r="KEV11" s="348"/>
      <c r="KEW11" s="348"/>
      <c r="KEX11" s="348"/>
      <c r="KEY11" s="348"/>
      <c r="KEZ11" s="348"/>
      <c r="KFA11" s="348"/>
      <c r="KFB11" s="348"/>
      <c r="KFC11" s="348"/>
      <c r="KFD11" s="348"/>
      <c r="KFE11" s="348"/>
      <c r="KFF11" s="348"/>
      <c r="KFG11" s="348"/>
      <c r="KFH11" s="348"/>
      <c r="KFI11" s="348"/>
      <c r="KFJ11" s="348"/>
      <c r="KFK11" s="348"/>
      <c r="KFL11" s="348"/>
      <c r="KFM11" s="348"/>
      <c r="KFN11" s="348"/>
      <c r="KFO11" s="348"/>
      <c r="KFP11" s="348"/>
      <c r="KFQ11" s="348"/>
      <c r="KFR11" s="348"/>
      <c r="KFS11" s="348"/>
      <c r="KFT11" s="348"/>
      <c r="KFU11" s="348"/>
      <c r="KFV11" s="348"/>
      <c r="KFW11" s="348"/>
      <c r="KFX11" s="348"/>
      <c r="KFY11" s="348"/>
      <c r="KFZ11" s="348"/>
      <c r="KGA11" s="348"/>
      <c r="KGB11" s="348"/>
      <c r="KGC11" s="348"/>
      <c r="KGD11" s="348"/>
      <c r="KGE11" s="348"/>
      <c r="KGF11" s="348"/>
      <c r="KGG11" s="348"/>
      <c r="KGH11" s="348"/>
      <c r="KGI11" s="348"/>
      <c r="KGJ11" s="348"/>
      <c r="KGK11" s="348"/>
      <c r="KGL11" s="348"/>
      <c r="KGM11" s="348"/>
      <c r="KGN11" s="348"/>
      <c r="KGO11" s="348"/>
      <c r="KGP11" s="348"/>
      <c r="KGQ11" s="348"/>
      <c r="KGR11" s="348"/>
      <c r="KGS11" s="348"/>
      <c r="KGT11" s="348"/>
      <c r="KGU11" s="348"/>
      <c r="KGV11" s="348"/>
      <c r="KGW11" s="348"/>
      <c r="KGX11" s="348"/>
      <c r="KGY11" s="348"/>
      <c r="KGZ11" s="348"/>
      <c r="KHA11" s="348"/>
      <c r="KHB11" s="348"/>
      <c r="KHC11" s="348"/>
      <c r="KHD11" s="348"/>
      <c r="KHE11" s="348"/>
      <c r="KHF11" s="348"/>
      <c r="KHG11" s="348"/>
      <c r="KHH11" s="348"/>
      <c r="KHI11" s="348"/>
      <c r="KHJ11" s="348"/>
      <c r="KHK11" s="348"/>
      <c r="KHL11" s="348"/>
      <c r="KHM11" s="348"/>
      <c r="KHN11" s="348"/>
      <c r="KHO11" s="348"/>
      <c r="KHP11" s="348"/>
      <c r="KHQ11" s="348"/>
      <c r="KHR11" s="348"/>
      <c r="KHS11" s="348"/>
      <c r="KHT11" s="348"/>
      <c r="KHU11" s="348"/>
      <c r="KHV11" s="348"/>
      <c r="KHW11" s="348"/>
      <c r="KHX11" s="348"/>
      <c r="KHY11" s="348"/>
      <c r="KHZ11" s="348"/>
      <c r="KIA11" s="348"/>
      <c r="KIB11" s="348"/>
      <c r="KIC11" s="348"/>
      <c r="KID11" s="348"/>
      <c r="KIE11" s="348"/>
      <c r="KIF11" s="348"/>
      <c r="KIG11" s="348"/>
      <c r="KIH11" s="348"/>
      <c r="KII11" s="348"/>
      <c r="KIJ11" s="348"/>
      <c r="KIK11" s="348"/>
      <c r="KIL11" s="348"/>
      <c r="KIM11" s="348"/>
      <c r="KIN11" s="348"/>
      <c r="KIO11" s="348"/>
      <c r="KIP11" s="348"/>
      <c r="KIQ11" s="348"/>
      <c r="KIR11" s="348"/>
      <c r="KIS11" s="348"/>
      <c r="KIT11" s="348"/>
      <c r="KIU11" s="348"/>
      <c r="KIV11" s="348"/>
      <c r="KIW11" s="348"/>
      <c r="KIX11" s="348"/>
      <c r="KIY11" s="348"/>
      <c r="KIZ11" s="348"/>
      <c r="KJA11" s="348"/>
      <c r="KJB11" s="348"/>
      <c r="KJC11" s="348"/>
      <c r="KJD11" s="348"/>
      <c r="KJE11" s="348"/>
      <c r="KJF11" s="348"/>
      <c r="KJG11" s="348"/>
      <c r="KJH11" s="348"/>
      <c r="KJI11" s="348"/>
      <c r="KJJ11" s="348"/>
      <c r="KJK11" s="348"/>
      <c r="KJL11" s="348"/>
      <c r="KJM11" s="348"/>
      <c r="KJN11" s="348"/>
      <c r="KJO11" s="348"/>
      <c r="KJP11" s="348"/>
      <c r="KJQ11" s="348"/>
      <c r="KJR11" s="348"/>
      <c r="KJS11" s="348"/>
      <c r="KJT11" s="348"/>
      <c r="KJU11" s="348"/>
      <c r="KJV11" s="348"/>
      <c r="KJW11" s="348"/>
      <c r="KJX11" s="348"/>
      <c r="KJY11" s="348"/>
      <c r="KJZ11" s="348"/>
      <c r="KKA11" s="348"/>
      <c r="KKB11" s="348"/>
      <c r="KKC11" s="348"/>
      <c r="KKD11" s="348"/>
      <c r="KKE11" s="348"/>
      <c r="KKF11" s="348"/>
      <c r="KKG11" s="348"/>
      <c r="KKH11" s="348"/>
      <c r="KKI11" s="348"/>
      <c r="KKJ11" s="348"/>
      <c r="KKK11" s="348"/>
      <c r="KKL11" s="348"/>
      <c r="KKM11" s="348"/>
      <c r="KKN11" s="348"/>
      <c r="KKO11" s="348"/>
      <c r="KKP11" s="348"/>
      <c r="KKQ11" s="348"/>
      <c r="KKR11" s="348"/>
      <c r="KKS11" s="348"/>
      <c r="KKT11" s="348"/>
      <c r="KKU11" s="348"/>
      <c r="KKV11" s="348"/>
      <c r="KKW11" s="348"/>
      <c r="KKX11" s="348"/>
      <c r="KKY11" s="348"/>
      <c r="KKZ11" s="348"/>
      <c r="KLA11" s="348"/>
      <c r="KLB11" s="348"/>
      <c r="KLC11" s="348"/>
      <c r="KLD11" s="348"/>
      <c r="KLE11" s="348"/>
      <c r="KLF11" s="348"/>
      <c r="KLG11" s="348"/>
      <c r="KLH11" s="348"/>
      <c r="KLI11" s="348"/>
      <c r="KLJ11" s="348"/>
      <c r="KLK11" s="348"/>
      <c r="KLL11" s="348"/>
      <c r="KLM11" s="348"/>
      <c r="KLN11" s="348"/>
      <c r="KLO11" s="348"/>
      <c r="KLP11" s="348"/>
      <c r="KLQ11" s="348"/>
      <c r="KLR11" s="348"/>
      <c r="KLS11" s="348"/>
      <c r="KLT11" s="348"/>
      <c r="KLU11" s="348"/>
      <c r="KLV11" s="348"/>
      <c r="KLW11" s="348"/>
      <c r="KLX11" s="348"/>
      <c r="KLY11" s="348"/>
      <c r="KLZ11" s="348"/>
      <c r="KMA11" s="348"/>
      <c r="KMB11" s="348"/>
      <c r="KMC11" s="348"/>
      <c r="KMD11" s="348"/>
      <c r="KME11" s="348"/>
      <c r="KMF11" s="348"/>
      <c r="KMG11" s="348"/>
      <c r="KMH11" s="348"/>
      <c r="KMI11" s="348"/>
      <c r="KMJ11" s="348"/>
      <c r="KMK11" s="348"/>
      <c r="KML11" s="348"/>
      <c r="KMM11" s="348"/>
      <c r="KMN11" s="348"/>
      <c r="KMO11" s="348"/>
      <c r="KMP11" s="348"/>
      <c r="KMQ11" s="348"/>
      <c r="KMR11" s="348"/>
      <c r="KMS11" s="348"/>
      <c r="KMT11" s="348"/>
      <c r="KMU11" s="348"/>
      <c r="KMV11" s="348"/>
      <c r="KMW11" s="348"/>
      <c r="KMX11" s="348"/>
      <c r="KMY11" s="348"/>
      <c r="KMZ11" s="348"/>
      <c r="KNA11" s="348"/>
      <c r="KNB11" s="348"/>
      <c r="KNC11" s="348"/>
      <c r="KND11" s="348"/>
      <c r="KNE11" s="348"/>
      <c r="KNF11" s="348"/>
      <c r="KNG11" s="348"/>
      <c r="KNH11" s="348"/>
      <c r="KNI11" s="348"/>
      <c r="KNJ11" s="348"/>
      <c r="KNK11" s="348"/>
      <c r="KNL11" s="348"/>
      <c r="KNM11" s="348"/>
      <c r="KNN11" s="348"/>
      <c r="KNO11" s="348"/>
      <c r="KNP11" s="348"/>
      <c r="KNQ11" s="348"/>
      <c r="KNR11" s="348"/>
      <c r="KNS11" s="348"/>
      <c r="KNT11" s="348"/>
      <c r="KNU11" s="348"/>
      <c r="KNV11" s="348"/>
      <c r="KNW11" s="348"/>
      <c r="KNX11" s="348"/>
      <c r="KNY11" s="348"/>
      <c r="KNZ11" s="348"/>
      <c r="KOA11" s="348"/>
      <c r="KOB11" s="348"/>
      <c r="KOC11" s="348"/>
      <c r="KOD11" s="348"/>
      <c r="KOE11" s="348"/>
      <c r="KOF11" s="348"/>
      <c r="KOG11" s="348"/>
      <c r="KOH11" s="348"/>
      <c r="KOI11" s="348"/>
      <c r="KOJ11" s="348"/>
      <c r="KOK11" s="348"/>
      <c r="KOL11" s="348"/>
      <c r="KOM11" s="348"/>
      <c r="KON11" s="348"/>
      <c r="KOO11" s="348"/>
      <c r="KOP11" s="348"/>
      <c r="KOQ11" s="348"/>
      <c r="KOR11" s="348"/>
      <c r="KOS11" s="348"/>
      <c r="KOT11" s="348"/>
      <c r="KOU11" s="348"/>
      <c r="KOV11" s="348"/>
      <c r="KOW11" s="348"/>
      <c r="KOX11" s="348"/>
      <c r="KOY11" s="348"/>
      <c r="KOZ11" s="348"/>
      <c r="KPA11" s="348"/>
      <c r="KPB11" s="348"/>
      <c r="KPC11" s="348"/>
      <c r="KPD11" s="348"/>
      <c r="KPE11" s="348"/>
      <c r="KPF11" s="348"/>
      <c r="KPG11" s="348"/>
      <c r="KPH11" s="348"/>
      <c r="KPI11" s="348"/>
      <c r="KPJ11" s="348"/>
      <c r="KPK11" s="348"/>
      <c r="KPL11" s="348"/>
      <c r="KPM11" s="348"/>
      <c r="KPN11" s="348"/>
      <c r="KPO11" s="348"/>
      <c r="KPP11" s="348"/>
      <c r="KPQ11" s="348"/>
      <c r="KPR11" s="348"/>
      <c r="KPS11" s="348"/>
      <c r="KPT11" s="348"/>
      <c r="KPU11" s="348"/>
      <c r="KPV11" s="348"/>
      <c r="KPW11" s="348"/>
      <c r="KPX11" s="348"/>
      <c r="KPY11" s="348"/>
      <c r="KPZ11" s="348"/>
      <c r="KQA11" s="348"/>
      <c r="KQB11" s="348"/>
      <c r="KQC11" s="348"/>
      <c r="KQD11" s="348"/>
      <c r="KQE11" s="348"/>
      <c r="KQF11" s="348"/>
      <c r="KQG11" s="348"/>
      <c r="KQH11" s="348"/>
      <c r="KQI11" s="348"/>
      <c r="KQJ11" s="348"/>
      <c r="KQK11" s="348"/>
      <c r="KQL11" s="348"/>
      <c r="KQM11" s="348"/>
      <c r="KQN11" s="348"/>
      <c r="KQO11" s="348"/>
      <c r="KQP11" s="348"/>
      <c r="KQQ11" s="348"/>
      <c r="KQR11" s="348"/>
      <c r="KQS11" s="348"/>
      <c r="KQT11" s="348"/>
      <c r="KQU11" s="348"/>
      <c r="KQV11" s="348"/>
      <c r="KQW11" s="348"/>
      <c r="KQX11" s="348"/>
      <c r="KQY11" s="348"/>
      <c r="KQZ11" s="348"/>
      <c r="KRA11" s="348"/>
      <c r="KRB11" s="348"/>
      <c r="KRC11" s="348"/>
      <c r="KRD11" s="348"/>
      <c r="KRE11" s="348"/>
      <c r="KRF11" s="348"/>
      <c r="KRG11" s="348"/>
      <c r="KRH11" s="348"/>
      <c r="KRI11" s="348"/>
      <c r="KRJ11" s="348"/>
      <c r="KRK11" s="348"/>
      <c r="KRL11" s="348"/>
      <c r="KRM11" s="348"/>
      <c r="KRN11" s="348"/>
      <c r="KRO11" s="348"/>
      <c r="KRP11" s="348"/>
      <c r="KRQ11" s="348"/>
      <c r="KRR11" s="348"/>
      <c r="KRS11" s="348"/>
      <c r="KRT11" s="348"/>
      <c r="KRU11" s="348"/>
      <c r="KRV11" s="348"/>
      <c r="KRW11" s="348"/>
      <c r="KRX11" s="348"/>
      <c r="KRY11" s="348"/>
      <c r="KRZ11" s="348"/>
      <c r="KSA11" s="348"/>
      <c r="KSB11" s="348"/>
      <c r="KSC11" s="348"/>
      <c r="KSD11" s="348"/>
      <c r="KSE11" s="348"/>
      <c r="KSF11" s="348"/>
      <c r="KSG11" s="348"/>
      <c r="KSH11" s="348"/>
      <c r="KSI11" s="348"/>
      <c r="KSJ11" s="348"/>
      <c r="KSK11" s="348"/>
      <c r="KSL11" s="348"/>
      <c r="KSM11" s="348"/>
      <c r="KSN11" s="348"/>
      <c r="KSO11" s="348"/>
      <c r="KSP11" s="348"/>
      <c r="KSQ11" s="348"/>
      <c r="KSR11" s="348"/>
      <c r="KSS11" s="348"/>
      <c r="KST11" s="348"/>
      <c r="KSU11" s="348"/>
      <c r="KSV11" s="348"/>
      <c r="KSW11" s="348"/>
      <c r="KSX11" s="348"/>
      <c r="KSY11" s="348"/>
      <c r="KSZ11" s="348"/>
      <c r="KTA11" s="348"/>
      <c r="KTB11" s="348"/>
      <c r="KTC11" s="348"/>
      <c r="KTD11" s="348"/>
      <c r="KTE11" s="348"/>
      <c r="KTF11" s="348"/>
      <c r="KTG11" s="348"/>
      <c r="KTH11" s="348"/>
      <c r="KTI11" s="348"/>
      <c r="KTJ11" s="348"/>
      <c r="KTK11" s="348"/>
      <c r="KTL11" s="348"/>
      <c r="KTM11" s="348"/>
      <c r="KTN11" s="348"/>
      <c r="KTO11" s="348"/>
      <c r="KTP11" s="348"/>
      <c r="KTQ11" s="348"/>
      <c r="KTR11" s="348"/>
      <c r="KTS11" s="348"/>
      <c r="KTT11" s="348"/>
      <c r="KTU11" s="348"/>
      <c r="KTV11" s="348"/>
      <c r="KTW11" s="348"/>
      <c r="KTX11" s="348"/>
      <c r="KTY11" s="348"/>
      <c r="KTZ11" s="348"/>
      <c r="KUA11" s="348"/>
      <c r="KUB11" s="348"/>
      <c r="KUC11" s="348"/>
      <c r="KUD11" s="348"/>
      <c r="KUE11" s="348"/>
      <c r="KUF11" s="348"/>
      <c r="KUG11" s="348"/>
      <c r="KUH11" s="348"/>
      <c r="KUI11" s="348"/>
      <c r="KUJ11" s="348"/>
      <c r="KUK11" s="348"/>
      <c r="KUL11" s="348"/>
      <c r="KUM11" s="348"/>
      <c r="KUN11" s="348"/>
      <c r="KUO11" s="348"/>
      <c r="KUP11" s="348"/>
      <c r="KUQ11" s="348"/>
      <c r="KUR11" s="348"/>
      <c r="KUS11" s="348"/>
      <c r="KUT11" s="348"/>
      <c r="KUU11" s="348"/>
      <c r="KUV11" s="348"/>
      <c r="KUW11" s="348"/>
      <c r="KUX11" s="348"/>
      <c r="KUY11" s="348"/>
      <c r="KUZ11" s="348"/>
      <c r="KVA11" s="348"/>
      <c r="KVB11" s="348"/>
      <c r="KVC11" s="348"/>
      <c r="KVD11" s="348"/>
      <c r="KVE11" s="348"/>
      <c r="KVF11" s="348"/>
      <c r="KVG11" s="348"/>
      <c r="KVH11" s="348"/>
      <c r="KVI11" s="348"/>
      <c r="KVJ11" s="348"/>
      <c r="KVK11" s="348"/>
      <c r="KVL11" s="348"/>
      <c r="KVM11" s="348"/>
      <c r="KVN11" s="348"/>
      <c r="KVO11" s="348"/>
      <c r="KVP11" s="348"/>
      <c r="KVQ11" s="348"/>
      <c r="KVR11" s="348"/>
      <c r="KVS11" s="348"/>
      <c r="KVT11" s="348"/>
      <c r="KVU11" s="348"/>
      <c r="KVV11" s="348"/>
      <c r="KVW11" s="348"/>
      <c r="KVX11" s="348"/>
      <c r="KVY11" s="348"/>
      <c r="KVZ11" s="348"/>
      <c r="KWA11" s="348"/>
      <c r="KWB11" s="348"/>
      <c r="KWC11" s="348"/>
      <c r="KWD11" s="348"/>
      <c r="KWE11" s="348"/>
      <c r="KWF11" s="348"/>
      <c r="KWG11" s="348"/>
      <c r="KWH11" s="348"/>
      <c r="KWI11" s="348"/>
      <c r="KWJ11" s="348"/>
      <c r="KWK11" s="348"/>
      <c r="KWL11" s="348"/>
      <c r="KWM11" s="348"/>
      <c r="KWN11" s="348"/>
      <c r="KWO11" s="348"/>
      <c r="KWP11" s="348"/>
      <c r="KWQ11" s="348"/>
      <c r="KWR11" s="348"/>
      <c r="KWS11" s="348"/>
      <c r="KWT11" s="348"/>
      <c r="KWU11" s="348"/>
      <c r="KWV11" s="348"/>
      <c r="KWW11" s="348"/>
      <c r="KWX11" s="348"/>
      <c r="KWY11" s="348"/>
      <c r="KWZ11" s="348"/>
      <c r="KXA11" s="348"/>
      <c r="KXB11" s="348"/>
      <c r="KXC11" s="348"/>
      <c r="KXD11" s="348"/>
      <c r="KXE11" s="348"/>
      <c r="KXF11" s="348"/>
      <c r="KXG11" s="348"/>
      <c r="KXH11" s="348"/>
      <c r="KXI11" s="348"/>
      <c r="KXJ11" s="348"/>
      <c r="KXK11" s="348"/>
      <c r="KXL11" s="348"/>
      <c r="KXM11" s="348"/>
      <c r="KXN11" s="348"/>
      <c r="KXO11" s="348"/>
      <c r="KXP11" s="348"/>
      <c r="KXQ11" s="348"/>
      <c r="KXR11" s="348"/>
      <c r="KXS11" s="348"/>
      <c r="KXT11" s="348"/>
      <c r="KXU11" s="348"/>
      <c r="KXV11" s="348"/>
      <c r="KXW11" s="348"/>
      <c r="KXX11" s="348"/>
      <c r="KXY11" s="348"/>
      <c r="KXZ11" s="348"/>
      <c r="KYA11" s="348"/>
      <c r="KYB11" s="348"/>
      <c r="KYC11" s="348"/>
      <c r="KYD11" s="348"/>
      <c r="KYE11" s="348"/>
      <c r="KYF11" s="348"/>
      <c r="KYG11" s="348"/>
      <c r="KYH11" s="348"/>
      <c r="KYI11" s="348"/>
      <c r="KYJ11" s="348"/>
      <c r="KYK11" s="348"/>
      <c r="KYL11" s="348"/>
      <c r="KYM11" s="348"/>
      <c r="KYN11" s="348"/>
      <c r="KYO11" s="348"/>
      <c r="KYP11" s="348"/>
      <c r="KYQ11" s="348"/>
      <c r="KYR11" s="348"/>
      <c r="KYS11" s="348"/>
      <c r="KYT11" s="348"/>
      <c r="KYU11" s="348"/>
      <c r="KYV11" s="348"/>
      <c r="KYW11" s="348"/>
      <c r="KYX11" s="348"/>
      <c r="KYY11" s="348"/>
      <c r="KYZ11" s="348"/>
      <c r="KZA11" s="348"/>
      <c r="KZB11" s="348"/>
      <c r="KZC11" s="348"/>
      <c r="KZD11" s="348"/>
      <c r="KZE11" s="348"/>
      <c r="KZF11" s="348"/>
      <c r="KZG11" s="348"/>
      <c r="KZH11" s="348"/>
      <c r="KZI11" s="348"/>
      <c r="KZJ11" s="348"/>
      <c r="KZK11" s="348"/>
      <c r="KZL11" s="348"/>
      <c r="KZM11" s="348"/>
      <c r="KZN11" s="348"/>
      <c r="KZO11" s="348"/>
      <c r="KZP11" s="348"/>
      <c r="KZQ11" s="348"/>
      <c r="KZR11" s="348"/>
      <c r="KZS11" s="348"/>
      <c r="KZT11" s="348"/>
      <c r="KZU11" s="348"/>
      <c r="KZV11" s="348"/>
      <c r="KZW11" s="348"/>
      <c r="KZX11" s="348"/>
      <c r="KZY11" s="348"/>
      <c r="KZZ11" s="348"/>
      <c r="LAA11" s="348"/>
      <c r="LAB11" s="348"/>
      <c r="LAC11" s="348"/>
      <c r="LAD11" s="348"/>
      <c r="LAE11" s="348"/>
      <c r="LAF11" s="348"/>
      <c r="LAG11" s="348"/>
      <c r="LAH11" s="348"/>
      <c r="LAI11" s="348"/>
      <c r="LAJ11" s="348"/>
      <c r="LAK11" s="348"/>
      <c r="LAL11" s="348"/>
      <c r="LAM11" s="348"/>
      <c r="LAN11" s="348"/>
      <c r="LAO11" s="348"/>
      <c r="LAP11" s="348"/>
      <c r="LAQ11" s="348"/>
      <c r="LAR11" s="348"/>
      <c r="LAS11" s="348"/>
      <c r="LAT11" s="348"/>
      <c r="LAU11" s="348"/>
      <c r="LAV11" s="348"/>
      <c r="LAW11" s="348"/>
      <c r="LAX11" s="348"/>
      <c r="LAY11" s="348"/>
      <c r="LAZ11" s="348"/>
      <c r="LBA11" s="348"/>
      <c r="LBB11" s="348"/>
      <c r="LBC11" s="348"/>
      <c r="LBD11" s="348"/>
      <c r="LBE11" s="348"/>
      <c r="LBF11" s="348"/>
      <c r="LBG11" s="348"/>
      <c r="LBH11" s="348"/>
      <c r="LBI11" s="348"/>
      <c r="LBJ11" s="348"/>
      <c r="LBK11" s="348"/>
      <c r="LBL11" s="348"/>
      <c r="LBM11" s="348"/>
      <c r="LBN11" s="348"/>
      <c r="LBO11" s="348"/>
      <c r="LBP11" s="348"/>
      <c r="LBQ11" s="348"/>
      <c r="LBR11" s="348"/>
      <c r="LBS11" s="348"/>
      <c r="LBT11" s="348"/>
      <c r="LBU11" s="348"/>
      <c r="LBV11" s="348"/>
      <c r="LBW11" s="348"/>
      <c r="LBX11" s="348"/>
      <c r="LBY11" s="348"/>
      <c r="LBZ11" s="348"/>
      <c r="LCA11" s="348"/>
      <c r="LCB11" s="348"/>
      <c r="LCC11" s="348"/>
      <c r="LCD11" s="348"/>
      <c r="LCE11" s="348"/>
      <c r="LCF11" s="348"/>
      <c r="LCG11" s="348"/>
      <c r="LCH11" s="348"/>
      <c r="LCI11" s="348"/>
      <c r="LCJ11" s="348"/>
      <c r="LCK11" s="348"/>
      <c r="LCL11" s="348"/>
      <c r="LCM11" s="348"/>
      <c r="LCN11" s="348"/>
      <c r="LCO11" s="348"/>
      <c r="LCP11" s="348"/>
      <c r="LCQ11" s="348"/>
      <c r="LCR11" s="348"/>
      <c r="LCS11" s="348"/>
      <c r="LCT11" s="348"/>
      <c r="LCU11" s="348"/>
      <c r="LCV11" s="348"/>
      <c r="LCW11" s="348"/>
      <c r="LCX11" s="348"/>
      <c r="LCY11" s="348"/>
      <c r="LCZ11" s="348"/>
      <c r="LDA11" s="348"/>
      <c r="LDB11" s="348"/>
      <c r="LDC11" s="348"/>
      <c r="LDD11" s="348"/>
      <c r="LDE11" s="348"/>
      <c r="LDF11" s="348"/>
      <c r="LDG11" s="348"/>
      <c r="LDH11" s="348"/>
      <c r="LDI11" s="348"/>
      <c r="LDJ11" s="348"/>
      <c r="LDK11" s="348"/>
      <c r="LDL11" s="348"/>
      <c r="LDM11" s="348"/>
      <c r="LDN11" s="348"/>
      <c r="LDO11" s="348"/>
      <c r="LDP11" s="348"/>
      <c r="LDQ11" s="348"/>
      <c r="LDR11" s="348"/>
      <c r="LDS11" s="348"/>
      <c r="LDT11" s="348"/>
      <c r="LDU11" s="348"/>
      <c r="LDV11" s="348"/>
      <c r="LDW11" s="348"/>
      <c r="LDX11" s="348"/>
      <c r="LDY11" s="348"/>
      <c r="LDZ11" s="348"/>
      <c r="LEA11" s="348"/>
      <c r="LEB11" s="348"/>
      <c r="LEC11" s="348"/>
      <c r="LED11" s="348"/>
      <c r="LEE11" s="348"/>
      <c r="LEF11" s="348"/>
      <c r="LEG11" s="348"/>
      <c r="LEH11" s="348"/>
      <c r="LEI11" s="348"/>
      <c r="LEJ11" s="348"/>
      <c r="LEK11" s="348"/>
      <c r="LEL11" s="348"/>
      <c r="LEM11" s="348"/>
      <c r="LEN11" s="348"/>
      <c r="LEO11" s="348"/>
      <c r="LEP11" s="348"/>
      <c r="LEQ11" s="348"/>
      <c r="LER11" s="348"/>
      <c r="LES11" s="348"/>
      <c r="LET11" s="348"/>
      <c r="LEU11" s="348"/>
      <c r="LEV11" s="348"/>
      <c r="LEW11" s="348"/>
      <c r="LEX11" s="348"/>
      <c r="LEY11" s="348"/>
      <c r="LEZ11" s="348"/>
      <c r="LFA11" s="348"/>
      <c r="LFB11" s="348"/>
      <c r="LFC11" s="348"/>
      <c r="LFD11" s="348"/>
      <c r="LFE11" s="348"/>
      <c r="LFF11" s="348"/>
      <c r="LFG11" s="348"/>
      <c r="LFH11" s="348"/>
      <c r="LFI11" s="348"/>
      <c r="LFJ11" s="348"/>
      <c r="LFK11" s="348"/>
      <c r="LFL11" s="348"/>
      <c r="LFM11" s="348"/>
      <c r="LFN11" s="348"/>
      <c r="LFO11" s="348"/>
      <c r="LFP11" s="348"/>
      <c r="LFQ11" s="348"/>
      <c r="LFR11" s="348"/>
      <c r="LFS11" s="348"/>
      <c r="LFT11" s="348"/>
      <c r="LFU11" s="348"/>
      <c r="LFV11" s="348"/>
      <c r="LFW11" s="348"/>
      <c r="LFX11" s="348"/>
      <c r="LFY11" s="348"/>
      <c r="LFZ11" s="348"/>
      <c r="LGA11" s="348"/>
      <c r="LGB11" s="348"/>
      <c r="LGC11" s="348"/>
      <c r="LGD11" s="348"/>
      <c r="LGE11" s="348"/>
      <c r="LGF11" s="348"/>
      <c r="LGG11" s="348"/>
      <c r="LGH11" s="348"/>
      <c r="LGI11" s="348"/>
      <c r="LGJ11" s="348"/>
      <c r="LGK11" s="348"/>
      <c r="LGL11" s="348"/>
      <c r="LGM11" s="348"/>
      <c r="LGN11" s="348"/>
      <c r="LGO11" s="348"/>
      <c r="LGP11" s="348"/>
      <c r="LGQ11" s="348"/>
      <c r="LGR11" s="348"/>
      <c r="LGS11" s="348"/>
      <c r="LGT11" s="348"/>
      <c r="LGU11" s="348"/>
      <c r="LGV11" s="348"/>
      <c r="LGW11" s="348"/>
      <c r="LGX11" s="348"/>
      <c r="LGY11" s="348"/>
      <c r="LGZ11" s="348"/>
      <c r="LHA11" s="348"/>
      <c r="LHB11" s="348"/>
      <c r="LHC11" s="348"/>
      <c r="LHD11" s="348"/>
      <c r="LHE11" s="348"/>
      <c r="LHF11" s="348"/>
      <c r="LHG11" s="348"/>
      <c r="LHH11" s="348"/>
      <c r="LHI11" s="348"/>
      <c r="LHJ11" s="348"/>
      <c r="LHK11" s="348"/>
      <c r="LHL11" s="348"/>
      <c r="LHM11" s="348"/>
      <c r="LHN11" s="348"/>
      <c r="LHO11" s="348"/>
      <c r="LHP11" s="348"/>
      <c r="LHQ11" s="348"/>
      <c r="LHR11" s="348"/>
      <c r="LHS11" s="348"/>
      <c r="LHT11" s="348"/>
      <c r="LHU11" s="348"/>
      <c r="LHV11" s="348"/>
      <c r="LHW11" s="348"/>
      <c r="LHX11" s="348"/>
      <c r="LHY11" s="348"/>
      <c r="LHZ11" s="348"/>
      <c r="LIA11" s="348"/>
      <c r="LIB11" s="348"/>
      <c r="LIC11" s="348"/>
      <c r="LID11" s="348"/>
      <c r="LIE11" s="348"/>
      <c r="LIF11" s="348"/>
      <c r="LIG11" s="348"/>
      <c r="LIH11" s="348"/>
      <c r="LII11" s="348"/>
      <c r="LIJ11" s="348"/>
      <c r="LIK11" s="348"/>
      <c r="LIL11" s="348"/>
      <c r="LIM11" s="348"/>
      <c r="LIN11" s="348"/>
      <c r="LIO11" s="348"/>
      <c r="LIP11" s="348"/>
      <c r="LIQ11" s="348"/>
      <c r="LIR11" s="348"/>
      <c r="LIS11" s="348"/>
      <c r="LIT11" s="348"/>
      <c r="LIU11" s="348"/>
      <c r="LIV11" s="348"/>
      <c r="LIW11" s="348"/>
      <c r="LIX11" s="348"/>
      <c r="LIY11" s="348"/>
      <c r="LIZ11" s="348"/>
      <c r="LJA11" s="348"/>
      <c r="LJB11" s="348"/>
      <c r="LJC11" s="348"/>
      <c r="LJD11" s="348"/>
      <c r="LJE11" s="348"/>
      <c r="LJF11" s="348"/>
      <c r="LJG11" s="348"/>
      <c r="LJH11" s="348"/>
      <c r="LJI11" s="348"/>
      <c r="LJJ11" s="348"/>
      <c r="LJK11" s="348"/>
      <c r="LJL11" s="348"/>
      <c r="LJM11" s="348"/>
      <c r="LJN11" s="348"/>
      <c r="LJO11" s="348"/>
      <c r="LJP11" s="348"/>
      <c r="LJQ11" s="348"/>
      <c r="LJR11" s="348"/>
      <c r="LJS11" s="348"/>
      <c r="LJT11" s="348"/>
      <c r="LJU11" s="348"/>
      <c r="LJV11" s="348"/>
      <c r="LJW11" s="348"/>
      <c r="LJX11" s="348"/>
      <c r="LJY11" s="348"/>
      <c r="LJZ11" s="348"/>
      <c r="LKA11" s="348"/>
      <c r="LKB11" s="348"/>
      <c r="LKC11" s="348"/>
      <c r="LKD11" s="348"/>
      <c r="LKE11" s="348"/>
      <c r="LKF11" s="348"/>
      <c r="LKG11" s="348"/>
      <c r="LKH11" s="348"/>
      <c r="LKI11" s="348"/>
      <c r="LKJ11" s="348"/>
      <c r="LKK11" s="348"/>
      <c r="LKL11" s="348"/>
      <c r="LKM11" s="348"/>
      <c r="LKN11" s="348"/>
      <c r="LKO11" s="348"/>
      <c r="LKP11" s="348"/>
      <c r="LKQ11" s="348"/>
      <c r="LKR11" s="348"/>
      <c r="LKS11" s="348"/>
      <c r="LKT11" s="348"/>
      <c r="LKU11" s="348"/>
      <c r="LKV11" s="348"/>
      <c r="LKW11" s="348"/>
      <c r="LKX11" s="348"/>
      <c r="LKY11" s="348"/>
      <c r="LKZ11" s="348"/>
      <c r="LLA11" s="348"/>
      <c r="LLB11" s="348"/>
      <c r="LLC11" s="348"/>
      <c r="LLD11" s="348"/>
      <c r="LLE11" s="348"/>
      <c r="LLF11" s="348"/>
      <c r="LLG11" s="348"/>
      <c r="LLH11" s="348"/>
      <c r="LLI11" s="348"/>
      <c r="LLJ11" s="348"/>
      <c r="LLK11" s="348"/>
      <c r="LLL11" s="348"/>
      <c r="LLM11" s="348"/>
      <c r="LLN11" s="348"/>
      <c r="LLO11" s="348"/>
      <c r="LLP11" s="348"/>
      <c r="LLQ11" s="348"/>
      <c r="LLR11" s="348"/>
      <c r="LLS11" s="348"/>
      <c r="LLT11" s="348"/>
      <c r="LLU11" s="348"/>
      <c r="LLV11" s="348"/>
      <c r="LLW11" s="348"/>
      <c r="LLX11" s="348"/>
      <c r="LLY11" s="348"/>
      <c r="LLZ11" s="348"/>
      <c r="LMA11" s="348"/>
      <c r="LMB11" s="348"/>
      <c r="LMC11" s="348"/>
      <c r="LMD11" s="348"/>
      <c r="LME11" s="348"/>
      <c r="LMF11" s="348"/>
      <c r="LMG11" s="348"/>
      <c r="LMH11" s="348"/>
      <c r="LMI11" s="348"/>
      <c r="LMJ11" s="348"/>
      <c r="LMK11" s="348"/>
      <c r="LML11" s="348"/>
      <c r="LMM11" s="348"/>
      <c r="LMN11" s="348"/>
      <c r="LMO11" s="348"/>
      <c r="LMP11" s="348"/>
      <c r="LMQ11" s="348"/>
      <c r="LMR11" s="348"/>
      <c r="LMS11" s="348"/>
      <c r="LMT11" s="348"/>
      <c r="LMU11" s="348"/>
      <c r="LMV11" s="348"/>
      <c r="LMW11" s="348"/>
      <c r="LMX11" s="348"/>
      <c r="LMY11" s="348"/>
      <c r="LMZ11" s="348"/>
      <c r="LNA11" s="348"/>
      <c r="LNB11" s="348"/>
      <c r="LNC11" s="348"/>
      <c r="LND11" s="348"/>
      <c r="LNE11" s="348"/>
      <c r="LNF11" s="348"/>
      <c r="LNG11" s="348"/>
      <c r="LNH11" s="348"/>
      <c r="LNI11" s="348"/>
      <c r="LNJ11" s="348"/>
      <c r="LNK11" s="348"/>
      <c r="LNL11" s="348"/>
      <c r="LNM11" s="348"/>
      <c r="LNN11" s="348"/>
      <c r="LNO11" s="348"/>
      <c r="LNP11" s="348"/>
      <c r="LNQ11" s="348"/>
      <c r="LNR11" s="348"/>
      <c r="LNS11" s="348"/>
      <c r="LNT11" s="348"/>
      <c r="LNU11" s="348"/>
      <c r="LNV11" s="348"/>
      <c r="LNW11" s="348"/>
      <c r="LNX11" s="348"/>
      <c r="LNY11" s="348"/>
      <c r="LNZ11" s="348"/>
      <c r="LOA11" s="348"/>
      <c r="LOB11" s="348"/>
      <c r="LOC11" s="348"/>
      <c r="LOD11" s="348"/>
      <c r="LOE11" s="348"/>
      <c r="LOF11" s="348"/>
      <c r="LOG11" s="348"/>
      <c r="LOH11" s="348"/>
      <c r="LOI11" s="348"/>
      <c r="LOJ11" s="348"/>
      <c r="LOK11" s="348"/>
      <c r="LOL11" s="348"/>
      <c r="LOM11" s="348"/>
      <c r="LON11" s="348"/>
      <c r="LOO11" s="348"/>
      <c r="LOP11" s="348"/>
      <c r="LOQ11" s="348"/>
      <c r="LOR11" s="348"/>
      <c r="LOS11" s="348"/>
      <c r="LOT11" s="348"/>
      <c r="LOU11" s="348"/>
      <c r="LOV11" s="348"/>
      <c r="LOW11" s="348"/>
      <c r="LOX11" s="348"/>
      <c r="LOY11" s="348"/>
      <c r="LOZ11" s="348"/>
      <c r="LPA11" s="348"/>
      <c r="LPB11" s="348"/>
      <c r="LPC11" s="348"/>
      <c r="LPD11" s="348"/>
      <c r="LPE11" s="348"/>
      <c r="LPF11" s="348"/>
      <c r="LPG11" s="348"/>
      <c r="LPH11" s="348"/>
      <c r="LPI11" s="348"/>
      <c r="LPJ11" s="348"/>
      <c r="LPK11" s="348"/>
      <c r="LPL11" s="348"/>
      <c r="LPM11" s="348"/>
      <c r="LPN11" s="348"/>
      <c r="LPO11" s="348"/>
      <c r="LPP11" s="348"/>
      <c r="LPQ11" s="348"/>
      <c r="LPR11" s="348"/>
      <c r="LPS11" s="348"/>
      <c r="LPT11" s="348"/>
      <c r="LPU11" s="348"/>
      <c r="LPV11" s="348"/>
      <c r="LPW11" s="348"/>
      <c r="LPX11" s="348"/>
      <c r="LPY11" s="348"/>
      <c r="LPZ11" s="348"/>
      <c r="LQA11" s="348"/>
      <c r="LQB11" s="348"/>
      <c r="LQC11" s="348"/>
      <c r="LQD11" s="348"/>
      <c r="LQE11" s="348"/>
      <c r="LQF11" s="348"/>
      <c r="LQG11" s="348"/>
      <c r="LQH11" s="348"/>
      <c r="LQI11" s="348"/>
      <c r="LQJ11" s="348"/>
      <c r="LQK11" s="348"/>
      <c r="LQL11" s="348"/>
      <c r="LQM11" s="348"/>
      <c r="LQN11" s="348"/>
      <c r="LQO11" s="348"/>
      <c r="LQP11" s="348"/>
      <c r="LQQ11" s="348"/>
      <c r="LQR11" s="348"/>
      <c r="LQS11" s="348"/>
      <c r="LQT11" s="348"/>
      <c r="LQU11" s="348"/>
      <c r="LQV11" s="348"/>
      <c r="LQW11" s="348"/>
      <c r="LQX11" s="348"/>
      <c r="LQY11" s="348"/>
      <c r="LQZ11" s="348"/>
      <c r="LRA11" s="348"/>
      <c r="LRB11" s="348"/>
      <c r="LRC11" s="348"/>
      <c r="LRD11" s="348"/>
      <c r="LRE11" s="348"/>
      <c r="LRF11" s="348"/>
      <c r="LRG11" s="348"/>
      <c r="LRH11" s="348"/>
      <c r="LRI11" s="348"/>
      <c r="LRJ11" s="348"/>
      <c r="LRK11" s="348"/>
      <c r="LRL11" s="348"/>
      <c r="LRM11" s="348"/>
      <c r="LRN11" s="348"/>
      <c r="LRO11" s="348"/>
      <c r="LRP11" s="348"/>
      <c r="LRQ11" s="348"/>
      <c r="LRR11" s="348"/>
      <c r="LRS11" s="348"/>
      <c r="LRT11" s="348"/>
      <c r="LRU11" s="348"/>
      <c r="LRV11" s="348"/>
      <c r="LRW11" s="348"/>
      <c r="LRX11" s="348"/>
      <c r="LRY11" s="348"/>
      <c r="LRZ11" s="348"/>
      <c r="LSA11" s="348"/>
      <c r="LSB11" s="348"/>
      <c r="LSC11" s="348"/>
      <c r="LSD11" s="348"/>
      <c r="LSE11" s="348"/>
      <c r="LSF11" s="348"/>
      <c r="LSG11" s="348"/>
      <c r="LSH11" s="348"/>
      <c r="LSI11" s="348"/>
      <c r="LSJ11" s="348"/>
      <c r="LSK11" s="348"/>
      <c r="LSL11" s="348"/>
      <c r="LSM11" s="348"/>
      <c r="LSN11" s="348"/>
      <c r="LSO11" s="348"/>
      <c r="LSP11" s="348"/>
      <c r="LSQ11" s="348"/>
      <c r="LSR11" s="348"/>
      <c r="LSS11" s="348"/>
      <c r="LST11" s="348"/>
      <c r="LSU11" s="348"/>
      <c r="LSV11" s="348"/>
      <c r="LSW11" s="348"/>
      <c r="LSX11" s="348"/>
      <c r="LSY11" s="348"/>
      <c r="LSZ11" s="348"/>
      <c r="LTA11" s="348"/>
      <c r="LTB11" s="348"/>
      <c r="LTC11" s="348"/>
      <c r="LTD11" s="348"/>
      <c r="LTE11" s="348"/>
      <c r="LTF11" s="348"/>
      <c r="LTG11" s="348"/>
      <c r="LTH11" s="348"/>
      <c r="LTI11" s="348"/>
      <c r="LTJ11" s="348"/>
      <c r="LTK11" s="348"/>
      <c r="LTL11" s="348"/>
      <c r="LTM11" s="348"/>
      <c r="LTN11" s="348"/>
      <c r="LTO11" s="348"/>
      <c r="LTP11" s="348"/>
      <c r="LTQ11" s="348"/>
      <c r="LTR11" s="348"/>
      <c r="LTS11" s="348"/>
      <c r="LTT11" s="348"/>
      <c r="LTU11" s="348"/>
      <c r="LTV11" s="348"/>
      <c r="LTW11" s="348"/>
      <c r="LTX11" s="348"/>
      <c r="LTY11" s="348"/>
      <c r="LTZ11" s="348"/>
      <c r="LUA11" s="348"/>
      <c r="LUB11" s="348"/>
      <c r="LUC11" s="348"/>
      <c r="LUD11" s="348"/>
      <c r="LUE11" s="348"/>
      <c r="LUF11" s="348"/>
      <c r="LUG11" s="348"/>
      <c r="LUH11" s="348"/>
      <c r="LUI11" s="348"/>
      <c r="LUJ11" s="348"/>
      <c r="LUK11" s="348"/>
      <c r="LUL11" s="348"/>
      <c r="LUM11" s="348"/>
      <c r="LUN11" s="348"/>
      <c r="LUO11" s="348"/>
      <c r="LUP11" s="348"/>
      <c r="LUQ11" s="348"/>
      <c r="LUR11" s="348"/>
      <c r="LUS11" s="348"/>
      <c r="LUT11" s="348"/>
      <c r="LUU11" s="348"/>
      <c r="LUV11" s="348"/>
      <c r="LUW11" s="348"/>
      <c r="LUX11" s="348"/>
      <c r="LUY11" s="348"/>
      <c r="LUZ11" s="348"/>
      <c r="LVA11" s="348"/>
      <c r="LVB11" s="348"/>
      <c r="LVC11" s="348"/>
      <c r="LVD11" s="348"/>
      <c r="LVE11" s="348"/>
      <c r="LVF11" s="348"/>
      <c r="LVG11" s="348"/>
      <c r="LVH11" s="348"/>
      <c r="LVI11" s="348"/>
      <c r="LVJ11" s="348"/>
      <c r="LVK11" s="348"/>
      <c r="LVL11" s="348"/>
      <c r="LVM11" s="348"/>
      <c r="LVN11" s="348"/>
      <c r="LVO11" s="348"/>
      <c r="LVP11" s="348"/>
      <c r="LVQ11" s="348"/>
      <c r="LVR11" s="348"/>
      <c r="LVS11" s="348"/>
      <c r="LVT11" s="348"/>
      <c r="LVU11" s="348"/>
      <c r="LVV11" s="348"/>
      <c r="LVW11" s="348"/>
      <c r="LVX11" s="348"/>
      <c r="LVY11" s="348"/>
      <c r="LVZ11" s="348"/>
      <c r="LWA11" s="348"/>
      <c r="LWB11" s="348"/>
      <c r="LWC11" s="348"/>
      <c r="LWD11" s="348"/>
      <c r="LWE11" s="348"/>
      <c r="LWF11" s="348"/>
      <c r="LWG11" s="348"/>
      <c r="LWH11" s="348"/>
      <c r="LWI11" s="348"/>
      <c r="LWJ11" s="348"/>
      <c r="LWK11" s="348"/>
      <c r="LWL11" s="348"/>
      <c r="LWM11" s="348"/>
      <c r="LWN11" s="348"/>
      <c r="LWO11" s="348"/>
      <c r="LWP11" s="348"/>
      <c r="LWQ11" s="348"/>
      <c r="LWR11" s="348"/>
      <c r="LWS11" s="348"/>
      <c r="LWT11" s="348"/>
      <c r="LWU11" s="348"/>
      <c r="LWV11" s="348"/>
      <c r="LWW11" s="348"/>
      <c r="LWX11" s="348"/>
      <c r="LWY11" s="348"/>
      <c r="LWZ11" s="348"/>
      <c r="LXA11" s="348"/>
      <c r="LXB11" s="348"/>
      <c r="LXC11" s="348"/>
      <c r="LXD11" s="348"/>
      <c r="LXE11" s="348"/>
      <c r="LXF11" s="348"/>
      <c r="LXG11" s="348"/>
      <c r="LXH11" s="348"/>
      <c r="LXI11" s="348"/>
      <c r="LXJ11" s="348"/>
      <c r="LXK11" s="348"/>
      <c r="LXL11" s="348"/>
      <c r="LXM11" s="348"/>
      <c r="LXN11" s="348"/>
      <c r="LXO11" s="348"/>
      <c r="LXP11" s="348"/>
      <c r="LXQ11" s="348"/>
      <c r="LXR11" s="348"/>
      <c r="LXS11" s="348"/>
      <c r="LXT11" s="348"/>
      <c r="LXU11" s="348"/>
      <c r="LXV11" s="348"/>
      <c r="LXW11" s="348"/>
      <c r="LXX11" s="348"/>
      <c r="LXY11" s="348"/>
      <c r="LXZ11" s="348"/>
      <c r="LYA11" s="348"/>
      <c r="LYB11" s="348"/>
      <c r="LYC11" s="348"/>
      <c r="LYD11" s="348"/>
      <c r="LYE11" s="348"/>
      <c r="LYF11" s="348"/>
      <c r="LYG11" s="348"/>
      <c r="LYH11" s="348"/>
      <c r="LYI11" s="348"/>
      <c r="LYJ11" s="348"/>
      <c r="LYK11" s="348"/>
      <c r="LYL11" s="348"/>
      <c r="LYM11" s="348"/>
      <c r="LYN11" s="348"/>
      <c r="LYO11" s="348"/>
      <c r="LYP11" s="348"/>
      <c r="LYQ11" s="348"/>
      <c r="LYR11" s="348"/>
      <c r="LYS11" s="348"/>
      <c r="LYT11" s="348"/>
      <c r="LYU11" s="348"/>
      <c r="LYV11" s="348"/>
      <c r="LYW11" s="348"/>
      <c r="LYX11" s="348"/>
      <c r="LYY11" s="348"/>
      <c r="LYZ11" s="348"/>
      <c r="LZA11" s="348"/>
      <c r="LZB11" s="348"/>
      <c r="LZC11" s="348"/>
      <c r="LZD11" s="348"/>
      <c r="LZE11" s="348"/>
      <c r="LZF11" s="348"/>
      <c r="LZG11" s="348"/>
      <c r="LZH11" s="348"/>
      <c r="LZI11" s="348"/>
      <c r="LZJ11" s="348"/>
      <c r="LZK11" s="348"/>
      <c r="LZL11" s="348"/>
      <c r="LZM11" s="348"/>
      <c r="LZN11" s="348"/>
      <c r="LZO11" s="348"/>
      <c r="LZP11" s="348"/>
      <c r="LZQ11" s="348"/>
      <c r="LZR11" s="348"/>
      <c r="LZS11" s="348"/>
      <c r="LZT11" s="348"/>
      <c r="LZU11" s="348"/>
      <c r="LZV11" s="348"/>
      <c r="LZW11" s="348"/>
      <c r="LZX11" s="348"/>
      <c r="LZY11" s="348"/>
      <c r="LZZ11" s="348"/>
      <c r="MAA11" s="348"/>
      <c r="MAB11" s="348"/>
      <c r="MAC11" s="348"/>
      <c r="MAD11" s="348"/>
      <c r="MAE11" s="348"/>
      <c r="MAF11" s="348"/>
      <c r="MAG11" s="348"/>
      <c r="MAH11" s="348"/>
      <c r="MAI11" s="348"/>
      <c r="MAJ11" s="348"/>
      <c r="MAK11" s="348"/>
      <c r="MAL11" s="348"/>
      <c r="MAM11" s="348"/>
      <c r="MAN11" s="348"/>
      <c r="MAO11" s="348"/>
      <c r="MAP11" s="348"/>
      <c r="MAQ11" s="348"/>
      <c r="MAR11" s="348"/>
      <c r="MAS11" s="348"/>
      <c r="MAT11" s="348"/>
      <c r="MAU11" s="348"/>
      <c r="MAV11" s="348"/>
      <c r="MAW11" s="348"/>
      <c r="MAX11" s="348"/>
      <c r="MAY11" s="348"/>
      <c r="MAZ11" s="348"/>
      <c r="MBA11" s="348"/>
      <c r="MBB11" s="348"/>
      <c r="MBC11" s="348"/>
      <c r="MBD11" s="348"/>
      <c r="MBE11" s="348"/>
      <c r="MBF11" s="348"/>
      <c r="MBG11" s="348"/>
      <c r="MBH11" s="348"/>
      <c r="MBI11" s="348"/>
      <c r="MBJ11" s="348"/>
      <c r="MBK11" s="348"/>
      <c r="MBL11" s="348"/>
      <c r="MBM11" s="348"/>
      <c r="MBN11" s="348"/>
      <c r="MBO11" s="348"/>
      <c r="MBP11" s="348"/>
      <c r="MBQ11" s="348"/>
      <c r="MBR11" s="348"/>
      <c r="MBS11" s="348"/>
      <c r="MBT11" s="348"/>
      <c r="MBU11" s="348"/>
      <c r="MBV11" s="348"/>
      <c r="MBW11" s="348"/>
      <c r="MBX11" s="348"/>
      <c r="MBY11" s="348"/>
      <c r="MBZ11" s="348"/>
      <c r="MCA11" s="348"/>
      <c r="MCB11" s="348"/>
      <c r="MCC11" s="348"/>
      <c r="MCD11" s="348"/>
      <c r="MCE11" s="348"/>
      <c r="MCF11" s="348"/>
      <c r="MCG11" s="348"/>
      <c r="MCH11" s="348"/>
      <c r="MCI11" s="348"/>
      <c r="MCJ11" s="348"/>
      <c r="MCK11" s="348"/>
      <c r="MCL11" s="348"/>
      <c r="MCM11" s="348"/>
      <c r="MCN11" s="348"/>
      <c r="MCO11" s="348"/>
      <c r="MCP11" s="348"/>
      <c r="MCQ11" s="348"/>
      <c r="MCR11" s="348"/>
      <c r="MCS11" s="348"/>
      <c r="MCT11" s="348"/>
      <c r="MCU11" s="348"/>
      <c r="MCV11" s="348"/>
      <c r="MCW11" s="348"/>
      <c r="MCX11" s="348"/>
      <c r="MCY11" s="348"/>
      <c r="MCZ11" s="348"/>
      <c r="MDA11" s="348"/>
      <c r="MDB11" s="348"/>
      <c r="MDC11" s="348"/>
      <c r="MDD11" s="348"/>
      <c r="MDE11" s="348"/>
      <c r="MDF11" s="348"/>
      <c r="MDG11" s="348"/>
      <c r="MDH11" s="348"/>
      <c r="MDI11" s="348"/>
      <c r="MDJ11" s="348"/>
      <c r="MDK11" s="348"/>
      <c r="MDL11" s="348"/>
      <c r="MDM11" s="348"/>
      <c r="MDN11" s="348"/>
      <c r="MDO11" s="348"/>
      <c r="MDP11" s="348"/>
      <c r="MDQ11" s="348"/>
      <c r="MDR11" s="348"/>
      <c r="MDS11" s="348"/>
      <c r="MDT11" s="348"/>
      <c r="MDU11" s="348"/>
      <c r="MDV11" s="348"/>
      <c r="MDW11" s="348"/>
      <c r="MDX11" s="348"/>
      <c r="MDY11" s="348"/>
      <c r="MDZ11" s="348"/>
      <c r="MEA11" s="348"/>
      <c r="MEB11" s="348"/>
      <c r="MEC11" s="348"/>
      <c r="MED11" s="348"/>
      <c r="MEE11" s="348"/>
      <c r="MEF11" s="348"/>
      <c r="MEG11" s="348"/>
      <c r="MEH11" s="348"/>
      <c r="MEI11" s="348"/>
      <c r="MEJ11" s="348"/>
      <c r="MEK11" s="348"/>
      <c r="MEL11" s="348"/>
      <c r="MEM11" s="348"/>
      <c r="MEN11" s="348"/>
      <c r="MEO11" s="348"/>
      <c r="MEP11" s="348"/>
      <c r="MEQ11" s="348"/>
      <c r="MER11" s="348"/>
      <c r="MES11" s="348"/>
      <c r="MET11" s="348"/>
      <c r="MEU11" s="348"/>
      <c r="MEV11" s="348"/>
      <c r="MEW11" s="348"/>
      <c r="MEX11" s="348"/>
      <c r="MEY11" s="348"/>
      <c r="MEZ11" s="348"/>
      <c r="MFA11" s="348"/>
      <c r="MFB11" s="348"/>
      <c r="MFC11" s="348"/>
      <c r="MFD11" s="348"/>
      <c r="MFE11" s="348"/>
      <c r="MFF11" s="348"/>
      <c r="MFG11" s="348"/>
      <c r="MFH11" s="348"/>
      <c r="MFI11" s="348"/>
      <c r="MFJ11" s="348"/>
      <c r="MFK11" s="348"/>
      <c r="MFL11" s="348"/>
      <c r="MFM11" s="348"/>
      <c r="MFN11" s="348"/>
      <c r="MFO11" s="348"/>
      <c r="MFP11" s="348"/>
      <c r="MFQ11" s="348"/>
      <c r="MFR11" s="348"/>
      <c r="MFS11" s="348"/>
      <c r="MFT11" s="348"/>
      <c r="MFU11" s="348"/>
      <c r="MFV11" s="348"/>
      <c r="MFW11" s="348"/>
      <c r="MFX11" s="348"/>
      <c r="MFY11" s="348"/>
      <c r="MFZ11" s="348"/>
      <c r="MGA11" s="348"/>
      <c r="MGB11" s="348"/>
      <c r="MGC11" s="348"/>
      <c r="MGD11" s="348"/>
      <c r="MGE11" s="348"/>
      <c r="MGF11" s="348"/>
      <c r="MGG11" s="348"/>
      <c r="MGH11" s="348"/>
      <c r="MGI11" s="348"/>
      <c r="MGJ11" s="348"/>
      <c r="MGK11" s="348"/>
      <c r="MGL11" s="348"/>
      <c r="MGM11" s="348"/>
      <c r="MGN11" s="348"/>
      <c r="MGO11" s="348"/>
      <c r="MGP11" s="348"/>
      <c r="MGQ11" s="348"/>
      <c r="MGR11" s="348"/>
      <c r="MGS11" s="348"/>
      <c r="MGT11" s="348"/>
      <c r="MGU11" s="348"/>
      <c r="MGV11" s="348"/>
      <c r="MGW11" s="348"/>
      <c r="MGX11" s="348"/>
      <c r="MGY11" s="348"/>
      <c r="MGZ11" s="348"/>
      <c r="MHA11" s="348"/>
      <c r="MHB11" s="348"/>
      <c r="MHC11" s="348"/>
      <c r="MHD11" s="348"/>
      <c r="MHE11" s="348"/>
      <c r="MHF11" s="348"/>
      <c r="MHG11" s="348"/>
      <c r="MHH11" s="348"/>
      <c r="MHI11" s="348"/>
      <c r="MHJ11" s="348"/>
      <c r="MHK11" s="348"/>
      <c r="MHL11" s="348"/>
      <c r="MHM11" s="348"/>
      <c r="MHN11" s="348"/>
      <c r="MHO11" s="348"/>
      <c r="MHP11" s="348"/>
      <c r="MHQ11" s="348"/>
      <c r="MHR11" s="348"/>
      <c r="MHS11" s="348"/>
      <c r="MHT11" s="348"/>
      <c r="MHU11" s="348"/>
      <c r="MHV11" s="348"/>
      <c r="MHW11" s="348"/>
      <c r="MHX11" s="348"/>
      <c r="MHY11" s="348"/>
      <c r="MHZ11" s="348"/>
      <c r="MIA11" s="348"/>
      <c r="MIB11" s="348"/>
      <c r="MIC11" s="348"/>
      <c r="MID11" s="348"/>
      <c r="MIE11" s="348"/>
      <c r="MIF11" s="348"/>
      <c r="MIG11" s="348"/>
      <c r="MIH11" s="348"/>
      <c r="MII11" s="348"/>
      <c r="MIJ11" s="348"/>
      <c r="MIK11" s="348"/>
      <c r="MIL11" s="348"/>
      <c r="MIM11" s="348"/>
      <c r="MIN11" s="348"/>
      <c r="MIO11" s="348"/>
      <c r="MIP11" s="348"/>
      <c r="MIQ11" s="348"/>
      <c r="MIR11" s="348"/>
      <c r="MIS11" s="348"/>
      <c r="MIT11" s="348"/>
      <c r="MIU11" s="348"/>
      <c r="MIV11" s="348"/>
      <c r="MIW11" s="348"/>
      <c r="MIX11" s="348"/>
      <c r="MIY11" s="348"/>
      <c r="MIZ11" s="348"/>
      <c r="MJA11" s="348"/>
      <c r="MJB11" s="348"/>
      <c r="MJC11" s="348"/>
      <c r="MJD11" s="348"/>
      <c r="MJE11" s="348"/>
      <c r="MJF11" s="348"/>
      <c r="MJG11" s="348"/>
      <c r="MJH11" s="348"/>
      <c r="MJI11" s="348"/>
      <c r="MJJ11" s="348"/>
      <c r="MJK11" s="348"/>
      <c r="MJL11" s="348"/>
      <c r="MJM11" s="348"/>
      <c r="MJN11" s="348"/>
      <c r="MJO11" s="348"/>
      <c r="MJP11" s="348"/>
      <c r="MJQ11" s="348"/>
      <c r="MJR11" s="348"/>
      <c r="MJS11" s="348"/>
      <c r="MJT11" s="348"/>
      <c r="MJU11" s="348"/>
      <c r="MJV11" s="348"/>
      <c r="MJW11" s="348"/>
      <c r="MJX11" s="348"/>
      <c r="MJY11" s="348"/>
      <c r="MJZ11" s="348"/>
      <c r="MKA11" s="348"/>
      <c r="MKB11" s="348"/>
      <c r="MKC11" s="348"/>
      <c r="MKD11" s="348"/>
      <c r="MKE11" s="348"/>
      <c r="MKF11" s="348"/>
      <c r="MKG11" s="348"/>
      <c r="MKH11" s="348"/>
      <c r="MKI11" s="348"/>
      <c r="MKJ11" s="348"/>
      <c r="MKK11" s="348"/>
      <c r="MKL11" s="348"/>
      <c r="MKM11" s="348"/>
      <c r="MKN11" s="348"/>
      <c r="MKO11" s="348"/>
      <c r="MKP11" s="348"/>
      <c r="MKQ11" s="348"/>
      <c r="MKR11" s="348"/>
      <c r="MKS11" s="348"/>
      <c r="MKT11" s="348"/>
      <c r="MKU11" s="348"/>
      <c r="MKV11" s="348"/>
      <c r="MKW11" s="348"/>
      <c r="MKX11" s="348"/>
      <c r="MKY11" s="348"/>
      <c r="MKZ11" s="348"/>
      <c r="MLA11" s="348"/>
      <c r="MLB11" s="348"/>
      <c r="MLC11" s="348"/>
      <c r="MLD11" s="348"/>
      <c r="MLE11" s="348"/>
      <c r="MLF11" s="348"/>
      <c r="MLG11" s="348"/>
      <c r="MLH11" s="348"/>
      <c r="MLI11" s="348"/>
      <c r="MLJ11" s="348"/>
      <c r="MLK11" s="348"/>
      <c r="MLL11" s="348"/>
      <c r="MLM11" s="348"/>
      <c r="MLN11" s="348"/>
      <c r="MLO11" s="348"/>
      <c r="MLP11" s="348"/>
      <c r="MLQ11" s="348"/>
      <c r="MLR11" s="348"/>
      <c r="MLS11" s="348"/>
      <c r="MLT11" s="348"/>
      <c r="MLU11" s="348"/>
      <c r="MLV11" s="348"/>
      <c r="MLW11" s="348"/>
      <c r="MLX11" s="348"/>
      <c r="MLY11" s="348"/>
      <c r="MLZ11" s="348"/>
      <c r="MMA11" s="348"/>
      <c r="MMB11" s="348"/>
      <c r="MMC11" s="348"/>
      <c r="MMD11" s="348"/>
      <c r="MME11" s="348"/>
      <c r="MMF11" s="348"/>
      <c r="MMG11" s="348"/>
      <c r="MMH11" s="348"/>
      <c r="MMI11" s="348"/>
      <c r="MMJ11" s="348"/>
      <c r="MMK11" s="348"/>
      <c r="MML11" s="348"/>
      <c r="MMM11" s="348"/>
      <c r="MMN11" s="348"/>
      <c r="MMO11" s="348"/>
      <c r="MMP11" s="348"/>
      <c r="MMQ11" s="348"/>
      <c r="MMR11" s="348"/>
      <c r="MMS11" s="348"/>
      <c r="MMT11" s="348"/>
      <c r="MMU11" s="348"/>
      <c r="MMV11" s="348"/>
      <c r="MMW11" s="348"/>
      <c r="MMX11" s="348"/>
      <c r="MMY11" s="348"/>
      <c r="MMZ11" s="348"/>
      <c r="MNA11" s="348"/>
      <c r="MNB11" s="348"/>
      <c r="MNC11" s="348"/>
      <c r="MND11" s="348"/>
      <c r="MNE11" s="348"/>
      <c r="MNF11" s="348"/>
      <c r="MNG11" s="348"/>
      <c r="MNH11" s="348"/>
      <c r="MNI11" s="348"/>
      <c r="MNJ11" s="348"/>
      <c r="MNK11" s="348"/>
      <c r="MNL11" s="348"/>
      <c r="MNM11" s="348"/>
      <c r="MNN11" s="348"/>
      <c r="MNO11" s="348"/>
      <c r="MNP11" s="348"/>
      <c r="MNQ11" s="348"/>
      <c r="MNR11" s="348"/>
      <c r="MNS11" s="348"/>
      <c r="MNT11" s="348"/>
      <c r="MNU11" s="348"/>
      <c r="MNV11" s="348"/>
      <c r="MNW11" s="348"/>
      <c r="MNX11" s="348"/>
      <c r="MNY11" s="348"/>
      <c r="MNZ11" s="348"/>
      <c r="MOA11" s="348"/>
      <c r="MOB11" s="348"/>
      <c r="MOC11" s="348"/>
      <c r="MOD11" s="348"/>
      <c r="MOE11" s="348"/>
      <c r="MOF11" s="348"/>
      <c r="MOG11" s="348"/>
      <c r="MOH11" s="348"/>
      <c r="MOI11" s="348"/>
      <c r="MOJ11" s="348"/>
      <c r="MOK11" s="348"/>
      <c r="MOL11" s="348"/>
      <c r="MOM11" s="348"/>
      <c r="MON11" s="348"/>
      <c r="MOO11" s="348"/>
      <c r="MOP11" s="348"/>
      <c r="MOQ11" s="348"/>
      <c r="MOR11" s="348"/>
      <c r="MOS11" s="348"/>
      <c r="MOT11" s="348"/>
      <c r="MOU11" s="348"/>
      <c r="MOV11" s="348"/>
      <c r="MOW11" s="348"/>
      <c r="MOX11" s="348"/>
      <c r="MOY11" s="348"/>
      <c r="MOZ11" s="348"/>
      <c r="MPA11" s="348"/>
      <c r="MPB11" s="348"/>
      <c r="MPC11" s="348"/>
      <c r="MPD11" s="348"/>
      <c r="MPE11" s="348"/>
      <c r="MPF11" s="348"/>
      <c r="MPG11" s="348"/>
      <c r="MPH11" s="348"/>
      <c r="MPI11" s="348"/>
      <c r="MPJ11" s="348"/>
      <c r="MPK11" s="348"/>
      <c r="MPL11" s="348"/>
      <c r="MPM11" s="348"/>
      <c r="MPN11" s="348"/>
      <c r="MPO11" s="348"/>
      <c r="MPP11" s="348"/>
      <c r="MPQ11" s="348"/>
      <c r="MPR11" s="348"/>
      <c r="MPS11" s="348"/>
      <c r="MPT11" s="348"/>
      <c r="MPU11" s="348"/>
      <c r="MPV11" s="348"/>
      <c r="MPW11" s="348"/>
      <c r="MPX11" s="348"/>
      <c r="MPY11" s="348"/>
      <c r="MPZ11" s="348"/>
      <c r="MQA11" s="348"/>
      <c r="MQB11" s="348"/>
      <c r="MQC11" s="348"/>
      <c r="MQD11" s="348"/>
      <c r="MQE11" s="348"/>
      <c r="MQF11" s="348"/>
      <c r="MQG11" s="348"/>
      <c r="MQH11" s="348"/>
      <c r="MQI11" s="348"/>
      <c r="MQJ11" s="348"/>
      <c r="MQK11" s="348"/>
      <c r="MQL11" s="348"/>
      <c r="MQM11" s="348"/>
      <c r="MQN11" s="348"/>
      <c r="MQO11" s="348"/>
      <c r="MQP11" s="348"/>
      <c r="MQQ11" s="348"/>
      <c r="MQR11" s="348"/>
      <c r="MQS11" s="348"/>
      <c r="MQT11" s="348"/>
      <c r="MQU11" s="348"/>
      <c r="MQV11" s="348"/>
      <c r="MQW11" s="348"/>
      <c r="MQX11" s="348"/>
      <c r="MQY11" s="348"/>
      <c r="MQZ11" s="348"/>
      <c r="MRA11" s="348"/>
      <c r="MRB11" s="348"/>
      <c r="MRC11" s="348"/>
      <c r="MRD11" s="348"/>
      <c r="MRE11" s="348"/>
      <c r="MRF11" s="348"/>
      <c r="MRG11" s="348"/>
      <c r="MRH11" s="348"/>
      <c r="MRI11" s="348"/>
      <c r="MRJ11" s="348"/>
      <c r="MRK11" s="348"/>
      <c r="MRL11" s="348"/>
      <c r="MRM11" s="348"/>
      <c r="MRN11" s="348"/>
      <c r="MRO11" s="348"/>
      <c r="MRP11" s="348"/>
      <c r="MRQ11" s="348"/>
      <c r="MRR11" s="348"/>
      <c r="MRS11" s="348"/>
      <c r="MRT11" s="348"/>
      <c r="MRU11" s="348"/>
      <c r="MRV11" s="348"/>
      <c r="MRW11" s="348"/>
      <c r="MRX11" s="348"/>
      <c r="MRY11" s="348"/>
      <c r="MRZ11" s="348"/>
      <c r="MSA11" s="348"/>
      <c r="MSB11" s="348"/>
      <c r="MSC11" s="348"/>
      <c r="MSD11" s="348"/>
      <c r="MSE11" s="348"/>
      <c r="MSF11" s="348"/>
      <c r="MSG11" s="348"/>
      <c r="MSH11" s="348"/>
      <c r="MSI11" s="348"/>
      <c r="MSJ11" s="348"/>
      <c r="MSK11" s="348"/>
      <c r="MSL11" s="348"/>
      <c r="MSM11" s="348"/>
      <c r="MSN11" s="348"/>
      <c r="MSO11" s="348"/>
      <c r="MSP11" s="348"/>
      <c r="MSQ11" s="348"/>
      <c r="MSR11" s="348"/>
      <c r="MSS11" s="348"/>
      <c r="MST11" s="348"/>
      <c r="MSU11" s="348"/>
      <c r="MSV11" s="348"/>
      <c r="MSW11" s="348"/>
      <c r="MSX11" s="348"/>
      <c r="MSY11" s="348"/>
      <c r="MSZ11" s="348"/>
      <c r="MTA11" s="348"/>
      <c r="MTB11" s="348"/>
      <c r="MTC11" s="348"/>
      <c r="MTD11" s="348"/>
      <c r="MTE11" s="348"/>
      <c r="MTF11" s="348"/>
      <c r="MTG11" s="348"/>
      <c r="MTH11" s="348"/>
      <c r="MTI11" s="348"/>
      <c r="MTJ11" s="348"/>
      <c r="MTK11" s="348"/>
      <c r="MTL11" s="348"/>
      <c r="MTM11" s="348"/>
      <c r="MTN11" s="348"/>
      <c r="MTO11" s="348"/>
      <c r="MTP11" s="348"/>
      <c r="MTQ11" s="348"/>
      <c r="MTR11" s="348"/>
      <c r="MTS11" s="348"/>
      <c r="MTT11" s="348"/>
      <c r="MTU11" s="348"/>
      <c r="MTV11" s="348"/>
      <c r="MTW11" s="348"/>
      <c r="MTX11" s="348"/>
      <c r="MTY11" s="348"/>
      <c r="MTZ11" s="348"/>
      <c r="MUA11" s="348"/>
      <c r="MUB11" s="348"/>
      <c r="MUC11" s="348"/>
      <c r="MUD11" s="348"/>
      <c r="MUE11" s="348"/>
      <c r="MUF11" s="348"/>
      <c r="MUG11" s="348"/>
      <c r="MUH11" s="348"/>
      <c r="MUI11" s="348"/>
      <c r="MUJ11" s="348"/>
      <c r="MUK11" s="348"/>
      <c r="MUL11" s="348"/>
      <c r="MUM11" s="348"/>
      <c r="MUN11" s="348"/>
      <c r="MUO11" s="348"/>
      <c r="MUP11" s="348"/>
      <c r="MUQ11" s="348"/>
      <c r="MUR11" s="348"/>
      <c r="MUS11" s="348"/>
      <c r="MUT11" s="348"/>
      <c r="MUU11" s="348"/>
      <c r="MUV11" s="348"/>
      <c r="MUW11" s="348"/>
      <c r="MUX11" s="348"/>
      <c r="MUY11" s="348"/>
      <c r="MUZ11" s="348"/>
      <c r="MVA11" s="348"/>
      <c r="MVB11" s="348"/>
      <c r="MVC11" s="348"/>
      <c r="MVD11" s="348"/>
      <c r="MVE11" s="348"/>
      <c r="MVF11" s="348"/>
      <c r="MVG11" s="348"/>
      <c r="MVH11" s="348"/>
      <c r="MVI11" s="348"/>
      <c r="MVJ11" s="348"/>
      <c r="MVK11" s="348"/>
      <c r="MVL11" s="348"/>
      <c r="MVM11" s="348"/>
      <c r="MVN11" s="348"/>
      <c r="MVO11" s="348"/>
      <c r="MVP11" s="348"/>
      <c r="MVQ11" s="348"/>
      <c r="MVR11" s="348"/>
      <c r="MVS11" s="348"/>
      <c r="MVT11" s="348"/>
      <c r="MVU11" s="348"/>
      <c r="MVV11" s="348"/>
      <c r="MVW11" s="348"/>
      <c r="MVX11" s="348"/>
      <c r="MVY11" s="348"/>
      <c r="MVZ11" s="348"/>
      <c r="MWA11" s="348"/>
      <c r="MWB11" s="348"/>
      <c r="MWC11" s="348"/>
      <c r="MWD11" s="348"/>
      <c r="MWE11" s="348"/>
      <c r="MWF11" s="348"/>
      <c r="MWG11" s="348"/>
      <c r="MWH11" s="348"/>
      <c r="MWI11" s="348"/>
      <c r="MWJ11" s="348"/>
      <c r="MWK11" s="348"/>
      <c r="MWL11" s="348"/>
      <c r="MWM11" s="348"/>
      <c r="MWN11" s="348"/>
      <c r="MWO11" s="348"/>
      <c r="MWP11" s="348"/>
      <c r="MWQ11" s="348"/>
      <c r="MWR11" s="348"/>
      <c r="MWS11" s="348"/>
      <c r="MWT11" s="348"/>
      <c r="MWU11" s="348"/>
      <c r="MWV11" s="348"/>
      <c r="MWW11" s="348"/>
      <c r="MWX11" s="348"/>
      <c r="MWY11" s="348"/>
      <c r="MWZ11" s="348"/>
      <c r="MXA11" s="348"/>
      <c r="MXB11" s="348"/>
      <c r="MXC11" s="348"/>
      <c r="MXD11" s="348"/>
      <c r="MXE11" s="348"/>
      <c r="MXF11" s="348"/>
      <c r="MXG11" s="348"/>
      <c r="MXH11" s="348"/>
      <c r="MXI11" s="348"/>
      <c r="MXJ11" s="348"/>
      <c r="MXK11" s="348"/>
      <c r="MXL11" s="348"/>
      <c r="MXM11" s="348"/>
      <c r="MXN11" s="348"/>
      <c r="MXO11" s="348"/>
      <c r="MXP11" s="348"/>
      <c r="MXQ11" s="348"/>
      <c r="MXR11" s="348"/>
      <c r="MXS11" s="348"/>
      <c r="MXT11" s="348"/>
      <c r="MXU11" s="348"/>
      <c r="MXV11" s="348"/>
      <c r="MXW11" s="348"/>
      <c r="MXX11" s="348"/>
      <c r="MXY11" s="348"/>
      <c r="MXZ11" s="348"/>
      <c r="MYA11" s="348"/>
      <c r="MYB11" s="348"/>
      <c r="MYC11" s="348"/>
      <c r="MYD11" s="348"/>
      <c r="MYE11" s="348"/>
      <c r="MYF11" s="348"/>
      <c r="MYG11" s="348"/>
      <c r="MYH11" s="348"/>
      <c r="MYI11" s="348"/>
      <c r="MYJ11" s="348"/>
      <c r="MYK11" s="348"/>
      <c r="MYL11" s="348"/>
      <c r="MYM11" s="348"/>
      <c r="MYN11" s="348"/>
      <c r="MYO11" s="348"/>
      <c r="MYP11" s="348"/>
      <c r="MYQ11" s="348"/>
      <c r="MYR11" s="348"/>
      <c r="MYS11" s="348"/>
      <c r="MYT11" s="348"/>
      <c r="MYU11" s="348"/>
      <c r="MYV11" s="348"/>
      <c r="MYW11" s="348"/>
      <c r="MYX11" s="348"/>
      <c r="MYY11" s="348"/>
      <c r="MYZ11" s="348"/>
      <c r="MZA11" s="348"/>
      <c r="MZB11" s="348"/>
      <c r="MZC11" s="348"/>
      <c r="MZD11" s="348"/>
      <c r="MZE11" s="348"/>
      <c r="MZF11" s="348"/>
      <c r="MZG11" s="348"/>
      <c r="MZH11" s="348"/>
      <c r="MZI11" s="348"/>
      <c r="MZJ11" s="348"/>
      <c r="MZK11" s="348"/>
      <c r="MZL11" s="348"/>
      <c r="MZM11" s="348"/>
      <c r="MZN11" s="348"/>
      <c r="MZO11" s="348"/>
      <c r="MZP11" s="348"/>
      <c r="MZQ11" s="348"/>
      <c r="MZR11" s="348"/>
      <c r="MZS11" s="348"/>
      <c r="MZT11" s="348"/>
      <c r="MZU11" s="348"/>
      <c r="MZV11" s="348"/>
      <c r="MZW11" s="348"/>
      <c r="MZX11" s="348"/>
      <c r="MZY11" s="348"/>
      <c r="MZZ11" s="348"/>
      <c r="NAA11" s="348"/>
      <c r="NAB11" s="348"/>
      <c r="NAC11" s="348"/>
      <c r="NAD11" s="348"/>
      <c r="NAE11" s="348"/>
      <c r="NAF11" s="348"/>
      <c r="NAG11" s="348"/>
      <c r="NAH11" s="348"/>
      <c r="NAI11" s="348"/>
      <c r="NAJ11" s="348"/>
      <c r="NAK11" s="348"/>
      <c r="NAL11" s="348"/>
      <c r="NAM11" s="348"/>
      <c r="NAN11" s="348"/>
      <c r="NAO11" s="348"/>
      <c r="NAP11" s="348"/>
      <c r="NAQ11" s="348"/>
      <c r="NAR11" s="348"/>
      <c r="NAS11" s="348"/>
      <c r="NAT11" s="348"/>
      <c r="NAU11" s="348"/>
      <c r="NAV11" s="348"/>
      <c r="NAW11" s="348"/>
      <c r="NAX11" s="348"/>
      <c r="NAY11" s="348"/>
      <c r="NAZ11" s="348"/>
      <c r="NBA11" s="348"/>
      <c r="NBB11" s="348"/>
      <c r="NBC11" s="348"/>
      <c r="NBD11" s="348"/>
      <c r="NBE11" s="348"/>
      <c r="NBF11" s="348"/>
      <c r="NBG11" s="348"/>
      <c r="NBH11" s="348"/>
      <c r="NBI11" s="348"/>
      <c r="NBJ11" s="348"/>
      <c r="NBK11" s="348"/>
      <c r="NBL11" s="348"/>
      <c r="NBM11" s="348"/>
      <c r="NBN11" s="348"/>
      <c r="NBO11" s="348"/>
      <c r="NBP11" s="348"/>
      <c r="NBQ11" s="348"/>
      <c r="NBR11" s="348"/>
      <c r="NBS11" s="348"/>
      <c r="NBT11" s="348"/>
      <c r="NBU11" s="348"/>
      <c r="NBV11" s="348"/>
      <c r="NBW11" s="348"/>
      <c r="NBX11" s="348"/>
      <c r="NBY11" s="348"/>
      <c r="NBZ11" s="348"/>
      <c r="NCA11" s="348"/>
      <c r="NCB11" s="348"/>
      <c r="NCC11" s="348"/>
      <c r="NCD11" s="348"/>
      <c r="NCE11" s="348"/>
      <c r="NCF11" s="348"/>
      <c r="NCG11" s="348"/>
      <c r="NCH11" s="348"/>
      <c r="NCI11" s="348"/>
      <c r="NCJ11" s="348"/>
      <c r="NCK11" s="348"/>
      <c r="NCL11" s="348"/>
      <c r="NCM11" s="348"/>
      <c r="NCN11" s="348"/>
      <c r="NCO11" s="348"/>
      <c r="NCP11" s="348"/>
      <c r="NCQ11" s="348"/>
      <c r="NCR11" s="348"/>
      <c r="NCS11" s="348"/>
      <c r="NCT11" s="348"/>
      <c r="NCU11" s="348"/>
      <c r="NCV11" s="348"/>
      <c r="NCW11" s="348"/>
      <c r="NCX11" s="348"/>
      <c r="NCY11" s="348"/>
      <c r="NCZ11" s="348"/>
      <c r="NDA11" s="348"/>
      <c r="NDB11" s="348"/>
      <c r="NDC11" s="348"/>
      <c r="NDD11" s="348"/>
      <c r="NDE11" s="348"/>
      <c r="NDF11" s="348"/>
      <c r="NDG11" s="348"/>
      <c r="NDH11" s="348"/>
      <c r="NDI11" s="348"/>
      <c r="NDJ11" s="348"/>
      <c r="NDK11" s="348"/>
      <c r="NDL11" s="348"/>
      <c r="NDM11" s="348"/>
      <c r="NDN11" s="348"/>
      <c r="NDO11" s="348"/>
      <c r="NDP11" s="348"/>
      <c r="NDQ11" s="348"/>
      <c r="NDR11" s="348"/>
      <c r="NDS11" s="348"/>
      <c r="NDT11" s="348"/>
      <c r="NDU11" s="348"/>
      <c r="NDV11" s="348"/>
      <c r="NDW11" s="348"/>
      <c r="NDX11" s="348"/>
      <c r="NDY11" s="348"/>
      <c r="NDZ11" s="348"/>
      <c r="NEA11" s="348"/>
      <c r="NEB11" s="348"/>
      <c r="NEC11" s="348"/>
      <c r="NED11" s="348"/>
      <c r="NEE11" s="348"/>
      <c r="NEF11" s="348"/>
      <c r="NEG11" s="348"/>
      <c r="NEH11" s="348"/>
      <c r="NEI11" s="348"/>
      <c r="NEJ11" s="348"/>
      <c r="NEK11" s="348"/>
      <c r="NEL11" s="348"/>
      <c r="NEM11" s="348"/>
      <c r="NEN11" s="348"/>
      <c r="NEO11" s="348"/>
      <c r="NEP11" s="348"/>
      <c r="NEQ11" s="348"/>
      <c r="NER11" s="348"/>
      <c r="NES11" s="348"/>
      <c r="NET11" s="348"/>
      <c r="NEU11" s="348"/>
      <c r="NEV11" s="348"/>
      <c r="NEW11" s="348"/>
      <c r="NEX11" s="348"/>
      <c r="NEY11" s="348"/>
      <c r="NEZ11" s="348"/>
      <c r="NFA11" s="348"/>
      <c r="NFB11" s="348"/>
      <c r="NFC11" s="348"/>
      <c r="NFD11" s="348"/>
      <c r="NFE11" s="348"/>
      <c r="NFF11" s="348"/>
      <c r="NFG11" s="348"/>
      <c r="NFH11" s="348"/>
      <c r="NFI11" s="348"/>
      <c r="NFJ11" s="348"/>
      <c r="NFK11" s="348"/>
      <c r="NFL11" s="348"/>
      <c r="NFM11" s="348"/>
      <c r="NFN11" s="348"/>
      <c r="NFO11" s="348"/>
      <c r="NFP11" s="348"/>
      <c r="NFQ11" s="348"/>
      <c r="NFR11" s="348"/>
      <c r="NFS11" s="348"/>
      <c r="NFT11" s="348"/>
      <c r="NFU11" s="348"/>
      <c r="NFV11" s="348"/>
      <c r="NFW11" s="348"/>
      <c r="NFX11" s="348"/>
      <c r="NFY11" s="348"/>
      <c r="NFZ11" s="348"/>
      <c r="NGA11" s="348"/>
      <c r="NGB11" s="348"/>
      <c r="NGC11" s="348"/>
      <c r="NGD11" s="348"/>
      <c r="NGE11" s="348"/>
      <c r="NGF11" s="348"/>
      <c r="NGG11" s="348"/>
      <c r="NGH11" s="348"/>
      <c r="NGI11" s="348"/>
      <c r="NGJ11" s="348"/>
      <c r="NGK11" s="348"/>
      <c r="NGL11" s="348"/>
      <c r="NGM11" s="348"/>
      <c r="NGN11" s="348"/>
      <c r="NGO11" s="348"/>
      <c r="NGP11" s="348"/>
      <c r="NGQ11" s="348"/>
      <c r="NGR11" s="348"/>
      <c r="NGS11" s="348"/>
      <c r="NGT11" s="348"/>
      <c r="NGU11" s="348"/>
      <c r="NGV11" s="348"/>
      <c r="NGW11" s="348"/>
      <c r="NGX11" s="348"/>
      <c r="NGY11" s="348"/>
      <c r="NGZ11" s="348"/>
      <c r="NHA11" s="348"/>
      <c r="NHB11" s="348"/>
      <c r="NHC11" s="348"/>
      <c r="NHD11" s="348"/>
      <c r="NHE11" s="348"/>
      <c r="NHF11" s="348"/>
      <c r="NHG11" s="348"/>
      <c r="NHH11" s="348"/>
      <c r="NHI11" s="348"/>
      <c r="NHJ11" s="348"/>
      <c r="NHK11" s="348"/>
      <c r="NHL11" s="348"/>
      <c r="NHM11" s="348"/>
      <c r="NHN11" s="348"/>
      <c r="NHO11" s="348"/>
      <c r="NHP11" s="348"/>
      <c r="NHQ11" s="348"/>
      <c r="NHR11" s="348"/>
      <c r="NHS11" s="348"/>
      <c r="NHT11" s="348"/>
      <c r="NHU11" s="348"/>
      <c r="NHV11" s="348"/>
      <c r="NHW11" s="348"/>
      <c r="NHX11" s="348"/>
      <c r="NHY11" s="348"/>
      <c r="NHZ11" s="348"/>
      <c r="NIA11" s="348"/>
      <c r="NIB11" s="348"/>
      <c r="NIC11" s="348"/>
      <c r="NID11" s="348"/>
      <c r="NIE11" s="348"/>
      <c r="NIF11" s="348"/>
      <c r="NIG11" s="348"/>
      <c r="NIH11" s="348"/>
      <c r="NII11" s="348"/>
      <c r="NIJ11" s="348"/>
      <c r="NIK11" s="348"/>
      <c r="NIL11" s="348"/>
      <c r="NIM11" s="348"/>
      <c r="NIN11" s="348"/>
      <c r="NIO11" s="348"/>
      <c r="NIP11" s="348"/>
      <c r="NIQ11" s="348"/>
      <c r="NIR11" s="348"/>
      <c r="NIS11" s="348"/>
      <c r="NIT11" s="348"/>
      <c r="NIU11" s="348"/>
      <c r="NIV11" s="348"/>
      <c r="NIW11" s="348"/>
      <c r="NIX11" s="348"/>
      <c r="NIY11" s="348"/>
      <c r="NIZ11" s="348"/>
      <c r="NJA11" s="348"/>
      <c r="NJB11" s="348"/>
      <c r="NJC11" s="348"/>
      <c r="NJD11" s="348"/>
      <c r="NJE11" s="348"/>
      <c r="NJF11" s="348"/>
      <c r="NJG11" s="348"/>
      <c r="NJH11" s="348"/>
      <c r="NJI11" s="348"/>
      <c r="NJJ11" s="348"/>
      <c r="NJK11" s="348"/>
      <c r="NJL11" s="348"/>
      <c r="NJM11" s="348"/>
      <c r="NJN11" s="348"/>
      <c r="NJO11" s="348"/>
      <c r="NJP11" s="348"/>
      <c r="NJQ11" s="348"/>
      <c r="NJR11" s="348"/>
      <c r="NJS11" s="348"/>
      <c r="NJT11" s="348"/>
      <c r="NJU11" s="348"/>
      <c r="NJV11" s="348"/>
      <c r="NJW11" s="348"/>
      <c r="NJX11" s="348"/>
      <c r="NJY11" s="348"/>
      <c r="NJZ11" s="348"/>
      <c r="NKA11" s="348"/>
      <c r="NKB11" s="348"/>
      <c r="NKC11" s="348"/>
      <c r="NKD11" s="348"/>
      <c r="NKE11" s="348"/>
      <c r="NKF11" s="348"/>
      <c r="NKG11" s="348"/>
      <c r="NKH11" s="348"/>
      <c r="NKI11" s="348"/>
      <c r="NKJ11" s="348"/>
      <c r="NKK11" s="348"/>
      <c r="NKL11" s="348"/>
      <c r="NKM11" s="348"/>
      <c r="NKN11" s="348"/>
      <c r="NKO11" s="348"/>
      <c r="NKP11" s="348"/>
      <c r="NKQ11" s="348"/>
      <c r="NKR11" s="348"/>
      <c r="NKS11" s="348"/>
      <c r="NKT11" s="348"/>
      <c r="NKU11" s="348"/>
      <c r="NKV11" s="348"/>
      <c r="NKW11" s="348"/>
      <c r="NKX11" s="348"/>
      <c r="NKY11" s="348"/>
      <c r="NKZ11" s="348"/>
      <c r="NLA11" s="348"/>
      <c r="NLB11" s="348"/>
      <c r="NLC11" s="348"/>
      <c r="NLD11" s="348"/>
      <c r="NLE11" s="348"/>
      <c r="NLF11" s="348"/>
      <c r="NLG11" s="348"/>
      <c r="NLH11" s="348"/>
      <c r="NLI11" s="348"/>
      <c r="NLJ11" s="348"/>
      <c r="NLK11" s="348"/>
      <c r="NLL11" s="348"/>
      <c r="NLM11" s="348"/>
      <c r="NLN11" s="348"/>
      <c r="NLO11" s="348"/>
      <c r="NLP11" s="348"/>
      <c r="NLQ11" s="348"/>
      <c r="NLR11" s="348"/>
      <c r="NLS11" s="348"/>
      <c r="NLT11" s="348"/>
      <c r="NLU11" s="348"/>
      <c r="NLV11" s="348"/>
      <c r="NLW11" s="348"/>
      <c r="NLX11" s="348"/>
      <c r="NLY11" s="348"/>
      <c r="NLZ11" s="348"/>
      <c r="NMA11" s="348"/>
      <c r="NMB11" s="348"/>
      <c r="NMC11" s="348"/>
      <c r="NMD11" s="348"/>
      <c r="NME11" s="348"/>
      <c r="NMF11" s="348"/>
      <c r="NMG11" s="348"/>
      <c r="NMH11" s="348"/>
      <c r="NMI11" s="348"/>
      <c r="NMJ11" s="348"/>
      <c r="NMK11" s="348"/>
      <c r="NML11" s="348"/>
      <c r="NMM11" s="348"/>
      <c r="NMN11" s="348"/>
      <c r="NMO11" s="348"/>
      <c r="NMP11" s="348"/>
      <c r="NMQ11" s="348"/>
      <c r="NMR11" s="348"/>
      <c r="NMS11" s="348"/>
      <c r="NMT11" s="348"/>
      <c r="NMU11" s="348"/>
      <c r="NMV11" s="348"/>
      <c r="NMW11" s="348"/>
      <c r="NMX11" s="348"/>
      <c r="NMY11" s="348"/>
      <c r="NMZ11" s="348"/>
      <c r="NNA11" s="348"/>
      <c r="NNB11" s="348"/>
      <c r="NNC11" s="348"/>
      <c r="NND11" s="348"/>
      <c r="NNE11" s="348"/>
      <c r="NNF11" s="348"/>
      <c r="NNG11" s="348"/>
      <c r="NNH11" s="348"/>
      <c r="NNI11" s="348"/>
      <c r="NNJ11" s="348"/>
      <c r="NNK11" s="348"/>
      <c r="NNL11" s="348"/>
      <c r="NNM11" s="348"/>
      <c r="NNN11" s="348"/>
      <c r="NNO11" s="348"/>
      <c r="NNP11" s="348"/>
      <c r="NNQ11" s="348"/>
      <c r="NNR11" s="348"/>
      <c r="NNS11" s="348"/>
      <c r="NNT11" s="348"/>
      <c r="NNU11" s="348"/>
      <c r="NNV11" s="348"/>
      <c r="NNW11" s="348"/>
      <c r="NNX11" s="348"/>
      <c r="NNY11" s="348"/>
      <c r="NNZ11" s="348"/>
      <c r="NOA11" s="348"/>
      <c r="NOB11" s="348"/>
      <c r="NOC11" s="348"/>
      <c r="NOD11" s="348"/>
      <c r="NOE11" s="348"/>
      <c r="NOF11" s="348"/>
      <c r="NOG11" s="348"/>
      <c r="NOH11" s="348"/>
      <c r="NOI11" s="348"/>
      <c r="NOJ11" s="348"/>
      <c r="NOK11" s="348"/>
      <c r="NOL11" s="348"/>
      <c r="NOM11" s="348"/>
      <c r="NON11" s="348"/>
      <c r="NOO11" s="348"/>
      <c r="NOP11" s="348"/>
      <c r="NOQ11" s="348"/>
      <c r="NOR11" s="348"/>
      <c r="NOS11" s="348"/>
      <c r="NOT11" s="348"/>
      <c r="NOU11" s="348"/>
      <c r="NOV11" s="348"/>
      <c r="NOW11" s="348"/>
      <c r="NOX11" s="348"/>
      <c r="NOY11" s="348"/>
      <c r="NOZ11" s="348"/>
      <c r="NPA11" s="348"/>
      <c r="NPB11" s="348"/>
      <c r="NPC11" s="348"/>
      <c r="NPD11" s="348"/>
      <c r="NPE11" s="348"/>
      <c r="NPF11" s="348"/>
      <c r="NPG11" s="348"/>
      <c r="NPH11" s="348"/>
      <c r="NPI11" s="348"/>
      <c r="NPJ11" s="348"/>
      <c r="NPK11" s="348"/>
      <c r="NPL11" s="348"/>
      <c r="NPM11" s="348"/>
      <c r="NPN11" s="348"/>
      <c r="NPO11" s="348"/>
      <c r="NPP11" s="348"/>
      <c r="NPQ11" s="348"/>
      <c r="NPR11" s="348"/>
      <c r="NPS11" s="348"/>
      <c r="NPT11" s="348"/>
      <c r="NPU11" s="348"/>
      <c r="NPV11" s="348"/>
      <c r="NPW11" s="348"/>
      <c r="NPX11" s="348"/>
      <c r="NPY11" s="348"/>
      <c r="NPZ11" s="348"/>
      <c r="NQA11" s="348"/>
      <c r="NQB11" s="348"/>
      <c r="NQC11" s="348"/>
      <c r="NQD11" s="348"/>
      <c r="NQE11" s="348"/>
      <c r="NQF11" s="348"/>
      <c r="NQG11" s="348"/>
      <c r="NQH11" s="348"/>
      <c r="NQI11" s="348"/>
      <c r="NQJ11" s="348"/>
      <c r="NQK11" s="348"/>
      <c r="NQL11" s="348"/>
      <c r="NQM11" s="348"/>
      <c r="NQN11" s="348"/>
      <c r="NQO11" s="348"/>
      <c r="NQP11" s="348"/>
      <c r="NQQ11" s="348"/>
      <c r="NQR11" s="348"/>
      <c r="NQS11" s="348"/>
      <c r="NQT11" s="348"/>
      <c r="NQU11" s="348"/>
      <c r="NQV11" s="348"/>
      <c r="NQW11" s="348"/>
      <c r="NQX11" s="348"/>
      <c r="NQY11" s="348"/>
      <c r="NQZ11" s="348"/>
      <c r="NRA11" s="348"/>
      <c r="NRB11" s="348"/>
      <c r="NRC11" s="348"/>
      <c r="NRD11" s="348"/>
      <c r="NRE11" s="348"/>
      <c r="NRF11" s="348"/>
      <c r="NRG11" s="348"/>
      <c r="NRH11" s="348"/>
      <c r="NRI11" s="348"/>
      <c r="NRJ11" s="348"/>
      <c r="NRK11" s="348"/>
      <c r="NRL11" s="348"/>
      <c r="NRM11" s="348"/>
      <c r="NRN11" s="348"/>
      <c r="NRO11" s="348"/>
      <c r="NRP11" s="348"/>
      <c r="NRQ11" s="348"/>
      <c r="NRR11" s="348"/>
      <c r="NRS11" s="348"/>
      <c r="NRT11" s="348"/>
      <c r="NRU11" s="348"/>
      <c r="NRV11" s="348"/>
      <c r="NRW11" s="348"/>
      <c r="NRX11" s="348"/>
      <c r="NRY11" s="348"/>
      <c r="NRZ11" s="348"/>
      <c r="NSA11" s="348"/>
      <c r="NSB11" s="348"/>
      <c r="NSC11" s="348"/>
      <c r="NSD11" s="348"/>
      <c r="NSE11" s="348"/>
      <c r="NSF11" s="348"/>
      <c r="NSG11" s="348"/>
      <c r="NSH11" s="348"/>
      <c r="NSI11" s="348"/>
      <c r="NSJ11" s="348"/>
      <c r="NSK11" s="348"/>
      <c r="NSL11" s="348"/>
      <c r="NSM11" s="348"/>
      <c r="NSN11" s="348"/>
      <c r="NSO11" s="348"/>
      <c r="NSP11" s="348"/>
      <c r="NSQ11" s="348"/>
      <c r="NSR11" s="348"/>
      <c r="NSS11" s="348"/>
      <c r="NST11" s="348"/>
      <c r="NSU11" s="348"/>
      <c r="NSV11" s="348"/>
      <c r="NSW11" s="348"/>
      <c r="NSX11" s="348"/>
      <c r="NSY11" s="348"/>
      <c r="NSZ11" s="348"/>
      <c r="NTA11" s="348"/>
      <c r="NTB11" s="348"/>
      <c r="NTC11" s="348"/>
      <c r="NTD11" s="348"/>
      <c r="NTE11" s="348"/>
      <c r="NTF11" s="348"/>
      <c r="NTG11" s="348"/>
      <c r="NTH11" s="348"/>
      <c r="NTI11" s="348"/>
      <c r="NTJ11" s="348"/>
      <c r="NTK11" s="348"/>
      <c r="NTL11" s="348"/>
      <c r="NTM11" s="348"/>
      <c r="NTN11" s="348"/>
      <c r="NTO11" s="348"/>
      <c r="NTP11" s="348"/>
      <c r="NTQ11" s="348"/>
      <c r="NTR11" s="348"/>
      <c r="NTS11" s="348"/>
      <c r="NTT11" s="348"/>
      <c r="NTU11" s="348"/>
      <c r="NTV11" s="348"/>
      <c r="NTW11" s="348"/>
      <c r="NTX11" s="348"/>
      <c r="NTY11" s="348"/>
      <c r="NTZ11" s="348"/>
      <c r="NUA11" s="348"/>
      <c r="NUB11" s="348"/>
      <c r="NUC11" s="348"/>
      <c r="NUD11" s="348"/>
      <c r="NUE11" s="348"/>
      <c r="NUF11" s="348"/>
      <c r="NUG11" s="348"/>
      <c r="NUH11" s="348"/>
      <c r="NUI11" s="348"/>
      <c r="NUJ11" s="348"/>
      <c r="NUK11" s="348"/>
      <c r="NUL11" s="348"/>
      <c r="NUM11" s="348"/>
      <c r="NUN11" s="348"/>
      <c r="NUO11" s="348"/>
      <c r="NUP11" s="348"/>
      <c r="NUQ11" s="348"/>
      <c r="NUR11" s="348"/>
      <c r="NUS11" s="348"/>
      <c r="NUT11" s="348"/>
      <c r="NUU11" s="348"/>
      <c r="NUV11" s="348"/>
      <c r="NUW11" s="348"/>
      <c r="NUX11" s="348"/>
      <c r="NUY11" s="348"/>
      <c r="NUZ11" s="348"/>
      <c r="NVA11" s="348"/>
      <c r="NVB11" s="348"/>
      <c r="NVC11" s="348"/>
      <c r="NVD11" s="348"/>
      <c r="NVE11" s="348"/>
      <c r="NVF11" s="348"/>
      <c r="NVG11" s="348"/>
      <c r="NVH11" s="348"/>
      <c r="NVI11" s="348"/>
      <c r="NVJ11" s="348"/>
      <c r="NVK11" s="348"/>
      <c r="NVL11" s="348"/>
      <c r="NVM11" s="348"/>
      <c r="NVN11" s="348"/>
      <c r="NVO11" s="348"/>
      <c r="NVP11" s="348"/>
      <c r="NVQ11" s="348"/>
      <c r="NVR11" s="348"/>
      <c r="NVS11" s="348"/>
      <c r="NVT11" s="348"/>
      <c r="NVU11" s="348"/>
      <c r="NVV11" s="348"/>
      <c r="NVW11" s="348"/>
      <c r="NVX11" s="348"/>
      <c r="NVY11" s="348"/>
      <c r="NVZ11" s="348"/>
      <c r="NWA11" s="348"/>
      <c r="NWB11" s="348"/>
      <c r="NWC11" s="348"/>
      <c r="NWD11" s="348"/>
      <c r="NWE11" s="348"/>
      <c r="NWF11" s="348"/>
      <c r="NWG11" s="348"/>
      <c r="NWH11" s="348"/>
      <c r="NWI11" s="348"/>
      <c r="NWJ11" s="348"/>
      <c r="NWK11" s="348"/>
      <c r="NWL11" s="348"/>
      <c r="NWM11" s="348"/>
      <c r="NWN11" s="348"/>
      <c r="NWO11" s="348"/>
      <c r="NWP11" s="348"/>
      <c r="NWQ11" s="348"/>
      <c r="NWR11" s="348"/>
      <c r="NWS11" s="348"/>
      <c r="NWT11" s="348"/>
      <c r="NWU11" s="348"/>
      <c r="NWV11" s="348"/>
      <c r="NWW11" s="348"/>
      <c r="NWX11" s="348"/>
      <c r="NWY11" s="348"/>
      <c r="NWZ11" s="348"/>
      <c r="NXA11" s="348"/>
      <c r="NXB11" s="348"/>
      <c r="NXC11" s="348"/>
      <c r="NXD11" s="348"/>
      <c r="NXE11" s="348"/>
      <c r="NXF11" s="348"/>
      <c r="NXG11" s="348"/>
      <c r="NXH11" s="348"/>
      <c r="NXI11" s="348"/>
      <c r="NXJ11" s="348"/>
      <c r="NXK11" s="348"/>
      <c r="NXL11" s="348"/>
      <c r="NXM11" s="348"/>
      <c r="NXN11" s="348"/>
      <c r="NXO11" s="348"/>
      <c r="NXP11" s="348"/>
      <c r="NXQ11" s="348"/>
      <c r="NXR11" s="348"/>
      <c r="NXS11" s="348"/>
      <c r="NXT11" s="348"/>
      <c r="NXU11" s="348"/>
      <c r="NXV11" s="348"/>
      <c r="NXW11" s="348"/>
      <c r="NXX11" s="348"/>
      <c r="NXY11" s="348"/>
      <c r="NXZ11" s="348"/>
      <c r="NYA11" s="348"/>
      <c r="NYB11" s="348"/>
      <c r="NYC11" s="348"/>
      <c r="NYD11" s="348"/>
      <c r="NYE11" s="348"/>
      <c r="NYF11" s="348"/>
      <c r="NYG11" s="348"/>
      <c r="NYH11" s="348"/>
      <c r="NYI11" s="348"/>
      <c r="NYJ11" s="348"/>
      <c r="NYK11" s="348"/>
      <c r="NYL11" s="348"/>
      <c r="NYM11" s="348"/>
      <c r="NYN11" s="348"/>
      <c r="NYO11" s="348"/>
      <c r="NYP11" s="348"/>
      <c r="NYQ11" s="348"/>
      <c r="NYR11" s="348"/>
      <c r="NYS11" s="348"/>
      <c r="NYT11" s="348"/>
      <c r="NYU11" s="348"/>
      <c r="NYV11" s="348"/>
      <c r="NYW11" s="348"/>
      <c r="NYX11" s="348"/>
      <c r="NYY11" s="348"/>
      <c r="NYZ11" s="348"/>
      <c r="NZA11" s="348"/>
      <c r="NZB11" s="348"/>
      <c r="NZC11" s="348"/>
      <c r="NZD11" s="348"/>
      <c r="NZE11" s="348"/>
      <c r="NZF11" s="348"/>
      <c r="NZG11" s="348"/>
      <c r="NZH11" s="348"/>
      <c r="NZI11" s="348"/>
      <c r="NZJ11" s="348"/>
      <c r="NZK11" s="348"/>
      <c r="NZL11" s="348"/>
      <c r="NZM11" s="348"/>
      <c r="NZN11" s="348"/>
      <c r="NZO11" s="348"/>
      <c r="NZP11" s="348"/>
      <c r="NZQ11" s="348"/>
      <c r="NZR11" s="348"/>
      <c r="NZS11" s="348"/>
      <c r="NZT11" s="348"/>
      <c r="NZU11" s="348"/>
      <c r="NZV11" s="348"/>
      <c r="NZW11" s="348"/>
      <c r="NZX11" s="348"/>
      <c r="NZY11" s="348"/>
      <c r="NZZ11" s="348"/>
      <c r="OAA11" s="348"/>
      <c r="OAB11" s="348"/>
      <c r="OAC11" s="348"/>
      <c r="OAD11" s="348"/>
      <c r="OAE11" s="348"/>
      <c r="OAF11" s="348"/>
      <c r="OAG11" s="348"/>
      <c r="OAH11" s="348"/>
      <c r="OAI11" s="348"/>
      <c r="OAJ11" s="348"/>
      <c r="OAK11" s="348"/>
      <c r="OAL11" s="348"/>
      <c r="OAM11" s="348"/>
      <c r="OAN11" s="348"/>
      <c r="OAO11" s="348"/>
      <c r="OAP11" s="348"/>
      <c r="OAQ11" s="348"/>
      <c r="OAR11" s="348"/>
      <c r="OAS11" s="348"/>
      <c r="OAT11" s="348"/>
      <c r="OAU11" s="348"/>
      <c r="OAV11" s="348"/>
      <c r="OAW11" s="348"/>
      <c r="OAX11" s="348"/>
      <c r="OAY11" s="348"/>
      <c r="OAZ11" s="348"/>
      <c r="OBA11" s="348"/>
      <c r="OBB11" s="348"/>
      <c r="OBC11" s="348"/>
      <c r="OBD11" s="348"/>
      <c r="OBE11" s="348"/>
      <c r="OBF11" s="348"/>
      <c r="OBG11" s="348"/>
      <c r="OBH11" s="348"/>
      <c r="OBI11" s="348"/>
      <c r="OBJ11" s="348"/>
      <c r="OBK11" s="348"/>
      <c r="OBL11" s="348"/>
      <c r="OBM11" s="348"/>
      <c r="OBN11" s="348"/>
      <c r="OBO11" s="348"/>
      <c r="OBP11" s="348"/>
      <c r="OBQ11" s="348"/>
      <c r="OBR11" s="348"/>
      <c r="OBS11" s="348"/>
      <c r="OBT11" s="348"/>
      <c r="OBU11" s="348"/>
      <c r="OBV11" s="348"/>
      <c r="OBW11" s="348"/>
      <c r="OBX11" s="348"/>
      <c r="OBY11" s="348"/>
      <c r="OBZ11" s="348"/>
      <c r="OCA11" s="348"/>
      <c r="OCB11" s="348"/>
      <c r="OCC11" s="348"/>
      <c r="OCD11" s="348"/>
      <c r="OCE11" s="348"/>
      <c r="OCF11" s="348"/>
      <c r="OCG11" s="348"/>
      <c r="OCH11" s="348"/>
      <c r="OCI11" s="348"/>
      <c r="OCJ11" s="348"/>
      <c r="OCK11" s="348"/>
      <c r="OCL11" s="348"/>
      <c r="OCM11" s="348"/>
      <c r="OCN11" s="348"/>
      <c r="OCO11" s="348"/>
      <c r="OCP11" s="348"/>
      <c r="OCQ11" s="348"/>
      <c r="OCR11" s="348"/>
      <c r="OCS11" s="348"/>
      <c r="OCT11" s="348"/>
      <c r="OCU11" s="348"/>
      <c r="OCV11" s="348"/>
      <c r="OCW11" s="348"/>
      <c r="OCX11" s="348"/>
      <c r="OCY11" s="348"/>
      <c r="OCZ11" s="348"/>
      <c r="ODA11" s="348"/>
      <c r="ODB11" s="348"/>
      <c r="ODC11" s="348"/>
      <c r="ODD11" s="348"/>
      <c r="ODE11" s="348"/>
      <c r="ODF11" s="348"/>
      <c r="ODG11" s="348"/>
      <c r="ODH11" s="348"/>
      <c r="ODI11" s="348"/>
      <c r="ODJ11" s="348"/>
      <c r="ODK11" s="348"/>
      <c r="ODL11" s="348"/>
      <c r="ODM11" s="348"/>
      <c r="ODN11" s="348"/>
      <c r="ODO11" s="348"/>
      <c r="ODP11" s="348"/>
      <c r="ODQ11" s="348"/>
      <c r="ODR11" s="348"/>
      <c r="ODS11" s="348"/>
      <c r="ODT11" s="348"/>
      <c r="ODU11" s="348"/>
      <c r="ODV11" s="348"/>
      <c r="ODW11" s="348"/>
      <c r="ODX11" s="348"/>
      <c r="ODY11" s="348"/>
      <c r="ODZ11" s="348"/>
      <c r="OEA11" s="348"/>
      <c r="OEB11" s="348"/>
      <c r="OEC11" s="348"/>
      <c r="OED11" s="348"/>
      <c r="OEE11" s="348"/>
      <c r="OEF11" s="348"/>
      <c r="OEG11" s="348"/>
      <c r="OEH11" s="348"/>
      <c r="OEI11" s="348"/>
      <c r="OEJ11" s="348"/>
      <c r="OEK11" s="348"/>
      <c r="OEL11" s="348"/>
      <c r="OEM11" s="348"/>
      <c r="OEN11" s="348"/>
      <c r="OEO11" s="348"/>
      <c r="OEP11" s="348"/>
      <c r="OEQ11" s="348"/>
      <c r="OER11" s="348"/>
      <c r="OES11" s="348"/>
      <c r="OET11" s="348"/>
      <c r="OEU11" s="348"/>
      <c r="OEV11" s="348"/>
      <c r="OEW11" s="348"/>
      <c r="OEX11" s="348"/>
      <c r="OEY11" s="348"/>
      <c r="OEZ11" s="348"/>
      <c r="OFA11" s="348"/>
      <c r="OFB11" s="348"/>
      <c r="OFC11" s="348"/>
      <c r="OFD11" s="348"/>
      <c r="OFE11" s="348"/>
      <c r="OFF11" s="348"/>
      <c r="OFG11" s="348"/>
      <c r="OFH11" s="348"/>
      <c r="OFI11" s="348"/>
      <c r="OFJ11" s="348"/>
      <c r="OFK11" s="348"/>
      <c r="OFL11" s="348"/>
      <c r="OFM11" s="348"/>
      <c r="OFN11" s="348"/>
      <c r="OFO11" s="348"/>
      <c r="OFP11" s="348"/>
      <c r="OFQ11" s="348"/>
      <c r="OFR11" s="348"/>
      <c r="OFS11" s="348"/>
      <c r="OFT11" s="348"/>
      <c r="OFU11" s="348"/>
      <c r="OFV11" s="348"/>
      <c r="OFW11" s="348"/>
      <c r="OFX11" s="348"/>
      <c r="OFY11" s="348"/>
      <c r="OFZ11" s="348"/>
      <c r="OGA11" s="348"/>
      <c r="OGB11" s="348"/>
      <c r="OGC11" s="348"/>
      <c r="OGD11" s="348"/>
      <c r="OGE11" s="348"/>
      <c r="OGF11" s="348"/>
      <c r="OGG11" s="348"/>
      <c r="OGH11" s="348"/>
      <c r="OGI11" s="348"/>
      <c r="OGJ11" s="348"/>
      <c r="OGK11" s="348"/>
      <c r="OGL11" s="348"/>
      <c r="OGM11" s="348"/>
      <c r="OGN11" s="348"/>
      <c r="OGO11" s="348"/>
      <c r="OGP11" s="348"/>
      <c r="OGQ11" s="348"/>
      <c r="OGR11" s="348"/>
      <c r="OGS11" s="348"/>
      <c r="OGT11" s="348"/>
      <c r="OGU11" s="348"/>
      <c r="OGV11" s="348"/>
      <c r="OGW11" s="348"/>
      <c r="OGX11" s="348"/>
      <c r="OGY11" s="348"/>
      <c r="OGZ11" s="348"/>
      <c r="OHA11" s="348"/>
      <c r="OHB11" s="348"/>
      <c r="OHC11" s="348"/>
      <c r="OHD11" s="348"/>
      <c r="OHE11" s="348"/>
      <c r="OHF11" s="348"/>
      <c r="OHG11" s="348"/>
      <c r="OHH11" s="348"/>
      <c r="OHI11" s="348"/>
      <c r="OHJ11" s="348"/>
      <c r="OHK11" s="348"/>
      <c r="OHL11" s="348"/>
      <c r="OHM11" s="348"/>
      <c r="OHN11" s="348"/>
      <c r="OHO11" s="348"/>
      <c r="OHP11" s="348"/>
      <c r="OHQ11" s="348"/>
      <c r="OHR11" s="348"/>
      <c r="OHS11" s="348"/>
      <c r="OHT11" s="348"/>
      <c r="OHU11" s="348"/>
      <c r="OHV11" s="348"/>
      <c r="OHW11" s="348"/>
      <c r="OHX11" s="348"/>
      <c r="OHY11" s="348"/>
      <c r="OHZ11" s="348"/>
      <c r="OIA11" s="348"/>
      <c r="OIB11" s="348"/>
      <c r="OIC11" s="348"/>
      <c r="OID11" s="348"/>
      <c r="OIE11" s="348"/>
      <c r="OIF11" s="348"/>
      <c r="OIG11" s="348"/>
      <c r="OIH11" s="348"/>
      <c r="OII11" s="348"/>
      <c r="OIJ11" s="348"/>
      <c r="OIK11" s="348"/>
      <c r="OIL11" s="348"/>
      <c r="OIM11" s="348"/>
      <c r="OIN11" s="348"/>
      <c r="OIO11" s="348"/>
      <c r="OIP11" s="348"/>
      <c r="OIQ11" s="348"/>
      <c r="OIR11" s="348"/>
      <c r="OIS11" s="348"/>
      <c r="OIT11" s="348"/>
      <c r="OIU11" s="348"/>
      <c r="OIV11" s="348"/>
      <c r="OIW11" s="348"/>
      <c r="OIX11" s="348"/>
      <c r="OIY11" s="348"/>
      <c r="OIZ11" s="348"/>
      <c r="OJA11" s="348"/>
      <c r="OJB11" s="348"/>
      <c r="OJC11" s="348"/>
      <c r="OJD11" s="348"/>
      <c r="OJE11" s="348"/>
      <c r="OJF11" s="348"/>
      <c r="OJG11" s="348"/>
      <c r="OJH11" s="348"/>
      <c r="OJI11" s="348"/>
      <c r="OJJ11" s="348"/>
      <c r="OJK11" s="348"/>
      <c r="OJL11" s="348"/>
      <c r="OJM11" s="348"/>
      <c r="OJN11" s="348"/>
      <c r="OJO11" s="348"/>
      <c r="OJP11" s="348"/>
      <c r="OJQ11" s="348"/>
      <c r="OJR11" s="348"/>
      <c r="OJS11" s="348"/>
      <c r="OJT11" s="348"/>
      <c r="OJU11" s="348"/>
      <c r="OJV11" s="348"/>
      <c r="OJW11" s="348"/>
      <c r="OJX11" s="348"/>
      <c r="OJY11" s="348"/>
      <c r="OJZ11" s="348"/>
      <c r="OKA11" s="348"/>
      <c r="OKB11" s="348"/>
      <c r="OKC11" s="348"/>
      <c r="OKD11" s="348"/>
      <c r="OKE11" s="348"/>
      <c r="OKF11" s="348"/>
      <c r="OKG11" s="348"/>
      <c r="OKH11" s="348"/>
      <c r="OKI11" s="348"/>
      <c r="OKJ11" s="348"/>
      <c r="OKK11" s="348"/>
      <c r="OKL11" s="348"/>
      <c r="OKM11" s="348"/>
      <c r="OKN11" s="348"/>
      <c r="OKO11" s="348"/>
      <c r="OKP11" s="348"/>
      <c r="OKQ11" s="348"/>
      <c r="OKR11" s="348"/>
      <c r="OKS11" s="348"/>
      <c r="OKT11" s="348"/>
      <c r="OKU11" s="348"/>
      <c r="OKV11" s="348"/>
      <c r="OKW11" s="348"/>
      <c r="OKX11" s="348"/>
      <c r="OKY11" s="348"/>
      <c r="OKZ11" s="348"/>
      <c r="OLA11" s="348"/>
      <c r="OLB11" s="348"/>
      <c r="OLC11" s="348"/>
      <c r="OLD11" s="348"/>
      <c r="OLE11" s="348"/>
      <c r="OLF11" s="348"/>
      <c r="OLG11" s="348"/>
      <c r="OLH11" s="348"/>
      <c r="OLI11" s="348"/>
      <c r="OLJ11" s="348"/>
      <c r="OLK11" s="348"/>
      <c r="OLL11" s="348"/>
      <c r="OLM11" s="348"/>
      <c r="OLN11" s="348"/>
      <c r="OLO11" s="348"/>
      <c r="OLP11" s="348"/>
      <c r="OLQ11" s="348"/>
      <c r="OLR11" s="348"/>
      <c r="OLS11" s="348"/>
      <c r="OLT11" s="348"/>
      <c r="OLU11" s="348"/>
      <c r="OLV11" s="348"/>
      <c r="OLW11" s="348"/>
      <c r="OLX11" s="348"/>
      <c r="OLY11" s="348"/>
      <c r="OLZ11" s="348"/>
      <c r="OMA11" s="348"/>
      <c r="OMB11" s="348"/>
      <c r="OMC11" s="348"/>
      <c r="OMD11" s="348"/>
      <c r="OME11" s="348"/>
      <c r="OMF11" s="348"/>
      <c r="OMG11" s="348"/>
      <c r="OMH11" s="348"/>
      <c r="OMI11" s="348"/>
      <c r="OMJ11" s="348"/>
      <c r="OMK11" s="348"/>
      <c r="OML11" s="348"/>
      <c r="OMM11" s="348"/>
      <c r="OMN11" s="348"/>
      <c r="OMO11" s="348"/>
      <c r="OMP11" s="348"/>
      <c r="OMQ11" s="348"/>
      <c r="OMR11" s="348"/>
      <c r="OMS11" s="348"/>
      <c r="OMT11" s="348"/>
      <c r="OMU11" s="348"/>
      <c r="OMV11" s="348"/>
      <c r="OMW11" s="348"/>
      <c r="OMX11" s="348"/>
      <c r="OMY11" s="348"/>
      <c r="OMZ11" s="348"/>
      <c r="ONA11" s="348"/>
      <c r="ONB11" s="348"/>
      <c r="ONC11" s="348"/>
      <c r="OND11" s="348"/>
      <c r="ONE11" s="348"/>
      <c r="ONF11" s="348"/>
      <c r="ONG11" s="348"/>
      <c r="ONH11" s="348"/>
      <c r="ONI11" s="348"/>
      <c r="ONJ11" s="348"/>
      <c r="ONK11" s="348"/>
      <c r="ONL11" s="348"/>
      <c r="ONM11" s="348"/>
      <c r="ONN11" s="348"/>
      <c r="ONO11" s="348"/>
      <c r="ONP11" s="348"/>
      <c r="ONQ11" s="348"/>
      <c r="ONR11" s="348"/>
      <c r="ONS11" s="348"/>
      <c r="ONT11" s="348"/>
      <c r="ONU11" s="348"/>
      <c r="ONV11" s="348"/>
      <c r="ONW11" s="348"/>
      <c r="ONX11" s="348"/>
      <c r="ONY11" s="348"/>
      <c r="ONZ11" s="348"/>
      <c r="OOA11" s="348"/>
      <c r="OOB11" s="348"/>
      <c r="OOC11" s="348"/>
      <c r="OOD11" s="348"/>
      <c r="OOE11" s="348"/>
      <c r="OOF11" s="348"/>
      <c r="OOG11" s="348"/>
      <c r="OOH11" s="348"/>
      <c r="OOI11" s="348"/>
      <c r="OOJ11" s="348"/>
      <c r="OOK11" s="348"/>
      <c r="OOL11" s="348"/>
      <c r="OOM11" s="348"/>
      <c r="OON11" s="348"/>
      <c r="OOO11" s="348"/>
      <c r="OOP11" s="348"/>
      <c r="OOQ11" s="348"/>
      <c r="OOR11" s="348"/>
      <c r="OOS11" s="348"/>
      <c r="OOT11" s="348"/>
      <c r="OOU11" s="348"/>
      <c r="OOV11" s="348"/>
      <c r="OOW11" s="348"/>
      <c r="OOX11" s="348"/>
      <c r="OOY11" s="348"/>
      <c r="OOZ11" s="348"/>
      <c r="OPA11" s="348"/>
      <c r="OPB11" s="348"/>
      <c r="OPC11" s="348"/>
      <c r="OPD11" s="348"/>
      <c r="OPE11" s="348"/>
      <c r="OPF11" s="348"/>
      <c r="OPG11" s="348"/>
      <c r="OPH11" s="348"/>
      <c r="OPI11" s="348"/>
      <c r="OPJ11" s="348"/>
      <c r="OPK11" s="348"/>
      <c r="OPL11" s="348"/>
      <c r="OPM11" s="348"/>
      <c r="OPN11" s="348"/>
      <c r="OPO11" s="348"/>
      <c r="OPP11" s="348"/>
      <c r="OPQ11" s="348"/>
      <c r="OPR11" s="348"/>
      <c r="OPS11" s="348"/>
      <c r="OPT11" s="348"/>
      <c r="OPU11" s="348"/>
      <c r="OPV11" s="348"/>
      <c r="OPW11" s="348"/>
      <c r="OPX11" s="348"/>
      <c r="OPY11" s="348"/>
      <c r="OPZ11" s="348"/>
      <c r="OQA11" s="348"/>
      <c r="OQB11" s="348"/>
      <c r="OQC11" s="348"/>
      <c r="OQD11" s="348"/>
      <c r="OQE11" s="348"/>
      <c r="OQF11" s="348"/>
      <c r="OQG11" s="348"/>
      <c r="OQH11" s="348"/>
      <c r="OQI11" s="348"/>
      <c r="OQJ11" s="348"/>
      <c r="OQK11" s="348"/>
      <c r="OQL11" s="348"/>
      <c r="OQM11" s="348"/>
      <c r="OQN11" s="348"/>
      <c r="OQO11" s="348"/>
      <c r="OQP11" s="348"/>
      <c r="OQQ11" s="348"/>
      <c r="OQR11" s="348"/>
      <c r="OQS11" s="348"/>
      <c r="OQT11" s="348"/>
      <c r="OQU11" s="348"/>
      <c r="OQV11" s="348"/>
      <c r="OQW11" s="348"/>
      <c r="OQX11" s="348"/>
      <c r="OQY11" s="348"/>
      <c r="OQZ11" s="348"/>
      <c r="ORA11" s="348"/>
      <c r="ORB11" s="348"/>
      <c r="ORC11" s="348"/>
      <c r="ORD11" s="348"/>
      <c r="ORE11" s="348"/>
      <c r="ORF11" s="348"/>
      <c r="ORG11" s="348"/>
      <c r="ORH11" s="348"/>
      <c r="ORI11" s="348"/>
      <c r="ORJ11" s="348"/>
      <c r="ORK11" s="348"/>
      <c r="ORL11" s="348"/>
      <c r="ORM11" s="348"/>
      <c r="ORN11" s="348"/>
      <c r="ORO11" s="348"/>
      <c r="ORP11" s="348"/>
      <c r="ORQ11" s="348"/>
      <c r="ORR11" s="348"/>
      <c r="ORS11" s="348"/>
      <c r="ORT11" s="348"/>
      <c r="ORU11" s="348"/>
      <c r="ORV11" s="348"/>
      <c r="ORW11" s="348"/>
      <c r="ORX11" s="348"/>
      <c r="ORY11" s="348"/>
      <c r="ORZ11" s="348"/>
      <c r="OSA11" s="348"/>
      <c r="OSB11" s="348"/>
      <c r="OSC11" s="348"/>
      <c r="OSD11" s="348"/>
      <c r="OSE11" s="348"/>
      <c r="OSF11" s="348"/>
      <c r="OSG11" s="348"/>
      <c r="OSH11" s="348"/>
      <c r="OSI11" s="348"/>
      <c r="OSJ11" s="348"/>
      <c r="OSK11" s="348"/>
      <c r="OSL11" s="348"/>
      <c r="OSM11" s="348"/>
      <c r="OSN11" s="348"/>
      <c r="OSO11" s="348"/>
      <c r="OSP11" s="348"/>
      <c r="OSQ11" s="348"/>
      <c r="OSR11" s="348"/>
      <c r="OSS11" s="348"/>
      <c r="OST11" s="348"/>
      <c r="OSU11" s="348"/>
      <c r="OSV11" s="348"/>
      <c r="OSW11" s="348"/>
      <c r="OSX11" s="348"/>
      <c r="OSY11" s="348"/>
      <c r="OSZ11" s="348"/>
      <c r="OTA11" s="348"/>
      <c r="OTB11" s="348"/>
      <c r="OTC11" s="348"/>
      <c r="OTD11" s="348"/>
      <c r="OTE11" s="348"/>
      <c r="OTF11" s="348"/>
      <c r="OTG11" s="348"/>
      <c r="OTH11" s="348"/>
      <c r="OTI11" s="348"/>
      <c r="OTJ11" s="348"/>
      <c r="OTK11" s="348"/>
      <c r="OTL11" s="348"/>
      <c r="OTM11" s="348"/>
      <c r="OTN11" s="348"/>
      <c r="OTO11" s="348"/>
      <c r="OTP11" s="348"/>
      <c r="OTQ11" s="348"/>
      <c r="OTR11" s="348"/>
      <c r="OTS11" s="348"/>
      <c r="OTT11" s="348"/>
      <c r="OTU11" s="348"/>
      <c r="OTV11" s="348"/>
      <c r="OTW11" s="348"/>
      <c r="OTX11" s="348"/>
      <c r="OTY11" s="348"/>
      <c r="OTZ11" s="348"/>
      <c r="OUA11" s="348"/>
      <c r="OUB11" s="348"/>
      <c r="OUC11" s="348"/>
      <c r="OUD11" s="348"/>
      <c r="OUE11" s="348"/>
      <c r="OUF11" s="348"/>
      <c r="OUG11" s="348"/>
      <c r="OUH11" s="348"/>
      <c r="OUI11" s="348"/>
      <c r="OUJ11" s="348"/>
      <c r="OUK11" s="348"/>
      <c r="OUL11" s="348"/>
      <c r="OUM11" s="348"/>
      <c r="OUN11" s="348"/>
      <c r="OUO11" s="348"/>
      <c r="OUP11" s="348"/>
      <c r="OUQ11" s="348"/>
      <c r="OUR11" s="348"/>
      <c r="OUS11" s="348"/>
      <c r="OUT11" s="348"/>
      <c r="OUU11" s="348"/>
      <c r="OUV11" s="348"/>
      <c r="OUW11" s="348"/>
      <c r="OUX11" s="348"/>
      <c r="OUY11" s="348"/>
      <c r="OUZ11" s="348"/>
      <c r="OVA11" s="348"/>
      <c r="OVB11" s="348"/>
      <c r="OVC11" s="348"/>
      <c r="OVD11" s="348"/>
      <c r="OVE11" s="348"/>
      <c r="OVF11" s="348"/>
      <c r="OVG11" s="348"/>
      <c r="OVH11" s="348"/>
      <c r="OVI11" s="348"/>
      <c r="OVJ11" s="348"/>
      <c r="OVK11" s="348"/>
      <c r="OVL11" s="348"/>
      <c r="OVM11" s="348"/>
      <c r="OVN11" s="348"/>
      <c r="OVO11" s="348"/>
      <c r="OVP11" s="348"/>
      <c r="OVQ11" s="348"/>
      <c r="OVR11" s="348"/>
      <c r="OVS11" s="348"/>
      <c r="OVT11" s="348"/>
      <c r="OVU11" s="348"/>
      <c r="OVV11" s="348"/>
      <c r="OVW11" s="348"/>
      <c r="OVX11" s="348"/>
      <c r="OVY11" s="348"/>
      <c r="OVZ11" s="348"/>
      <c r="OWA11" s="348"/>
      <c r="OWB11" s="348"/>
      <c r="OWC11" s="348"/>
      <c r="OWD11" s="348"/>
      <c r="OWE11" s="348"/>
      <c r="OWF11" s="348"/>
      <c r="OWG11" s="348"/>
      <c r="OWH11" s="348"/>
      <c r="OWI11" s="348"/>
      <c r="OWJ11" s="348"/>
      <c r="OWK11" s="348"/>
      <c r="OWL11" s="348"/>
      <c r="OWM11" s="348"/>
      <c r="OWN11" s="348"/>
      <c r="OWO11" s="348"/>
      <c r="OWP11" s="348"/>
      <c r="OWQ11" s="348"/>
      <c r="OWR11" s="348"/>
      <c r="OWS11" s="348"/>
      <c r="OWT11" s="348"/>
      <c r="OWU11" s="348"/>
      <c r="OWV11" s="348"/>
      <c r="OWW11" s="348"/>
      <c r="OWX11" s="348"/>
      <c r="OWY11" s="348"/>
      <c r="OWZ11" s="348"/>
      <c r="OXA11" s="348"/>
      <c r="OXB11" s="348"/>
      <c r="OXC11" s="348"/>
      <c r="OXD11" s="348"/>
      <c r="OXE11" s="348"/>
      <c r="OXF11" s="348"/>
      <c r="OXG11" s="348"/>
      <c r="OXH11" s="348"/>
      <c r="OXI11" s="348"/>
      <c r="OXJ11" s="348"/>
      <c r="OXK11" s="348"/>
      <c r="OXL11" s="348"/>
      <c r="OXM11" s="348"/>
      <c r="OXN11" s="348"/>
      <c r="OXO11" s="348"/>
      <c r="OXP11" s="348"/>
      <c r="OXQ11" s="348"/>
      <c r="OXR11" s="348"/>
      <c r="OXS11" s="348"/>
      <c r="OXT11" s="348"/>
      <c r="OXU11" s="348"/>
      <c r="OXV11" s="348"/>
      <c r="OXW11" s="348"/>
      <c r="OXX11" s="348"/>
      <c r="OXY11" s="348"/>
      <c r="OXZ11" s="348"/>
      <c r="OYA11" s="348"/>
      <c r="OYB11" s="348"/>
      <c r="OYC11" s="348"/>
      <c r="OYD11" s="348"/>
      <c r="OYE11" s="348"/>
      <c r="OYF11" s="348"/>
      <c r="OYG11" s="348"/>
      <c r="OYH11" s="348"/>
      <c r="OYI11" s="348"/>
      <c r="OYJ11" s="348"/>
      <c r="OYK11" s="348"/>
      <c r="OYL11" s="348"/>
      <c r="OYM11" s="348"/>
      <c r="OYN11" s="348"/>
      <c r="OYO11" s="348"/>
      <c r="OYP11" s="348"/>
      <c r="OYQ11" s="348"/>
      <c r="OYR11" s="348"/>
      <c r="OYS11" s="348"/>
      <c r="OYT11" s="348"/>
      <c r="OYU11" s="348"/>
      <c r="OYV11" s="348"/>
      <c r="OYW11" s="348"/>
      <c r="OYX11" s="348"/>
      <c r="OYY11" s="348"/>
      <c r="OYZ11" s="348"/>
      <c r="OZA11" s="348"/>
      <c r="OZB11" s="348"/>
      <c r="OZC11" s="348"/>
      <c r="OZD11" s="348"/>
      <c r="OZE11" s="348"/>
      <c r="OZF11" s="348"/>
      <c r="OZG11" s="348"/>
      <c r="OZH11" s="348"/>
      <c r="OZI11" s="348"/>
      <c r="OZJ11" s="348"/>
      <c r="OZK11" s="348"/>
      <c r="OZL11" s="348"/>
      <c r="OZM11" s="348"/>
      <c r="OZN11" s="348"/>
      <c r="OZO11" s="348"/>
      <c r="OZP11" s="348"/>
      <c r="OZQ11" s="348"/>
      <c r="OZR11" s="348"/>
      <c r="OZS11" s="348"/>
      <c r="OZT11" s="348"/>
      <c r="OZU11" s="348"/>
      <c r="OZV11" s="348"/>
      <c r="OZW11" s="348"/>
      <c r="OZX11" s="348"/>
      <c r="OZY11" s="348"/>
      <c r="OZZ11" s="348"/>
      <c r="PAA11" s="348"/>
      <c r="PAB11" s="348"/>
      <c r="PAC11" s="348"/>
      <c r="PAD11" s="348"/>
      <c r="PAE11" s="348"/>
      <c r="PAF11" s="348"/>
      <c r="PAG11" s="348"/>
      <c r="PAH11" s="348"/>
      <c r="PAI11" s="348"/>
      <c r="PAJ11" s="348"/>
      <c r="PAK11" s="348"/>
      <c r="PAL11" s="348"/>
      <c r="PAM11" s="348"/>
      <c r="PAN11" s="348"/>
      <c r="PAO11" s="348"/>
      <c r="PAP11" s="348"/>
      <c r="PAQ11" s="348"/>
      <c r="PAR11" s="348"/>
      <c r="PAS11" s="348"/>
      <c r="PAT11" s="348"/>
      <c r="PAU11" s="348"/>
      <c r="PAV11" s="348"/>
      <c r="PAW11" s="348"/>
      <c r="PAX11" s="348"/>
      <c r="PAY11" s="348"/>
      <c r="PAZ11" s="348"/>
      <c r="PBA11" s="348"/>
      <c r="PBB11" s="348"/>
      <c r="PBC11" s="348"/>
      <c r="PBD11" s="348"/>
      <c r="PBE11" s="348"/>
      <c r="PBF11" s="348"/>
      <c r="PBG11" s="348"/>
      <c r="PBH11" s="348"/>
      <c r="PBI11" s="348"/>
      <c r="PBJ11" s="348"/>
      <c r="PBK11" s="348"/>
      <c r="PBL11" s="348"/>
      <c r="PBM11" s="348"/>
      <c r="PBN11" s="348"/>
      <c r="PBO11" s="348"/>
      <c r="PBP11" s="348"/>
      <c r="PBQ11" s="348"/>
      <c r="PBR11" s="348"/>
      <c r="PBS11" s="348"/>
      <c r="PBT11" s="348"/>
      <c r="PBU11" s="348"/>
      <c r="PBV11" s="348"/>
      <c r="PBW11" s="348"/>
      <c r="PBX11" s="348"/>
      <c r="PBY11" s="348"/>
      <c r="PBZ11" s="348"/>
      <c r="PCA11" s="348"/>
      <c r="PCB11" s="348"/>
      <c r="PCC11" s="348"/>
      <c r="PCD11" s="348"/>
      <c r="PCE11" s="348"/>
      <c r="PCF11" s="348"/>
      <c r="PCG11" s="348"/>
      <c r="PCH11" s="348"/>
      <c r="PCI11" s="348"/>
      <c r="PCJ11" s="348"/>
      <c r="PCK11" s="348"/>
      <c r="PCL11" s="348"/>
      <c r="PCM11" s="348"/>
      <c r="PCN11" s="348"/>
      <c r="PCO11" s="348"/>
      <c r="PCP11" s="348"/>
      <c r="PCQ11" s="348"/>
      <c r="PCR11" s="348"/>
      <c r="PCS11" s="348"/>
      <c r="PCT11" s="348"/>
      <c r="PCU11" s="348"/>
      <c r="PCV11" s="348"/>
      <c r="PCW11" s="348"/>
      <c r="PCX11" s="348"/>
      <c r="PCY11" s="348"/>
      <c r="PCZ11" s="348"/>
      <c r="PDA11" s="348"/>
      <c r="PDB11" s="348"/>
      <c r="PDC11" s="348"/>
      <c r="PDD11" s="348"/>
      <c r="PDE11" s="348"/>
      <c r="PDF11" s="348"/>
      <c r="PDG11" s="348"/>
      <c r="PDH11" s="348"/>
      <c r="PDI11" s="348"/>
      <c r="PDJ11" s="348"/>
      <c r="PDK11" s="348"/>
      <c r="PDL11" s="348"/>
      <c r="PDM11" s="348"/>
      <c r="PDN11" s="348"/>
      <c r="PDO11" s="348"/>
      <c r="PDP11" s="348"/>
      <c r="PDQ11" s="348"/>
      <c r="PDR11" s="348"/>
      <c r="PDS11" s="348"/>
      <c r="PDT11" s="348"/>
      <c r="PDU11" s="348"/>
      <c r="PDV11" s="348"/>
      <c r="PDW11" s="348"/>
      <c r="PDX11" s="348"/>
      <c r="PDY11" s="348"/>
      <c r="PDZ11" s="348"/>
      <c r="PEA11" s="348"/>
      <c r="PEB11" s="348"/>
      <c r="PEC11" s="348"/>
      <c r="PED11" s="348"/>
      <c r="PEE11" s="348"/>
      <c r="PEF11" s="348"/>
      <c r="PEG11" s="348"/>
      <c r="PEH11" s="348"/>
      <c r="PEI11" s="348"/>
      <c r="PEJ11" s="348"/>
      <c r="PEK11" s="348"/>
      <c r="PEL11" s="348"/>
      <c r="PEM11" s="348"/>
      <c r="PEN11" s="348"/>
      <c r="PEO11" s="348"/>
      <c r="PEP11" s="348"/>
      <c r="PEQ11" s="348"/>
      <c r="PER11" s="348"/>
      <c r="PES11" s="348"/>
      <c r="PET11" s="348"/>
      <c r="PEU11" s="348"/>
      <c r="PEV11" s="348"/>
      <c r="PEW11" s="348"/>
      <c r="PEX11" s="348"/>
      <c r="PEY11" s="348"/>
      <c r="PEZ11" s="348"/>
      <c r="PFA11" s="348"/>
      <c r="PFB11" s="348"/>
      <c r="PFC11" s="348"/>
      <c r="PFD11" s="348"/>
      <c r="PFE11" s="348"/>
      <c r="PFF11" s="348"/>
      <c r="PFG11" s="348"/>
      <c r="PFH11" s="348"/>
      <c r="PFI11" s="348"/>
      <c r="PFJ11" s="348"/>
      <c r="PFK11" s="348"/>
      <c r="PFL11" s="348"/>
      <c r="PFM11" s="348"/>
      <c r="PFN11" s="348"/>
      <c r="PFO11" s="348"/>
      <c r="PFP11" s="348"/>
      <c r="PFQ11" s="348"/>
      <c r="PFR11" s="348"/>
      <c r="PFS11" s="348"/>
      <c r="PFT11" s="348"/>
      <c r="PFU11" s="348"/>
      <c r="PFV11" s="348"/>
      <c r="PFW11" s="348"/>
      <c r="PFX11" s="348"/>
      <c r="PFY11" s="348"/>
      <c r="PFZ11" s="348"/>
      <c r="PGA11" s="348"/>
      <c r="PGB11" s="348"/>
      <c r="PGC11" s="348"/>
      <c r="PGD11" s="348"/>
      <c r="PGE11" s="348"/>
      <c r="PGF11" s="348"/>
      <c r="PGG11" s="348"/>
      <c r="PGH11" s="348"/>
      <c r="PGI11" s="348"/>
      <c r="PGJ11" s="348"/>
      <c r="PGK11" s="348"/>
      <c r="PGL11" s="348"/>
      <c r="PGM11" s="348"/>
      <c r="PGN11" s="348"/>
      <c r="PGO11" s="348"/>
      <c r="PGP11" s="348"/>
      <c r="PGQ11" s="348"/>
      <c r="PGR11" s="348"/>
      <c r="PGS11" s="348"/>
      <c r="PGT11" s="348"/>
      <c r="PGU11" s="348"/>
      <c r="PGV11" s="348"/>
      <c r="PGW11" s="348"/>
      <c r="PGX11" s="348"/>
      <c r="PGY11" s="348"/>
      <c r="PGZ11" s="348"/>
      <c r="PHA11" s="348"/>
      <c r="PHB11" s="348"/>
      <c r="PHC11" s="348"/>
      <c r="PHD11" s="348"/>
      <c r="PHE11" s="348"/>
      <c r="PHF11" s="348"/>
      <c r="PHG11" s="348"/>
      <c r="PHH11" s="348"/>
      <c r="PHI11" s="348"/>
      <c r="PHJ11" s="348"/>
      <c r="PHK11" s="348"/>
      <c r="PHL11" s="348"/>
      <c r="PHM11" s="348"/>
      <c r="PHN11" s="348"/>
      <c r="PHO11" s="348"/>
      <c r="PHP11" s="348"/>
      <c r="PHQ11" s="348"/>
      <c r="PHR11" s="348"/>
      <c r="PHS11" s="348"/>
      <c r="PHT11" s="348"/>
      <c r="PHU11" s="348"/>
      <c r="PHV11" s="348"/>
      <c r="PHW11" s="348"/>
      <c r="PHX11" s="348"/>
      <c r="PHY11" s="348"/>
      <c r="PHZ11" s="348"/>
      <c r="PIA11" s="348"/>
      <c r="PIB11" s="348"/>
      <c r="PIC11" s="348"/>
      <c r="PID11" s="348"/>
      <c r="PIE11" s="348"/>
      <c r="PIF11" s="348"/>
      <c r="PIG11" s="348"/>
      <c r="PIH11" s="348"/>
      <c r="PII11" s="348"/>
      <c r="PIJ11" s="348"/>
      <c r="PIK11" s="348"/>
      <c r="PIL11" s="348"/>
      <c r="PIM11" s="348"/>
      <c r="PIN11" s="348"/>
      <c r="PIO11" s="348"/>
      <c r="PIP11" s="348"/>
      <c r="PIQ11" s="348"/>
      <c r="PIR11" s="348"/>
      <c r="PIS11" s="348"/>
      <c r="PIT11" s="348"/>
      <c r="PIU11" s="348"/>
      <c r="PIV11" s="348"/>
      <c r="PIW11" s="348"/>
      <c r="PIX11" s="348"/>
      <c r="PIY11" s="348"/>
      <c r="PIZ11" s="348"/>
      <c r="PJA11" s="348"/>
      <c r="PJB11" s="348"/>
      <c r="PJC11" s="348"/>
      <c r="PJD11" s="348"/>
      <c r="PJE11" s="348"/>
      <c r="PJF11" s="348"/>
      <c r="PJG11" s="348"/>
      <c r="PJH11" s="348"/>
      <c r="PJI11" s="348"/>
      <c r="PJJ11" s="348"/>
      <c r="PJK11" s="348"/>
      <c r="PJL11" s="348"/>
      <c r="PJM11" s="348"/>
      <c r="PJN11" s="348"/>
      <c r="PJO11" s="348"/>
      <c r="PJP11" s="348"/>
      <c r="PJQ11" s="348"/>
      <c r="PJR11" s="348"/>
      <c r="PJS11" s="348"/>
      <c r="PJT11" s="348"/>
      <c r="PJU11" s="348"/>
      <c r="PJV11" s="348"/>
      <c r="PJW11" s="348"/>
      <c r="PJX11" s="348"/>
      <c r="PJY11" s="348"/>
      <c r="PJZ11" s="348"/>
      <c r="PKA11" s="348"/>
      <c r="PKB11" s="348"/>
      <c r="PKC11" s="348"/>
      <c r="PKD11" s="348"/>
      <c r="PKE11" s="348"/>
      <c r="PKF11" s="348"/>
      <c r="PKG11" s="348"/>
      <c r="PKH11" s="348"/>
      <c r="PKI11" s="348"/>
      <c r="PKJ11" s="348"/>
      <c r="PKK11" s="348"/>
      <c r="PKL11" s="348"/>
      <c r="PKM11" s="348"/>
      <c r="PKN11" s="348"/>
      <c r="PKO11" s="348"/>
      <c r="PKP11" s="348"/>
      <c r="PKQ11" s="348"/>
      <c r="PKR11" s="348"/>
      <c r="PKS11" s="348"/>
      <c r="PKT11" s="348"/>
      <c r="PKU11" s="348"/>
      <c r="PKV11" s="348"/>
      <c r="PKW11" s="348"/>
      <c r="PKX11" s="348"/>
      <c r="PKY11" s="348"/>
      <c r="PKZ11" s="348"/>
      <c r="PLA11" s="348"/>
      <c r="PLB11" s="348"/>
      <c r="PLC11" s="348"/>
      <c r="PLD11" s="348"/>
      <c r="PLE11" s="348"/>
      <c r="PLF11" s="348"/>
      <c r="PLG11" s="348"/>
      <c r="PLH11" s="348"/>
      <c r="PLI11" s="348"/>
      <c r="PLJ11" s="348"/>
      <c r="PLK11" s="348"/>
      <c r="PLL11" s="348"/>
      <c r="PLM11" s="348"/>
      <c r="PLN11" s="348"/>
      <c r="PLO11" s="348"/>
      <c r="PLP11" s="348"/>
      <c r="PLQ11" s="348"/>
      <c r="PLR11" s="348"/>
      <c r="PLS11" s="348"/>
      <c r="PLT11" s="348"/>
      <c r="PLU11" s="348"/>
      <c r="PLV11" s="348"/>
      <c r="PLW11" s="348"/>
      <c r="PLX11" s="348"/>
      <c r="PLY11" s="348"/>
      <c r="PLZ11" s="348"/>
      <c r="PMA11" s="348"/>
      <c r="PMB11" s="348"/>
      <c r="PMC11" s="348"/>
      <c r="PMD11" s="348"/>
      <c r="PME11" s="348"/>
      <c r="PMF11" s="348"/>
      <c r="PMG11" s="348"/>
      <c r="PMH11" s="348"/>
      <c r="PMI11" s="348"/>
      <c r="PMJ11" s="348"/>
      <c r="PMK11" s="348"/>
      <c r="PML11" s="348"/>
      <c r="PMM11" s="348"/>
      <c r="PMN11" s="348"/>
      <c r="PMO11" s="348"/>
      <c r="PMP11" s="348"/>
      <c r="PMQ11" s="348"/>
      <c r="PMR11" s="348"/>
      <c r="PMS11" s="348"/>
      <c r="PMT11" s="348"/>
      <c r="PMU11" s="348"/>
      <c r="PMV11" s="348"/>
      <c r="PMW11" s="348"/>
      <c r="PMX11" s="348"/>
      <c r="PMY11" s="348"/>
      <c r="PMZ11" s="348"/>
      <c r="PNA11" s="348"/>
      <c r="PNB11" s="348"/>
      <c r="PNC11" s="348"/>
      <c r="PND11" s="348"/>
      <c r="PNE11" s="348"/>
      <c r="PNF11" s="348"/>
      <c r="PNG11" s="348"/>
      <c r="PNH11" s="348"/>
      <c r="PNI11" s="348"/>
      <c r="PNJ11" s="348"/>
      <c r="PNK11" s="348"/>
      <c r="PNL11" s="348"/>
      <c r="PNM11" s="348"/>
      <c r="PNN11" s="348"/>
      <c r="PNO11" s="348"/>
      <c r="PNP11" s="348"/>
      <c r="PNQ11" s="348"/>
      <c r="PNR11" s="348"/>
      <c r="PNS11" s="348"/>
      <c r="PNT11" s="348"/>
      <c r="PNU11" s="348"/>
      <c r="PNV11" s="348"/>
      <c r="PNW11" s="348"/>
      <c r="PNX11" s="348"/>
      <c r="PNY11" s="348"/>
      <c r="PNZ11" s="348"/>
      <c r="POA11" s="348"/>
      <c r="POB11" s="348"/>
      <c r="POC11" s="348"/>
      <c r="POD11" s="348"/>
      <c r="POE11" s="348"/>
      <c r="POF11" s="348"/>
      <c r="POG11" s="348"/>
      <c r="POH11" s="348"/>
      <c r="POI11" s="348"/>
      <c r="POJ11" s="348"/>
      <c r="POK11" s="348"/>
      <c r="POL11" s="348"/>
      <c r="POM11" s="348"/>
      <c r="PON11" s="348"/>
      <c r="POO11" s="348"/>
      <c r="POP11" s="348"/>
      <c r="POQ11" s="348"/>
      <c r="POR11" s="348"/>
      <c r="POS11" s="348"/>
      <c r="POT11" s="348"/>
      <c r="POU11" s="348"/>
      <c r="POV11" s="348"/>
      <c r="POW11" s="348"/>
      <c r="POX11" s="348"/>
      <c r="POY11" s="348"/>
      <c r="POZ11" s="348"/>
      <c r="PPA11" s="348"/>
      <c r="PPB11" s="348"/>
      <c r="PPC11" s="348"/>
      <c r="PPD11" s="348"/>
      <c r="PPE11" s="348"/>
      <c r="PPF11" s="348"/>
      <c r="PPG11" s="348"/>
      <c r="PPH11" s="348"/>
      <c r="PPI11" s="348"/>
      <c r="PPJ11" s="348"/>
      <c r="PPK11" s="348"/>
      <c r="PPL11" s="348"/>
      <c r="PPM11" s="348"/>
      <c r="PPN11" s="348"/>
      <c r="PPO11" s="348"/>
      <c r="PPP11" s="348"/>
      <c r="PPQ11" s="348"/>
      <c r="PPR11" s="348"/>
      <c r="PPS11" s="348"/>
      <c r="PPT11" s="348"/>
      <c r="PPU11" s="348"/>
      <c r="PPV11" s="348"/>
      <c r="PPW11" s="348"/>
      <c r="PPX11" s="348"/>
      <c r="PPY11" s="348"/>
      <c r="PPZ11" s="348"/>
      <c r="PQA11" s="348"/>
      <c r="PQB11" s="348"/>
      <c r="PQC11" s="348"/>
      <c r="PQD11" s="348"/>
      <c r="PQE11" s="348"/>
      <c r="PQF11" s="348"/>
      <c r="PQG11" s="348"/>
      <c r="PQH11" s="348"/>
      <c r="PQI11" s="348"/>
      <c r="PQJ11" s="348"/>
      <c r="PQK11" s="348"/>
      <c r="PQL11" s="348"/>
      <c r="PQM11" s="348"/>
      <c r="PQN11" s="348"/>
      <c r="PQO11" s="348"/>
      <c r="PQP11" s="348"/>
      <c r="PQQ11" s="348"/>
      <c r="PQR11" s="348"/>
      <c r="PQS11" s="348"/>
      <c r="PQT11" s="348"/>
      <c r="PQU11" s="348"/>
      <c r="PQV11" s="348"/>
      <c r="PQW11" s="348"/>
      <c r="PQX11" s="348"/>
      <c r="PQY11" s="348"/>
      <c r="PQZ11" s="348"/>
      <c r="PRA11" s="348"/>
      <c r="PRB11" s="348"/>
      <c r="PRC11" s="348"/>
      <c r="PRD11" s="348"/>
      <c r="PRE11" s="348"/>
      <c r="PRF11" s="348"/>
      <c r="PRG11" s="348"/>
      <c r="PRH11" s="348"/>
      <c r="PRI11" s="348"/>
      <c r="PRJ11" s="348"/>
      <c r="PRK11" s="348"/>
      <c r="PRL11" s="348"/>
      <c r="PRM11" s="348"/>
      <c r="PRN11" s="348"/>
      <c r="PRO11" s="348"/>
      <c r="PRP11" s="348"/>
      <c r="PRQ11" s="348"/>
      <c r="PRR11" s="348"/>
      <c r="PRS11" s="348"/>
      <c r="PRT11" s="348"/>
      <c r="PRU11" s="348"/>
      <c r="PRV11" s="348"/>
      <c r="PRW11" s="348"/>
      <c r="PRX11" s="348"/>
      <c r="PRY11" s="348"/>
      <c r="PRZ11" s="348"/>
      <c r="PSA11" s="348"/>
      <c r="PSB11" s="348"/>
      <c r="PSC11" s="348"/>
      <c r="PSD11" s="348"/>
      <c r="PSE11" s="348"/>
      <c r="PSF11" s="348"/>
      <c r="PSG11" s="348"/>
      <c r="PSH11" s="348"/>
      <c r="PSI11" s="348"/>
      <c r="PSJ11" s="348"/>
      <c r="PSK11" s="348"/>
      <c r="PSL11" s="348"/>
      <c r="PSM11" s="348"/>
      <c r="PSN11" s="348"/>
      <c r="PSO11" s="348"/>
      <c r="PSP11" s="348"/>
      <c r="PSQ11" s="348"/>
      <c r="PSR11" s="348"/>
      <c r="PSS11" s="348"/>
      <c r="PST11" s="348"/>
      <c r="PSU11" s="348"/>
      <c r="PSV11" s="348"/>
      <c r="PSW11" s="348"/>
      <c r="PSX11" s="348"/>
      <c r="PSY11" s="348"/>
      <c r="PSZ11" s="348"/>
      <c r="PTA11" s="348"/>
      <c r="PTB11" s="348"/>
      <c r="PTC11" s="348"/>
      <c r="PTD11" s="348"/>
      <c r="PTE11" s="348"/>
      <c r="PTF11" s="348"/>
      <c r="PTG11" s="348"/>
      <c r="PTH11" s="348"/>
      <c r="PTI11" s="348"/>
      <c r="PTJ11" s="348"/>
      <c r="PTK11" s="348"/>
      <c r="PTL11" s="348"/>
      <c r="PTM11" s="348"/>
      <c r="PTN11" s="348"/>
      <c r="PTO11" s="348"/>
      <c r="PTP11" s="348"/>
      <c r="PTQ11" s="348"/>
      <c r="PTR11" s="348"/>
      <c r="PTS11" s="348"/>
      <c r="PTT11" s="348"/>
      <c r="PTU11" s="348"/>
      <c r="PTV11" s="348"/>
      <c r="PTW11" s="348"/>
      <c r="PTX11" s="348"/>
      <c r="PTY11" s="348"/>
      <c r="PTZ11" s="348"/>
      <c r="PUA11" s="348"/>
      <c r="PUB11" s="348"/>
      <c r="PUC11" s="348"/>
      <c r="PUD11" s="348"/>
      <c r="PUE11" s="348"/>
      <c r="PUF11" s="348"/>
      <c r="PUG11" s="348"/>
      <c r="PUH11" s="348"/>
      <c r="PUI11" s="348"/>
      <c r="PUJ11" s="348"/>
      <c r="PUK11" s="348"/>
      <c r="PUL11" s="348"/>
      <c r="PUM11" s="348"/>
      <c r="PUN11" s="348"/>
      <c r="PUO11" s="348"/>
      <c r="PUP11" s="348"/>
      <c r="PUQ11" s="348"/>
      <c r="PUR11" s="348"/>
      <c r="PUS11" s="348"/>
      <c r="PUT11" s="348"/>
      <c r="PUU11" s="348"/>
      <c r="PUV11" s="348"/>
      <c r="PUW11" s="348"/>
      <c r="PUX11" s="348"/>
      <c r="PUY11" s="348"/>
      <c r="PUZ11" s="348"/>
      <c r="PVA11" s="348"/>
      <c r="PVB11" s="348"/>
      <c r="PVC11" s="348"/>
      <c r="PVD11" s="348"/>
      <c r="PVE11" s="348"/>
      <c r="PVF11" s="348"/>
      <c r="PVG11" s="348"/>
      <c r="PVH11" s="348"/>
      <c r="PVI11" s="348"/>
      <c r="PVJ11" s="348"/>
      <c r="PVK11" s="348"/>
      <c r="PVL11" s="348"/>
      <c r="PVM11" s="348"/>
      <c r="PVN11" s="348"/>
      <c r="PVO11" s="348"/>
      <c r="PVP11" s="348"/>
      <c r="PVQ11" s="348"/>
      <c r="PVR11" s="348"/>
      <c r="PVS11" s="348"/>
      <c r="PVT11" s="348"/>
      <c r="PVU11" s="348"/>
      <c r="PVV11" s="348"/>
      <c r="PVW11" s="348"/>
      <c r="PVX11" s="348"/>
      <c r="PVY11" s="348"/>
      <c r="PVZ11" s="348"/>
      <c r="PWA11" s="348"/>
      <c r="PWB11" s="348"/>
      <c r="PWC11" s="348"/>
      <c r="PWD11" s="348"/>
      <c r="PWE11" s="348"/>
      <c r="PWF11" s="348"/>
      <c r="PWG11" s="348"/>
      <c r="PWH11" s="348"/>
      <c r="PWI11" s="348"/>
      <c r="PWJ11" s="348"/>
      <c r="PWK11" s="348"/>
      <c r="PWL11" s="348"/>
      <c r="PWM11" s="348"/>
      <c r="PWN11" s="348"/>
      <c r="PWO11" s="348"/>
      <c r="PWP11" s="348"/>
      <c r="PWQ11" s="348"/>
      <c r="PWR11" s="348"/>
      <c r="PWS11" s="348"/>
      <c r="PWT11" s="348"/>
      <c r="PWU11" s="348"/>
      <c r="PWV11" s="348"/>
      <c r="PWW11" s="348"/>
      <c r="PWX11" s="348"/>
      <c r="PWY11" s="348"/>
      <c r="PWZ11" s="348"/>
      <c r="PXA11" s="348"/>
      <c r="PXB11" s="348"/>
      <c r="PXC11" s="348"/>
      <c r="PXD11" s="348"/>
      <c r="PXE11" s="348"/>
      <c r="PXF11" s="348"/>
      <c r="PXG11" s="348"/>
      <c r="PXH11" s="348"/>
      <c r="PXI11" s="348"/>
      <c r="PXJ11" s="348"/>
      <c r="PXK11" s="348"/>
      <c r="PXL11" s="348"/>
      <c r="PXM11" s="348"/>
      <c r="PXN11" s="348"/>
      <c r="PXO11" s="348"/>
      <c r="PXP11" s="348"/>
      <c r="PXQ11" s="348"/>
      <c r="PXR11" s="348"/>
      <c r="PXS11" s="348"/>
      <c r="PXT11" s="348"/>
      <c r="PXU11" s="348"/>
      <c r="PXV11" s="348"/>
      <c r="PXW11" s="348"/>
      <c r="PXX11" s="348"/>
      <c r="PXY11" s="348"/>
      <c r="PXZ11" s="348"/>
      <c r="PYA11" s="348"/>
      <c r="PYB11" s="348"/>
      <c r="PYC11" s="348"/>
      <c r="PYD11" s="348"/>
      <c r="PYE11" s="348"/>
      <c r="PYF11" s="348"/>
      <c r="PYG11" s="348"/>
      <c r="PYH11" s="348"/>
      <c r="PYI11" s="348"/>
      <c r="PYJ11" s="348"/>
      <c r="PYK11" s="348"/>
      <c r="PYL11" s="348"/>
      <c r="PYM11" s="348"/>
      <c r="PYN11" s="348"/>
      <c r="PYO11" s="348"/>
      <c r="PYP11" s="348"/>
      <c r="PYQ11" s="348"/>
      <c r="PYR11" s="348"/>
      <c r="PYS11" s="348"/>
      <c r="PYT11" s="348"/>
      <c r="PYU11" s="348"/>
      <c r="PYV11" s="348"/>
      <c r="PYW11" s="348"/>
      <c r="PYX11" s="348"/>
      <c r="PYY11" s="348"/>
      <c r="PYZ11" s="348"/>
      <c r="PZA11" s="348"/>
      <c r="PZB11" s="348"/>
      <c r="PZC11" s="348"/>
      <c r="PZD11" s="348"/>
      <c r="PZE11" s="348"/>
      <c r="PZF11" s="348"/>
      <c r="PZG11" s="348"/>
      <c r="PZH11" s="348"/>
      <c r="PZI11" s="348"/>
      <c r="PZJ11" s="348"/>
      <c r="PZK11" s="348"/>
      <c r="PZL11" s="348"/>
      <c r="PZM11" s="348"/>
      <c r="PZN11" s="348"/>
      <c r="PZO11" s="348"/>
      <c r="PZP11" s="348"/>
      <c r="PZQ11" s="348"/>
      <c r="PZR11" s="348"/>
      <c r="PZS11" s="348"/>
      <c r="PZT11" s="348"/>
      <c r="PZU11" s="348"/>
      <c r="PZV11" s="348"/>
      <c r="PZW11" s="348"/>
      <c r="PZX11" s="348"/>
      <c r="PZY11" s="348"/>
      <c r="PZZ11" s="348"/>
      <c r="QAA11" s="348"/>
      <c r="QAB11" s="348"/>
      <c r="QAC11" s="348"/>
      <c r="QAD11" s="348"/>
      <c r="QAE11" s="348"/>
      <c r="QAF11" s="348"/>
      <c r="QAG11" s="348"/>
      <c r="QAH11" s="348"/>
      <c r="QAI11" s="348"/>
      <c r="QAJ11" s="348"/>
      <c r="QAK11" s="348"/>
      <c r="QAL11" s="348"/>
      <c r="QAM11" s="348"/>
      <c r="QAN11" s="348"/>
      <c r="QAO11" s="348"/>
      <c r="QAP11" s="348"/>
      <c r="QAQ11" s="348"/>
      <c r="QAR11" s="348"/>
      <c r="QAS11" s="348"/>
      <c r="QAT11" s="348"/>
      <c r="QAU11" s="348"/>
      <c r="QAV11" s="348"/>
      <c r="QAW11" s="348"/>
      <c r="QAX11" s="348"/>
      <c r="QAY11" s="348"/>
      <c r="QAZ11" s="348"/>
      <c r="QBA11" s="348"/>
      <c r="QBB11" s="348"/>
      <c r="QBC11" s="348"/>
      <c r="QBD11" s="348"/>
      <c r="QBE11" s="348"/>
      <c r="QBF11" s="348"/>
      <c r="QBG11" s="348"/>
      <c r="QBH11" s="348"/>
      <c r="QBI11" s="348"/>
      <c r="QBJ11" s="348"/>
      <c r="QBK11" s="348"/>
      <c r="QBL11" s="348"/>
      <c r="QBM11" s="348"/>
      <c r="QBN11" s="348"/>
      <c r="QBO11" s="348"/>
      <c r="QBP11" s="348"/>
      <c r="QBQ11" s="348"/>
      <c r="QBR11" s="348"/>
      <c r="QBS11" s="348"/>
      <c r="QBT11" s="348"/>
      <c r="QBU11" s="348"/>
      <c r="QBV11" s="348"/>
      <c r="QBW11" s="348"/>
      <c r="QBX11" s="348"/>
      <c r="QBY11" s="348"/>
      <c r="QBZ11" s="348"/>
      <c r="QCA11" s="348"/>
      <c r="QCB11" s="348"/>
      <c r="QCC11" s="348"/>
      <c r="QCD11" s="348"/>
      <c r="QCE11" s="348"/>
      <c r="QCF11" s="348"/>
      <c r="QCG11" s="348"/>
      <c r="QCH11" s="348"/>
      <c r="QCI11" s="348"/>
      <c r="QCJ11" s="348"/>
      <c r="QCK11" s="348"/>
      <c r="QCL11" s="348"/>
      <c r="QCM11" s="348"/>
      <c r="QCN11" s="348"/>
      <c r="QCO11" s="348"/>
      <c r="QCP11" s="348"/>
      <c r="QCQ11" s="348"/>
      <c r="QCR11" s="348"/>
      <c r="QCS11" s="348"/>
      <c r="QCT11" s="348"/>
      <c r="QCU11" s="348"/>
      <c r="QCV11" s="348"/>
      <c r="QCW11" s="348"/>
      <c r="QCX11" s="348"/>
      <c r="QCY11" s="348"/>
      <c r="QCZ11" s="348"/>
      <c r="QDA11" s="348"/>
      <c r="QDB11" s="348"/>
      <c r="QDC11" s="348"/>
      <c r="QDD11" s="348"/>
      <c r="QDE11" s="348"/>
      <c r="QDF11" s="348"/>
      <c r="QDG11" s="348"/>
      <c r="QDH11" s="348"/>
      <c r="QDI11" s="348"/>
      <c r="QDJ11" s="348"/>
      <c r="QDK11" s="348"/>
      <c r="QDL11" s="348"/>
      <c r="QDM11" s="348"/>
      <c r="QDN11" s="348"/>
      <c r="QDO11" s="348"/>
      <c r="QDP11" s="348"/>
      <c r="QDQ11" s="348"/>
      <c r="QDR11" s="348"/>
      <c r="QDS11" s="348"/>
      <c r="QDT11" s="348"/>
      <c r="QDU11" s="348"/>
      <c r="QDV11" s="348"/>
      <c r="QDW11" s="348"/>
      <c r="QDX11" s="348"/>
      <c r="QDY11" s="348"/>
      <c r="QDZ11" s="348"/>
      <c r="QEA11" s="348"/>
      <c r="QEB11" s="348"/>
      <c r="QEC11" s="348"/>
      <c r="QED11" s="348"/>
      <c r="QEE11" s="348"/>
      <c r="QEF11" s="348"/>
      <c r="QEG11" s="348"/>
      <c r="QEH11" s="348"/>
      <c r="QEI11" s="348"/>
      <c r="QEJ11" s="348"/>
      <c r="QEK11" s="348"/>
      <c r="QEL11" s="348"/>
      <c r="QEM11" s="348"/>
      <c r="QEN11" s="348"/>
      <c r="QEO11" s="348"/>
      <c r="QEP11" s="348"/>
      <c r="QEQ11" s="348"/>
      <c r="QER11" s="348"/>
      <c r="QES11" s="348"/>
      <c r="QET11" s="348"/>
      <c r="QEU11" s="348"/>
      <c r="QEV11" s="348"/>
      <c r="QEW11" s="348"/>
      <c r="QEX11" s="348"/>
      <c r="QEY11" s="348"/>
      <c r="QEZ11" s="348"/>
      <c r="QFA11" s="348"/>
      <c r="QFB11" s="348"/>
      <c r="QFC11" s="348"/>
      <c r="QFD11" s="348"/>
      <c r="QFE11" s="348"/>
      <c r="QFF11" s="348"/>
      <c r="QFG11" s="348"/>
      <c r="QFH11" s="348"/>
      <c r="QFI11" s="348"/>
      <c r="QFJ11" s="348"/>
      <c r="QFK11" s="348"/>
      <c r="QFL11" s="348"/>
      <c r="QFM11" s="348"/>
      <c r="QFN11" s="348"/>
      <c r="QFO11" s="348"/>
      <c r="QFP11" s="348"/>
      <c r="QFQ11" s="348"/>
      <c r="QFR11" s="348"/>
      <c r="QFS11" s="348"/>
      <c r="QFT11" s="348"/>
      <c r="QFU11" s="348"/>
      <c r="QFV11" s="348"/>
      <c r="QFW11" s="348"/>
      <c r="QFX11" s="348"/>
      <c r="QFY11" s="348"/>
      <c r="QFZ11" s="348"/>
      <c r="QGA11" s="348"/>
      <c r="QGB11" s="348"/>
      <c r="QGC11" s="348"/>
      <c r="QGD11" s="348"/>
      <c r="QGE11" s="348"/>
      <c r="QGF11" s="348"/>
      <c r="QGG11" s="348"/>
      <c r="QGH11" s="348"/>
      <c r="QGI11" s="348"/>
      <c r="QGJ11" s="348"/>
      <c r="QGK11" s="348"/>
      <c r="QGL11" s="348"/>
      <c r="QGM11" s="348"/>
      <c r="QGN11" s="348"/>
      <c r="QGO11" s="348"/>
      <c r="QGP11" s="348"/>
      <c r="QGQ11" s="348"/>
      <c r="QGR11" s="348"/>
      <c r="QGS11" s="348"/>
      <c r="QGT11" s="348"/>
      <c r="QGU11" s="348"/>
      <c r="QGV11" s="348"/>
      <c r="QGW11" s="348"/>
      <c r="QGX11" s="348"/>
      <c r="QGY11" s="348"/>
      <c r="QGZ11" s="348"/>
      <c r="QHA11" s="348"/>
      <c r="QHB11" s="348"/>
      <c r="QHC11" s="348"/>
      <c r="QHD11" s="348"/>
      <c r="QHE11" s="348"/>
      <c r="QHF11" s="348"/>
      <c r="QHG11" s="348"/>
      <c r="QHH11" s="348"/>
      <c r="QHI11" s="348"/>
      <c r="QHJ11" s="348"/>
      <c r="QHK11" s="348"/>
      <c r="QHL11" s="348"/>
      <c r="QHM11" s="348"/>
      <c r="QHN11" s="348"/>
      <c r="QHO11" s="348"/>
      <c r="QHP11" s="348"/>
      <c r="QHQ11" s="348"/>
      <c r="QHR11" s="348"/>
      <c r="QHS11" s="348"/>
      <c r="QHT11" s="348"/>
      <c r="QHU11" s="348"/>
      <c r="QHV11" s="348"/>
      <c r="QHW11" s="348"/>
      <c r="QHX11" s="348"/>
      <c r="QHY11" s="348"/>
      <c r="QHZ11" s="348"/>
      <c r="QIA11" s="348"/>
      <c r="QIB11" s="348"/>
      <c r="QIC11" s="348"/>
      <c r="QID11" s="348"/>
      <c r="QIE11" s="348"/>
      <c r="QIF11" s="348"/>
      <c r="QIG11" s="348"/>
      <c r="QIH11" s="348"/>
      <c r="QII11" s="348"/>
      <c r="QIJ11" s="348"/>
      <c r="QIK11" s="348"/>
      <c r="QIL11" s="348"/>
      <c r="QIM11" s="348"/>
      <c r="QIN11" s="348"/>
      <c r="QIO11" s="348"/>
      <c r="QIP11" s="348"/>
      <c r="QIQ11" s="348"/>
      <c r="QIR11" s="348"/>
      <c r="QIS11" s="348"/>
      <c r="QIT11" s="348"/>
      <c r="QIU11" s="348"/>
      <c r="QIV11" s="348"/>
      <c r="QIW11" s="348"/>
      <c r="QIX11" s="348"/>
      <c r="QIY11" s="348"/>
      <c r="QIZ11" s="348"/>
      <c r="QJA11" s="348"/>
      <c r="QJB11" s="348"/>
      <c r="QJC11" s="348"/>
      <c r="QJD11" s="348"/>
      <c r="QJE11" s="348"/>
      <c r="QJF11" s="348"/>
      <c r="QJG11" s="348"/>
      <c r="QJH11" s="348"/>
      <c r="QJI11" s="348"/>
      <c r="QJJ11" s="348"/>
      <c r="QJK11" s="348"/>
      <c r="QJL11" s="348"/>
      <c r="QJM11" s="348"/>
      <c r="QJN11" s="348"/>
      <c r="QJO11" s="348"/>
      <c r="QJP11" s="348"/>
      <c r="QJQ11" s="348"/>
      <c r="QJR11" s="348"/>
      <c r="QJS11" s="348"/>
      <c r="QJT11" s="348"/>
      <c r="QJU11" s="348"/>
      <c r="QJV11" s="348"/>
      <c r="QJW11" s="348"/>
      <c r="QJX11" s="348"/>
      <c r="QJY11" s="348"/>
      <c r="QJZ11" s="348"/>
      <c r="QKA11" s="348"/>
      <c r="QKB11" s="348"/>
      <c r="QKC11" s="348"/>
      <c r="QKD11" s="348"/>
      <c r="QKE11" s="348"/>
      <c r="QKF11" s="348"/>
      <c r="QKG11" s="348"/>
      <c r="QKH11" s="348"/>
      <c r="QKI11" s="348"/>
      <c r="QKJ11" s="348"/>
      <c r="QKK11" s="348"/>
      <c r="QKL11" s="348"/>
      <c r="QKM11" s="348"/>
      <c r="QKN11" s="348"/>
      <c r="QKO11" s="348"/>
      <c r="QKP11" s="348"/>
      <c r="QKQ11" s="348"/>
      <c r="QKR11" s="348"/>
      <c r="QKS11" s="348"/>
      <c r="QKT11" s="348"/>
      <c r="QKU11" s="348"/>
      <c r="QKV11" s="348"/>
      <c r="QKW11" s="348"/>
      <c r="QKX11" s="348"/>
      <c r="QKY11" s="348"/>
      <c r="QKZ11" s="348"/>
      <c r="QLA11" s="348"/>
      <c r="QLB11" s="348"/>
      <c r="QLC11" s="348"/>
      <c r="QLD11" s="348"/>
      <c r="QLE11" s="348"/>
      <c r="QLF11" s="348"/>
      <c r="QLG11" s="348"/>
      <c r="QLH11" s="348"/>
      <c r="QLI11" s="348"/>
      <c r="QLJ11" s="348"/>
      <c r="QLK11" s="348"/>
      <c r="QLL11" s="348"/>
      <c r="QLM11" s="348"/>
      <c r="QLN11" s="348"/>
      <c r="QLO11" s="348"/>
      <c r="QLP11" s="348"/>
      <c r="QLQ11" s="348"/>
      <c r="QLR11" s="348"/>
      <c r="QLS11" s="348"/>
      <c r="QLT11" s="348"/>
      <c r="QLU11" s="348"/>
      <c r="QLV11" s="348"/>
      <c r="QLW11" s="348"/>
      <c r="QLX11" s="348"/>
      <c r="QLY11" s="348"/>
      <c r="QLZ11" s="348"/>
      <c r="QMA11" s="348"/>
      <c r="QMB11" s="348"/>
      <c r="QMC11" s="348"/>
      <c r="QMD11" s="348"/>
      <c r="QME11" s="348"/>
      <c r="QMF11" s="348"/>
      <c r="QMG11" s="348"/>
      <c r="QMH11" s="348"/>
      <c r="QMI11" s="348"/>
      <c r="QMJ11" s="348"/>
      <c r="QMK11" s="348"/>
      <c r="QML11" s="348"/>
      <c r="QMM11" s="348"/>
      <c r="QMN11" s="348"/>
      <c r="QMO11" s="348"/>
      <c r="QMP11" s="348"/>
      <c r="QMQ11" s="348"/>
      <c r="QMR11" s="348"/>
      <c r="QMS11" s="348"/>
      <c r="QMT11" s="348"/>
      <c r="QMU11" s="348"/>
      <c r="QMV11" s="348"/>
      <c r="QMW11" s="348"/>
      <c r="QMX11" s="348"/>
      <c r="QMY11" s="348"/>
      <c r="QMZ11" s="348"/>
      <c r="QNA11" s="348"/>
      <c r="QNB11" s="348"/>
      <c r="QNC11" s="348"/>
      <c r="QND11" s="348"/>
      <c r="QNE11" s="348"/>
      <c r="QNF11" s="348"/>
      <c r="QNG11" s="348"/>
      <c r="QNH11" s="348"/>
      <c r="QNI11" s="348"/>
      <c r="QNJ11" s="348"/>
      <c r="QNK11" s="348"/>
      <c r="QNL11" s="348"/>
      <c r="QNM11" s="348"/>
      <c r="QNN11" s="348"/>
      <c r="QNO11" s="348"/>
      <c r="QNP11" s="348"/>
      <c r="QNQ11" s="348"/>
      <c r="QNR11" s="348"/>
      <c r="QNS11" s="348"/>
      <c r="QNT11" s="348"/>
      <c r="QNU11" s="348"/>
      <c r="QNV11" s="348"/>
      <c r="QNW11" s="348"/>
      <c r="QNX11" s="348"/>
      <c r="QNY11" s="348"/>
      <c r="QNZ11" s="348"/>
      <c r="QOA11" s="348"/>
      <c r="QOB11" s="348"/>
      <c r="QOC11" s="348"/>
      <c r="QOD11" s="348"/>
      <c r="QOE11" s="348"/>
      <c r="QOF11" s="348"/>
      <c r="QOG11" s="348"/>
      <c r="QOH11" s="348"/>
      <c r="QOI11" s="348"/>
      <c r="QOJ11" s="348"/>
      <c r="QOK11" s="348"/>
      <c r="QOL11" s="348"/>
      <c r="QOM11" s="348"/>
      <c r="QON11" s="348"/>
      <c r="QOO11" s="348"/>
      <c r="QOP11" s="348"/>
      <c r="QOQ11" s="348"/>
      <c r="QOR11" s="348"/>
      <c r="QOS11" s="348"/>
      <c r="QOT11" s="348"/>
      <c r="QOU11" s="348"/>
      <c r="QOV11" s="348"/>
      <c r="QOW11" s="348"/>
      <c r="QOX11" s="348"/>
      <c r="QOY11" s="348"/>
      <c r="QOZ11" s="348"/>
      <c r="QPA11" s="348"/>
      <c r="QPB11" s="348"/>
      <c r="QPC11" s="348"/>
      <c r="QPD11" s="348"/>
      <c r="QPE11" s="348"/>
      <c r="QPF11" s="348"/>
      <c r="QPG11" s="348"/>
      <c r="QPH11" s="348"/>
      <c r="QPI11" s="348"/>
      <c r="QPJ11" s="348"/>
      <c r="QPK11" s="348"/>
      <c r="QPL11" s="348"/>
      <c r="QPM11" s="348"/>
      <c r="QPN11" s="348"/>
      <c r="QPO11" s="348"/>
      <c r="QPP11" s="348"/>
      <c r="QPQ11" s="348"/>
      <c r="QPR11" s="348"/>
      <c r="QPS11" s="348"/>
      <c r="QPT11" s="348"/>
      <c r="QPU11" s="348"/>
      <c r="QPV11" s="348"/>
      <c r="QPW11" s="348"/>
      <c r="QPX11" s="348"/>
      <c r="QPY11" s="348"/>
      <c r="QPZ11" s="348"/>
      <c r="QQA11" s="348"/>
      <c r="QQB11" s="348"/>
      <c r="QQC11" s="348"/>
      <c r="QQD11" s="348"/>
      <c r="QQE11" s="348"/>
      <c r="QQF11" s="348"/>
      <c r="QQG11" s="348"/>
      <c r="QQH11" s="348"/>
      <c r="QQI11" s="348"/>
      <c r="QQJ11" s="348"/>
      <c r="QQK11" s="348"/>
      <c r="QQL11" s="348"/>
      <c r="QQM11" s="348"/>
      <c r="QQN11" s="348"/>
      <c r="QQO11" s="348"/>
      <c r="QQP11" s="348"/>
      <c r="QQQ11" s="348"/>
      <c r="QQR11" s="348"/>
      <c r="QQS11" s="348"/>
      <c r="QQT11" s="348"/>
      <c r="QQU11" s="348"/>
      <c r="QQV11" s="348"/>
      <c r="QQW11" s="348"/>
      <c r="QQX11" s="348"/>
      <c r="QQY11" s="348"/>
      <c r="QQZ11" s="348"/>
      <c r="QRA11" s="348"/>
      <c r="QRB11" s="348"/>
      <c r="QRC11" s="348"/>
      <c r="QRD11" s="348"/>
      <c r="QRE11" s="348"/>
      <c r="QRF11" s="348"/>
      <c r="QRG11" s="348"/>
      <c r="QRH11" s="348"/>
      <c r="QRI11" s="348"/>
      <c r="QRJ11" s="348"/>
      <c r="QRK11" s="348"/>
      <c r="QRL11" s="348"/>
      <c r="QRM11" s="348"/>
      <c r="QRN11" s="348"/>
      <c r="QRO11" s="348"/>
      <c r="QRP11" s="348"/>
      <c r="QRQ11" s="348"/>
      <c r="QRR11" s="348"/>
      <c r="QRS11" s="348"/>
      <c r="QRT11" s="348"/>
      <c r="QRU11" s="348"/>
      <c r="QRV11" s="348"/>
      <c r="QRW11" s="348"/>
      <c r="QRX11" s="348"/>
      <c r="QRY11" s="348"/>
      <c r="QRZ11" s="348"/>
      <c r="QSA11" s="348"/>
      <c r="QSB11" s="348"/>
      <c r="QSC11" s="348"/>
      <c r="QSD11" s="348"/>
      <c r="QSE11" s="348"/>
      <c r="QSF11" s="348"/>
      <c r="QSG11" s="348"/>
      <c r="QSH11" s="348"/>
      <c r="QSI11" s="348"/>
      <c r="QSJ11" s="348"/>
      <c r="QSK11" s="348"/>
      <c r="QSL11" s="348"/>
      <c r="QSM11" s="348"/>
      <c r="QSN11" s="348"/>
      <c r="QSO11" s="348"/>
      <c r="QSP11" s="348"/>
      <c r="QSQ11" s="348"/>
      <c r="QSR11" s="348"/>
      <c r="QSS11" s="348"/>
      <c r="QST11" s="348"/>
      <c r="QSU11" s="348"/>
      <c r="QSV11" s="348"/>
      <c r="QSW11" s="348"/>
      <c r="QSX11" s="348"/>
      <c r="QSY11" s="348"/>
      <c r="QSZ11" s="348"/>
      <c r="QTA11" s="348"/>
      <c r="QTB11" s="348"/>
      <c r="QTC11" s="348"/>
      <c r="QTD11" s="348"/>
      <c r="QTE11" s="348"/>
      <c r="QTF11" s="348"/>
      <c r="QTG11" s="348"/>
      <c r="QTH11" s="348"/>
      <c r="QTI11" s="348"/>
      <c r="QTJ11" s="348"/>
      <c r="QTK11" s="348"/>
      <c r="QTL11" s="348"/>
      <c r="QTM11" s="348"/>
      <c r="QTN11" s="348"/>
      <c r="QTO11" s="348"/>
      <c r="QTP11" s="348"/>
      <c r="QTQ11" s="348"/>
      <c r="QTR11" s="348"/>
      <c r="QTS11" s="348"/>
      <c r="QTT11" s="348"/>
      <c r="QTU11" s="348"/>
      <c r="QTV11" s="348"/>
      <c r="QTW11" s="348"/>
      <c r="QTX11" s="348"/>
      <c r="QTY11" s="348"/>
      <c r="QTZ11" s="348"/>
      <c r="QUA11" s="348"/>
      <c r="QUB11" s="348"/>
      <c r="QUC11" s="348"/>
      <c r="QUD11" s="348"/>
      <c r="QUE11" s="348"/>
      <c r="QUF11" s="348"/>
      <c r="QUG11" s="348"/>
      <c r="QUH11" s="348"/>
      <c r="QUI11" s="348"/>
      <c r="QUJ11" s="348"/>
      <c r="QUK11" s="348"/>
      <c r="QUL11" s="348"/>
      <c r="QUM11" s="348"/>
      <c r="QUN11" s="348"/>
      <c r="QUO11" s="348"/>
      <c r="QUP11" s="348"/>
      <c r="QUQ11" s="348"/>
      <c r="QUR11" s="348"/>
      <c r="QUS11" s="348"/>
      <c r="QUT11" s="348"/>
      <c r="QUU11" s="348"/>
      <c r="QUV11" s="348"/>
      <c r="QUW11" s="348"/>
      <c r="QUX11" s="348"/>
      <c r="QUY11" s="348"/>
      <c r="QUZ11" s="348"/>
      <c r="QVA11" s="348"/>
      <c r="QVB11" s="348"/>
      <c r="QVC11" s="348"/>
      <c r="QVD11" s="348"/>
      <c r="QVE11" s="348"/>
      <c r="QVF11" s="348"/>
      <c r="QVG11" s="348"/>
      <c r="QVH11" s="348"/>
      <c r="QVI11" s="348"/>
      <c r="QVJ11" s="348"/>
      <c r="QVK11" s="348"/>
      <c r="QVL11" s="348"/>
      <c r="QVM11" s="348"/>
      <c r="QVN11" s="348"/>
      <c r="QVO11" s="348"/>
      <c r="QVP11" s="348"/>
      <c r="QVQ11" s="348"/>
      <c r="QVR11" s="348"/>
      <c r="QVS11" s="348"/>
      <c r="QVT11" s="348"/>
      <c r="QVU11" s="348"/>
      <c r="QVV11" s="348"/>
      <c r="QVW11" s="348"/>
      <c r="QVX11" s="348"/>
      <c r="QVY11" s="348"/>
      <c r="QVZ11" s="348"/>
      <c r="QWA11" s="348"/>
      <c r="QWB11" s="348"/>
      <c r="QWC11" s="348"/>
      <c r="QWD11" s="348"/>
      <c r="QWE11" s="348"/>
      <c r="QWF11" s="348"/>
      <c r="QWG11" s="348"/>
      <c r="QWH11" s="348"/>
      <c r="QWI11" s="348"/>
      <c r="QWJ11" s="348"/>
      <c r="QWK11" s="348"/>
      <c r="QWL11" s="348"/>
      <c r="QWM11" s="348"/>
      <c r="QWN11" s="348"/>
      <c r="QWO11" s="348"/>
      <c r="QWP11" s="348"/>
      <c r="QWQ11" s="348"/>
      <c r="QWR11" s="348"/>
      <c r="QWS11" s="348"/>
      <c r="QWT11" s="348"/>
      <c r="QWU11" s="348"/>
      <c r="QWV11" s="348"/>
      <c r="QWW11" s="348"/>
      <c r="QWX11" s="348"/>
      <c r="QWY11" s="348"/>
      <c r="QWZ11" s="348"/>
      <c r="QXA11" s="348"/>
      <c r="QXB11" s="348"/>
      <c r="QXC11" s="348"/>
      <c r="QXD11" s="348"/>
      <c r="QXE11" s="348"/>
      <c r="QXF11" s="348"/>
      <c r="QXG11" s="348"/>
      <c r="QXH11" s="348"/>
      <c r="QXI11" s="348"/>
      <c r="QXJ11" s="348"/>
      <c r="QXK11" s="348"/>
      <c r="QXL11" s="348"/>
      <c r="QXM11" s="348"/>
      <c r="QXN11" s="348"/>
      <c r="QXO11" s="348"/>
      <c r="QXP11" s="348"/>
      <c r="QXQ11" s="348"/>
      <c r="QXR11" s="348"/>
      <c r="QXS11" s="348"/>
      <c r="QXT11" s="348"/>
      <c r="QXU11" s="348"/>
      <c r="QXV11" s="348"/>
      <c r="QXW11" s="348"/>
      <c r="QXX11" s="348"/>
      <c r="QXY11" s="348"/>
      <c r="QXZ11" s="348"/>
      <c r="QYA11" s="348"/>
      <c r="QYB11" s="348"/>
      <c r="QYC11" s="348"/>
      <c r="QYD11" s="348"/>
      <c r="QYE11" s="348"/>
      <c r="QYF11" s="348"/>
      <c r="QYG11" s="348"/>
      <c r="QYH11" s="348"/>
      <c r="QYI11" s="348"/>
      <c r="QYJ11" s="348"/>
      <c r="QYK11" s="348"/>
      <c r="QYL11" s="348"/>
      <c r="QYM11" s="348"/>
      <c r="QYN11" s="348"/>
      <c r="QYO11" s="348"/>
      <c r="QYP11" s="348"/>
      <c r="QYQ11" s="348"/>
      <c r="QYR11" s="348"/>
      <c r="QYS11" s="348"/>
      <c r="QYT11" s="348"/>
      <c r="QYU11" s="348"/>
      <c r="QYV11" s="348"/>
      <c r="QYW11" s="348"/>
      <c r="QYX11" s="348"/>
      <c r="QYY11" s="348"/>
      <c r="QYZ11" s="348"/>
      <c r="QZA11" s="348"/>
      <c r="QZB11" s="348"/>
      <c r="QZC11" s="348"/>
      <c r="QZD11" s="348"/>
      <c r="QZE11" s="348"/>
      <c r="QZF11" s="348"/>
      <c r="QZG11" s="348"/>
      <c r="QZH11" s="348"/>
      <c r="QZI11" s="348"/>
      <c r="QZJ11" s="348"/>
      <c r="QZK11" s="348"/>
      <c r="QZL11" s="348"/>
      <c r="QZM11" s="348"/>
      <c r="QZN11" s="348"/>
      <c r="QZO11" s="348"/>
      <c r="QZP11" s="348"/>
      <c r="QZQ11" s="348"/>
      <c r="QZR11" s="348"/>
      <c r="QZS11" s="348"/>
      <c r="QZT11" s="348"/>
      <c r="QZU11" s="348"/>
      <c r="QZV11" s="348"/>
      <c r="QZW11" s="348"/>
      <c r="QZX11" s="348"/>
      <c r="QZY11" s="348"/>
      <c r="QZZ11" s="348"/>
      <c r="RAA11" s="348"/>
      <c r="RAB11" s="348"/>
      <c r="RAC11" s="348"/>
      <c r="RAD11" s="348"/>
      <c r="RAE11" s="348"/>
      <c r="RAF11" s="348"/>
      <c r="RAG11" s="348"/>
      <c r="RAH11" s="348"/>
      <c r="RAI11" s="348"/>
      <c r="RAJ11" s="348"/>
      <c r="RAK11" s="348"/>
      <c r="RAL11" s="348"/>
      <c r="RAM11" s="348"/>
      <c r="RAN11" s="348"/>
      <c r="RAO11" s="348"/>
      <c r="RAP11" s="348"/>
      <c r="RAQ11" s="348"/>
      <c r="RAR11" s="348"/>
      <c r="RAS11" s="348"/>
      <c r="RAT11" s="348"/>
      <c r="RAU11" s="348"/>
      <c r="RAV11" s="348"/>
      <c r="RAW11" s="348"/>
      <c r="RAX11" s="348"/>
      <c r="RAY11" s="348"/>
      <c r="RAZ11" s="348"/>
      <c r="RBA11" s="348"/>
      <c r="RBB11" s="348"/>
      <c r="RBC11" s="348"/>
      <c r="RBD11" s="348"/>
      <c r="RBE11" s="348"/>
      <c r="RBF11" s="348"/>
      <c r="RBG11" s="348"/>
      <c r="RBH11" s="348"/>
      <c r="RBI11" s="348"/>
      <c r="RBJ11" s="348"/>
      <c r="RBK11" s="348"/>
      <c r="RBL11" s="348"/>
      <c r="RBM11" s="348"/>
      <c r="RBN11" s="348"/>
      <c r="RBO11" s="348"/>
      <c r="RBP11" s="348"/>
      <c r="RBQ11" s="348"/>
      <c r="RBR11" s="348"/>
      <c r="RBS11" s="348"/>
      <c r="RBT11" s="348"/>
      <c r="RBU11" s="348"/>
      <c r="RBV11" s="348"/>
      <c r="RBW11" s="348"/>
      <c r="RBX11" s="348"/>
      <c r="RBY11" s="348"/>
      <c r="RBZ11" s="348"/>
      <c r="RCA11" s="348"/>
      <c r="RCB11" s="348"/>
      <c r="RCC11" s="348"/>
      <c r="RCD11" s="348"/>
      <c r="RCE11" s="348"/>
      <c r="RCF11" s="348"/>
      <c r="RCG11" s="348"/>
      <c r="RCH11" s="348"/>
      <c r="RCI11" s="348"/>
      <c r="RCJ11" s="348"/>
      <c r="RCK11" s="348"/>
      <c r="RCL11" s="348"/>
      <c r="RCM11" s="348"/>
      <c r="RCN11" s="348"/>
      <c r="RCO11" s="348"/>
      <c r="RCP11" s="348"/>
      <c r="RCQ11" s="348"/>
      <c r="RCR11" s="348"/>
      <c r="RCS11" s="348"/>
      <c r="RCT11" s="348"/>
      <c r="RCU11" s="348"/>
      <c r="RCV11" s="348"/>
      <c r="RCW11" s="348"/>
      <c r="RCX11" s="348"/>
      <c r="RCY11" s="348"/>
      <c r="RCZ11" s="348"/>
      <c r="RDA11" s="348"/>
      <c r="RDB11" s="348"/>
      <c r="RDC11" s="348"/>
      <c r="RDD11" s="348"/>
      <c r="RDE11" s="348"/>
      <c r="RDF11" s="348"/>
      <c r="RDG11" s="348"/>
      <c r="RDH11" s="348"/>
      <c r="RDI11" s="348"/>
      <c r="RDJ11" s="348"/>
      <c r="RDK11" s="348"/>
      <c r="RDL11" s="348"/>
      <c r="RDM11" s="348"/>
      <c r="RDN11" s="348"/>
      <c r="RDO11" s="348"/>
      <c r="RDP11" s="348"/>
      <c r="RDQ11" s="348"/>
      <c r="RDR11" s="348"/>
      <c r="RDS11" s="348"/>
      <c r="RDT11" s="348"/>
      <c r="RDU11" s="348"/>
      <c r="RDV11" s="348"/>
      <c r="RDW11" s="348"/>
      <c r="RDX11" s="348"/>
      <c r="RDY11" s="348"/>
      <c r="RDZ11" s="348"/>
      <c r="REA11" s="348"/>
      <c r="REB11" s="348"/>
      <c r="REC11" s="348"/>
      <c r="RED11" s="348"/>
      <c r="REE11" s="348"/>
      <c r="REF11" s="348"/>
      <c r="REG11" s="348"/>
      <c r="REH11" s="348"/>
      <c r="REI11" s="348"/>
      <c r="REJ11" s="348"/>
      <c r="REK11" s="348"/>
      <c r="REL11" s="348"/>
      <c r="REM11" s="348"/>
      <c r="REN11" s="348"/>
      <c r="REO11" s="348"/>
      <c r="REP11" s="348"/>
      <c r="REQ11" s="348"/>
      <c r="RER11" s="348"/>
      <c r="RES11" s="348"/>
      <c r="RET11" s="348"/>
      <c r="REU11" s="348"/>
      <c r="REV11" s="348"/>
      <c r="REW11" s="348"/>
      <c r="REX11" s="348"/>
      <c r="REY11" s="348"/>
      <c r="REZ11" s="348"/>
      <c r="RFA11" s="348"/>
      <c r="RFB11" s="348"/>
      <c r="RFC11" s="348"/>
      <c r="RFD11" s="348"/>
      <c r="RFE11" s="348"/>
      <c r="RFF11" s="348"/>
      <c r="RFG11" s="348"/>
      <c r="RFH11" s="348"/>
      <c r="RFI11" s="348"/>
      <c r="RFJ11" s="348"/>
      <c r="RFK11" s="348"/>
      <c r="RFL11" s="348"/>
      <c r="RFM11" s="348"/>
      <c r="RFN11" s="348"/>
      <c r="RFO11" s="348"/>
      <c r="RFP11" s="348"/>
      <c r="RFQ11" s="348"/>
      <c r="RFR11" s="348"/>
      <c r="RFS11" s="348"/>
      <c r="RFT11" s="348"/>
      <c r="RFU11" s="348"/>
      <c r="RFV11" s="348"/>
      <c r="RFW11" s="348"/>
      <c r="RFX11" s="348"/>
      <c r="RFY11" s="348"/>
      <c r="RFZ11" s="348"/>
      <c r="RGA11" s="348"/>
      <c r="RGB11" s="348"/>
      <c r="RGC11" s="348"/>
      <c r="RGD11" s="348"/>
      <c r="RGE11" s="348"/>
      <c r="RGF11" s="348"/>
      <c r="RGG11" s="348"/>
      <c r="RGH11" s="348"/>
      <c r="RGI11" s="348"/>
      <c r="RGJ11" s="348"/>
      <c r="RGK11" s="348"/>
      <c r="RGL11" s="348"/>
      <c r="RGM11" s="348"/>
      <c r="RGN11" s="348"/>
      <c r="RGO11" s="348"/>
      <c r="RGP11" s="348"/>
      <c r="RGQ11" s="348"/>
      <c r="RGR11" s="348"/>
      <c r="RGS11" s="348"/>
      <c r="RGT11" s="348"/>
      <c r="RGU11" s="348"/>
      <c r="RGV11" s="348"/>
      <c r="RGW11" s="348"/>
      <c r="RGX11" s="348"/>
      <c r="RGY11" s="348"/>
      <c r="RGZ11" s="348"/>
      <c r="RHA11" s="348"/>
      <c r="RHB11" s="348"/>
      <c r="RHC11" s="348"/>
      <c r="RHD11" s="348"/>
      <c r="RHE11" s="348"/>
      <c r="RHF11" s="348"/>
      <c r="RHG11" s="348"/>
      <c r="RHH11" s="348"/>
      <c r="RHI11" s="348"/>
      <c r="RHJ11" s="348"/>
      <c r="RHK11" s="348"/>
      <c r="RHL11" s="348"/>
      <c r="RHM11" s="348"/>
      <c r="RHN11" s="348"/>
      <c r="RHO11" s="348"/>
      <c r="RHP11" s="348"/>
      <c r="RHQ11" s="348"/>
      <c r="RHR11" s="348"/>
      <c r="RHS11" s="348"/>
      <c r="RHT11" s="348"/>
      <c r="RHU11" s="348"/>
      <c r="RHV11" s="348"/>
      <c r="RHW11" s="348"/>
      <c r="RHX11" s="348"/>
      <c r="RHY11" s="348"/>
      <c r="RHZ11" s="348"/>
      <c r="RIA11" s="348"/>
      <c r="RIB11" s="348"/>
      <c r="RIC11" s="348"/>
      <c r="RID11" s="348"/>
      <c r="RIE11" s="348"/>
      <c r="RIF11" s="348"/>
      <c r="RIG11" s="348"/>
      <c r="RIH11" s="348"/>
      <c r="RII11" s="348"/>
      <c r="RIJ11" s="348"/>
      <c r="RIK11" s="348"/>
      <c r="RIL11" s="348"/>
      <c r="RIM11" s="348"/>
      <c r="RIN11" s="348"/>
      <c r="RIO11" s="348"/>
      <c r="RIP11" s="348"/>
      <c r="RIQ11" s="348"/>
      <c r="RIR11" s="348"/>
      <c r="RIS11" s="348"/>
      <c r="RIT11" s="348"/>
      <c r="RIU11" s="348"/>
      <c r="RIV11" s="348"/>
      <c r="RIW11" s="348"/>
      <c r="RIX11" s="348"/>
      <c r="RIY11" s="348"/>
      <c r="RIZ11" s="348"/>
      <c r="RJA11" s="348"/>
      <c r="RJB11" s="348"/>
      <c r="RJC11" s="348"/>
      <c r="RJD11" s="348"/>
      <c r="RJE11" s="348"/>
      <c r="RJF11" s="348"/>
      <c r="RJG11" s="348"/>
      <c r="RJH11" s="348"/>
      <c r="RJI11" s="348"/>
      <c r="RJJ11" s="348"/>
      <c r="RJK11" s="348"/>
      <c r="RJL11" s="348"/>
      <c r="RJM11" s="348"/>
      <c r="RJN11" s="348"/>
      <c r="RJO11" s="348"/>
      <c r="RJP11" s="348"/>
      <c r="RJQ11" s="348"/>
      <c r="RJR11" s="348"/>
      <c r="RJS11" s="348"/>
      <c r="RJT11" s="348"/>
      <c r="RJU11" s="348"/>
      <c r="RJV11" s="348"/>
      <c r="RJW11" s="348"/>
      <c r="RJX11" s="348"/>
      <c r="RJY11" s="348"/>
      <c r="RJZ11" s="348"/>
      <c r="RKA11" s="348"/>
      <c r="RKB11" s="348"/>
      <c r="RKC11" s="348"/>
      <c r="RKD11" s="348"/>
      <c r="RKE11" s="348"/>
      <c r="RKF11" s="348"/>
      <c r="RKG11" s="348"/>
      <c r="RKH11" s="348"/>
      <c r="RKI11" s="348"/>
      <c r="RKJ11" s="348"/>
      <c r="RKK11" s="348"/>
      <c r="RKL11" s="348"/>
      <c r="RKM11" s="348"/>
      <c r="RKN11" s="348"/>
      <c r="RKO11" s="348"/>
      <c r="RKP11" s="348"/>
      <c r="RKQ11" s="348"/>
      <c r="RKR11" s="348"/>
      <c r="RKS11" s="348"/>
      <c r="RKT11" s="348"/>
      <c r="RKU11" s="348"/>
      <c r="RKV11" s="348"/>
      <c r="RKW11" s="348"/>
      <c r="RKX11" s="348"/>
      <c r="RKY11" s="348"/>
      <c r="RKZ11" s="348"/>
      <c r="RLA11" s="348"/>
      <c r="RLB11" s="348"/>
      <c r="RLC11" s="348"/>
      <c r="RLD11" s="348"/>
      <c r="RLE11" s="348"/>
      <c r="RLF11" s="348"/>
      <c r="RLG11" s="348"/>
      <c r="RLH11" s="348"/>
      <c r="RLI11" s="348"/>
      <c r="RLJ11" s="348"/>
      <c r="RLK11" s="348"/>
      <c r="RLL11" s="348"/>
      <c r="RLM11" s="348"/>
      <c r="RLN11" s="348"/>
      <c r="RLO11" s="348"/>
      <c r="RLP11" s="348"/>
      <c r="RLQ11" s="348"/>
      <c r="RLR11" s="348"/>
      <c r="RLS11" s="348"/>
      <c r="RLT11" s="348"/>
      <c r="RLU11" s="348"/>
      <c r="RLV11" s="348"/>
      <c r="RLW11" s="348"/>
      <c r="RLX11" s="348"/>
      <c r="RLY11" s="348"/>
      <c r="RLZ11" s="348"/>
      <c r="RMA11" s="348"/>
      <c r="RMB11" s="348"/>
      <c r="RMC11" s="348"/>
      <c r="RMD11" s="348"/>
      <c r="RME11" s="348"/>
      <c r="RMF11" s="348"/>
      <c r="RMG11" s="348"/>
      <c r="RMH11" s="348"/>
      <c r="RMI11" s="348"/>
      <c r="RMJ11" s="348"/>
      <c r="RMK11" s="348"/>
      <c r="RML11" s="348"/>
      <c r="RMM11" s="348"/>
      <c r="RMN11" s="348"/>
      <c r="RMO11" s="348"/>
      <c r="RMP11" s="348"/>
      <c r="RMQ11" s="348"/>
      <c r="RMR11" s="348"/>
      <c r="RMS11" s="348"/>
      <c r="RMT11" s="348"/>
      <c r="RMU11" s="348"/>
      <c r="RMV11" s="348"/>
      <c r="RMW11" s="348"/>
      <c r="RMX11" s="348"/>
      <c r="RMY11" s="348"/>
      <c r="RMZ11" s="348"/>
      <c r="RNA11" s="348"/>
      <c r="RNB11" s="348"/>
      <c r="RNC11" s="348"/>
      <c r="RND11" s="348"/>
      <c r="RNE11" s="348"/>
      <c r="RNF11" s="348"/>
      <c r="RNG11" s="348"/>
      <c r="RNH11" s="348"/>
      <c r="RNI11" s="348"/>
      <c r="RNJ11" s="348"/>
      <c r="RNK11" s="348"/>
      <c r="RNL11" s="348"/>
      <c r="RNM11" s="348"/>
      <c r="RNN11" s="348"/>
      <c r="RNO11" s="348"/>
      <c r="RNP11" s="348"/>
      <c r="RNQ11" s="348"/>
      <c r="RNR11" s="348"/>
      <c r="RNS11" s="348"/>
      <c r="RNT11" s="348"/>
      <c r="RNU11" s="348"/>
      <c r="RNV11" s="348"/>
      <c r="RNW11" s="348"/>
      <c r="RNX11" s="348"/>
      <c r="RNY11" s="348"/>
      <c r="RNZ11" s="348"/>
      <c r="ROA11" s="348"/>
      <c r="ROB11" s="348"/>
      <c r="ROC11" s="348"/>
      <c r="ROD11" s="348"/>
      <c r="ROE11" s="348"/>
      <c r="ROF11" s="348"/>
      <c r="ROG11" s="348"/>
      <c r="ROH11" s="348"/>
      <c r="ROI11" s="348"/>
      <c r="ROJ11" s="348"/>
      <c r="ROK11" s="348"/>
      <c r="ROL11" s="348"/>
      <c r="ROM11" s="348"/>
      <c r="RON11" s="348"/>
      <c r="ROO11" s="348"/>
      <c r="ROP11" s="348"/>
      <c r="ROQ11" s="348"/>
      <c r="ROR11" s="348"/>
      <c r="ROS11" s="348"/>
      <c r="ROT11" s="348"/>
      <c r="ROU11" s="348"/>
      <c r="ROV11" s="348"/>
      <c r="ROW11" s="348"/>
      <c r="ROX11" s="348"/>
      <c r="ROY11" s="348"/>
      <c r="ROZ11" s="348"/>
      <c r="RPA11" s="348"/>
      <c r="RPB11" s="348"/>
      <c r="RPC11" s="348"/>
      <c r="RPD11" s="348"/>
      <c r="RPE11" s="348"/>
      <c r="RPF11" s="348"/>
      <c r="RPG11" s="348"/>
      <c r="RPH11" s="348"/>
      <c r="RPI11" s="348"/>
      <c r="RPJ11" s="348"/>
      <c r="RPK11" s="348"/>
      <c r="RPL11" s="348"/>
      <c r="RPM11" s="348"/>
      <c r="RPN11" s="348"/>
      <c r="RPO11" s="348"/>
      <c r="RPP11" s="348"/>
      <c r="RPQ11" s="348"/>
      <c r="RPR11" s="348"/>
      <c r="RPS11" s="348"/>
      <c r="RPT11" s="348"/>
      <c r="RPU11" s="348"/>
      <c r="RPV11" s="348"/>
      <c r="RPW11" s="348"/>
      <c r="RPX11" s="348"/>
      <c r="RPY11" s="348"/>
      <c r="RPZ11" s="348"/>
      <c r="RQA11" s="348"/>
      <c r="RQB11" s="348"/>
      <c r="RQC11" s="348"/>
      <c r="RQD11" s="348"/>
      <c r="RQE11" s="348"/>
      <c r="RQF11" s="348"/>
      <c r="RQG11" s="348"/>
      <c r="RQH11" s="348"/>
      <c r="RQI11" s="348"/>
      <c r="RQJ11" s="348"/>
      <c r="RQK11" s="348"/>
      <c r="RQL11" s="348"/>
      <c r="RQM11" s="348"/>
      <c r="RQN11" s="348"/>
      <c r="RQO11" s="348"/>
      <c r="RQP11" s="348"/>
      <c r="RQQ11" s="348"/>
      <c r="RQR11" s="348"/>
      <c r="RQS11" s="348"/>
      <c r="RQT11" s="348"/>
      <c r="RQU11" s="348"/>
      <c r="RQV11" s="348"/>
      <c r="RQW11" s="348"/>
      <c r="RQX11" s="348"/>
      <c r="RQY11" s="348"/>
      <c r="RQZ11" s="348"/>
      <c r="RRA11" s="348"/>
      <c r="RRB11" s="348"/>
      <c r="RRC11" s="348"/>
      <c r="RRD11" s="348"/>
      <c r="RRE11" s="348"/>
      <c r="RRF11" s="348"/>
      <c r="RRG11" s="348"/>
      <c r="RRH11" s="348"/>
      <c r="RRI11" s="348"/>
      <c r="RRJ11" s="348"/>
      <c r="RRK11" s="348"/>
      <c r="RRL11" s="348"/>
      <c r="RRM11" s="348"/>
      <c r="RRN11" s="348"/>
      <c r="RRO11" s="348"/>
      <c r="RRP11" s="348"/>
      <c r="RRQ11" s="348"/>
      <c r="RRR11" s="348"/>
      <c r="RRS11" s="348"/>
      <c r="RRT11" s="348"/>
      <c r="RRU11" s="348"/>
      <c r="RRV11" s="348"/>
      <c r="RRW11" s="348"/>
      <c r="RRX11" s="348"/>
      <c r="RRY11" s="348"/>
      <c r="RRZ11" s="348"/>
      <c r="RSA11" s="348"/>
      <c r="RSB11" s="348"/>
      <c r="RSC11" s="348"/>
      <c r="RSD11" s="348"/>
      <c r="RSE11" s="348"/>
      <c r="RSF11" s="348"/>
      <c r="RSG11" s="348"/>
      <c r="RSH11" s="348"/>
      <c r="RSI11" s="348"/>
      <c r="RSJ11" s="348"/>
      <c r="RSK11" s="348"/>
      <c r="RSL11" s="348"/>
      <c r="RSM11" s="348"/>
      <c r="RSN11" s="348"/>
      <c r="RSO11" s="348"/>
      <c r="RSP11" s="348"/>
      <c r="RSQ11" s="348"/>
      <c r="RSR11" s="348"/>
      <c r="RSS11" s="348"/>
      <c r="RST11" s="348"/>
      <c r="RSU11" s="348"/>
      <c r="RSV11" s="348"/>
      <c r="RSW11" s="348"/>
      <c r="RSX11" s="348"/>
      <c r="RSY11" s="348"/>
      <c r="RSZ11" s="348"/>
      <c r="RTA11" s="348"/>
      <c r="RTB11" s="348"/>
      <c r="RTC11" s="348"/>
      <c r="RTD11" s="348"/>
      <c r="RTE11" s="348"/>
      <c r="RTF11" s="348"/>
      <c r="RTG11" s="348"/>
      <c r="RTH11" s="348"/>
      <c r="RTI11" s="348"/>
      <c r="RTJ11" s="348"/>
      <c r="RTK11" s="348"/>
      <c r="RTL11" s="348"/>
      <c r="RTM11" s="348"/>
      <c r="RTN11" s="348"/>
      <c r="RTO11" s="348"/>
      <c r="RTP11" s="348"/>
      <c r="RTQ11" s="348"/>
      <c r="RTR11" s="348"/>
      <c r="RTS11" s="348"/>
      <c r="RTT11" s="348"/>
      <c r="RTU11" s="348"/>
      <c r="RTV11" s="348"/>
      <c r="RTW11" s="348"/>
      <c r="RTX11" s="348"/>
      <c r="RTY11" s="348"/>
      <c r="RTZ11" s="348"/>
      <c r="RUA11" s="348"/>
      <c r="RUB11" s="348"/>
      <c r="RUC11" s="348"/>
      <c r="RUD11" s="348"/>
      <c r="RUE11" s="348"/>
      <c r="RUF11" s="348"/>
      <c r="RUG11" s="348"/>
      <c r="RUH11" s="348"/>
      <c r="RUI11" s="348"/>
      <c r="RUJ11" s="348"/>
      <c r="RUK11" s="348"/>
      <c r="RUL11" s="348"/>
      <c r="RUM11" s="348"/>
      <c r="RUN11" s="348"/>
      <c r="RUO11" s="348"/>
      <c r="RUP11" s="348"/>
      <c r="RUQ11" s="348"/>
      <c r="RUR11" s="348"/>
      <c r="RUS11" s="348"/>
      <c r="RUT11" s="348"/>
      <c r="RUU11" s="348"/>
      <c r="RUV11" s="348"/>
      <c r="RUW11" s="348"/>
      <c r="RUX11" s="348"/>
      <c r="RUY11" s="348"/>
      <c r="RUZ11" s="348"/>
      <c r="RVA11" s="348"/>
      <c r="RVB11" s="348"/>
      <c r="RVC11" s="348"/>
      <c r="RVD11" s="348"/>
      <c r="RVE11" s="348"/>
      <c r="RVF11" s="348"/>
      <c r="RVG11" s="348"/>
      <c r="RVH11" s="348"/>
      <c r="RVI11" s="348"/>
      <c r="RVJ11" s="348"/>
      <c r="RVK11" s="348"/>
      <c r="RVL11" s="348"/>
      <c r="RVM11" s="348"/>
      <c r="RVN11" s="348"/>
      <c r="RVO11" s="348"/>
      <c r="RVP11" s="348"/>
      <c r="RVQ11" s="348"/>
      <c r="RVR11" s="348"/>
      <c r="RVS11" s="348"/>
      <c r="RVT11" s="348"/>
      <c r="RVU11" s="348"/>
      <c r="RVV11" s="348"/>
      <c r="RVW11" s="348"/>
      <c r="RVX11" s="348"/>
      <c r="RVY11" s="348"/>
      <c r="RVZ11" s="348"/>
      <c r="RWA11" s="348"/>
      <c r="RWB11" s="348"/>
      <c r="RWC11" s="348"/>
      <c r="RWD11" s="348"/>
      <c r="RWE11" s="348"/>
      <c r="RWF11" s="348"/>
      <c r="RWG11" s="348"/>
      <c r="RWH11" s="348"/>
      <c r="RWI11" s="348"/>
      <c r="RWJ11" s="348"/>
      <c r="RWK11" s="348"/>
      <c r="RWL11" s="348"/>
      <c r="RWM11" s="348"/>
      <c r="RWN11" s="348"/>
      <c r="RWO11" s="348"/>
      <c r="RWP11" s="348"/>
      <c r="RWQ11" s="348"/>
      <c r="RWR11" s="348"/>
      <c r="RWS11" s="348"/>
      <c r="RWT11" s="348"/>
      <c r="RWU11" s="348"/>
      <c r="RWV11" s="348"/>
      <c r="RWW11" s="348"/>
      <c r="RWX11" s="348"/>
      <c r="RWY11" s="348"/>
      <c r="RWZ11" s="348"/>
      <c r="RXA11" s="348"/>
      <c r="RXB11" s="348"/>
      <c r="RXC11" s="348"/>
      <c r="RXD11" s="348"/>
      <c r="RXE11" s="348"/>
      <c r="RXF11" s="348"/>
      <c r="RXG11" s="348"/>
      <c r="RXH11" s="348"/>
      <c r="RXI11" s="348"/>
      <c r="RXJ11" s="348"/>
      <c r="RXK11" s="348"/>
      <c r="RXL11" s="348"/>
      <c r="RXM11" s="348"/>
      <c r="RXN11" s="348"/>
      <c r="RXO11" s="348"/>
      <c r="RXP11" s="348"/>
      <c r="RXQ11" s="348"/>
      <c r="RXR11" s="348"/>
      <c r="RXS11" s="348"/>
      <c r="RXT11" s="348"/>
      <c r="RXU11" s="348"/>
      <c r="RXV11" s="348"/>
      <c r="RXW11" s="348"/>
      <c r="RXX11" s="348"/>
      <c r="RXY11" s="348"/>
      <c r="RXZ11" s="348"/>
      <c r="RYA11" s="348"/>
      <c r="RYB11" s="348"/>
      <c r="RYC11" s="348"/>
      <c r="RYD11" s="348"/>
      <c r="RYE11" s="348"/>
      <c r="RYF11" s="348"/>
      <c r="RYG11" s="348"/>
      <c r="RYH11" s="348"/>
      <c r="RYI11" s="348"/>
      <c r="RYJ11" s="348"/>
      <c r="RYK11" s="348"/>
      <c r="RYL11" s="348"/>
      <c r="RYM11" s="348"/>
      <c r="RYN11" s="348"/>
      <c r="RYO11" s="348"/>
      <c r="RYP11" s="348"/>
      <c r="RYQ11" s="348"/>
      <c r="RYR11" s="348"/>
      <c r="RYS11" s="348"/>
      <c r="RYT11" s="348"/>
      <c r="RYU11" s="348"/>
      <c r="RYV11" s="348"/>
      <c r="RYW11" s="348"/>
      <c r="RYX11" s="348"/>
      <c r="RYY11" s="348"/>
      <c r="RYZ11" s="348"/>
      <c r="RZA11" s="348"/>
      <c r="RZB11" s="348"/>
      <c r="RZC11" s="348"/>
      <c r="RZD11" s="348"/>
      <c r="RZE11" s="348"/>
      <c r="RZF11" s="348"/>
      <c r="RZG11" s="348"/>
      <c r="RZH11" s="348"/>
      <c r="RZI11" s="348"/>
      <c r="RZJ11" s="348"/>
      <c r="RZK11" s="348"/>
      <c r="RZL11" s="348"/>
      <c r="RZM11" s="348"/>
      <c r="RZN11" s="348"/>
      <c r="RZO11" s="348"/>
      <c r="RZP11" s="348"/>
      <c r="RZQ11" s="348"/>
      <c r="RZR11" s="348"/>
      <c r="RZS11" s="348"/>
      <c r="RZT11" s="348"/>
      <c r="RZU11" s="348"/>
      <c r="RZV11" s="348"/>
      <c r="RZW11" s="348"/>
      <c r="RZX11" s="348"/>
      <c r="RZY11" s="348"/>
      <c r="RZZ11" s="348"/>
      <c r="SAA11" s="348"/>
      <c r="SAB11" s="348"/>
      <c r="SAC11" s="348"/>
      <c r="SAD11" s="348"/>
      <c r="SAE11" s="348"/>
      <c r="SAF11" s="348"/>
      <c r="SAG11" s="348"/>
      <c r="SAH11" s="348"/>
      <c r="SAI11" s="348"/>
      <c r="SAJ11" s="348"/>
      <c r="SAK11" s="348"/>
      <c r="SAL11" s="348"/>
      <c r="SAM11" s="348"/>
      <c r="SAN11" s="348"/>
      <c r="SAO11" s="348"/>
      <c r="SAP11" s="348"/>
      <c r="SAQ11" s="348"/>
      <c r="SAR11" s="348"/>
      <c r="SAS11" s="348"/>
      <c r="SAT11" s="348"/>
      <c r="SAU11" s="348"/>
      <c r="SAV11" s="348"/>
      <c r="SAW11" s="348"/>
      <c r="SAX11" s="348"/>
      <c r="SAY11" s="348"/>
      <c r="SAZ11" s="348"/>
      <c r="SBA11" s="348"/>
      <c r="SBB11" s="348"/>
      <c r="SBC11" s="348"/>
      <c r="SBD11" s="348"/>
      <c r="SBE11" s="348"/>
      <c r="SBF11" s="348"/>
      <c r="SBG11" s="348"/>
      <c r="SBH11" s="348"/>
      <c r="SBI11" s="348"/>
      <c r="SBJ11" s="348"/>
      <c r="SBK11" s="348"/>
      <c r="SBL11" s="348"/>
      <c r="SBM11" s="348"/>
      <c r="SBN11" s="348"/>
      <c r="SBO11" s="348"/>
      <c r="SBP11" s="348"/>
      <c r="SBQ11" s="348"/>
      <c r="SBR11" s="348"/>
      <c r="SBS11" s="348"/>
      <c r="SBT11" s="348"/>
      <c r="SBU11" s="348"/>
      <c r="SBV11" s="348"/>
      <c r="SBW11" s="348"/>
      <c r="SBX11" s="348"/>
      <c r="SBY11" s="348"/>
      <c r="SBZ11" s="348"/>
      <c r="SCA11" s="348"/>
      <c r="SCB11" s="348"/>
      <c r="SCC11" s="348"/>
      <c r="SCD11" s="348"/>
      <c r="SCE11" s="348"/>
      <c r="SCF11" s="348"/>
      <c r="SCG11" s="348"/>
      <c r="SCH11" s="348"/>
      <c r="SCI11" s="348"/>
      <c r="SCJ11" s="348"/>
      <c r="SCK11" s="348"/>
      <c r="SCL11" s="348"/>
      <c r="SCM11" s="348"/>
      <c r="SCN11" s="348"/>
      <c r="SCO11" s="348"/>
      <c r="SCP11" s="348"/>
      <c r="SCQ11" s="348"/>
      <c r="SCR11" s="348"/>
      <c r="SCS11" s="348"/>
      <c r="SCT11" s="348"/>
      <c r="SCU11" s="348"/>
      <c r="SCV11" s="348"/>
      <c r="SCW11" s="348"/>
      <c r="SCX11" s="348"/>
      <c r="SCY11" s="348"/>
      <c r="SCZ11" s="348"/>
      <c r="SDA11" s="348"/>
      <c r="SDB11" s="348"/>
      <c r="SDC11" s="348"/>
      <c r="SDD11" s="348"/>
      <c r="SDE11" s="348"/>
      <c r="SDF11" s="348"/>
      <c r="SDG11" s="348"/>
      <c r="SDH11" s="348"/>
      <c r="SDI11" s="348"/>
      <c r="SDJ11" s="348"/>
      <c r="SDK11" s="348"/>
      <c r="SDL11" s="348"/>
      <c r="SDM11" s="348"/>
      <c r="SDN11" s="348"/>
      <c r="SDO11" s="348"/>
      <c r="SDP11" s="348"/>
      <c r="SDQ11" s="348"/>
      <c r="SDR11" s="348"/>
      <c r="SDS11" s="348"/>
      <c r="SDT11" s="348"/>
      <c r="SDU11" s="348"/>
      <c r="SDV11" s="348"/>
      <c r="SDW11" s="348"/>
      <c r="SDX11" s="348"/>
      <c r="SDY11" s="348"/>
      <c r="SDZ11" s="348"/>
      <c r="SEA11" s="348"/>
      <c r="SEB11" s="348"/>
      <c r="SEC11" s="348"/>
      <c r="SED11" s="348"/>
      <c r="SEE11" s="348"/>
      <c r="SEF11" s="348"/>
      <c r="SEG11" s="348"/>
      <c r="SEH11" s="348"/>
      <c r="SEI11" s="348"/>
      <c r="SEJ11" s="348"/>
      <c r="SEK11" s="348"/>
      <c r="SEL11" s="348"/>
      <c r="SEM11" s="348"/>
      <c r="SEN11" s="348"/>
      <c r="SEO11" s="348"/>
      <c r="SEP11" s="348"/>
      <c r="SEQ11" s="348"/>
      <c r="SER11" s="348"/>
      <c r="SES11" s="348"/>
      <c r="SET11" s="348"/>
      <c r="SEU11" s="348"/>
      <c r="SEV11" s="348"/>
      <c r="SEW11" s="348"/>
      <c r="SEX11" s="348"/>
      <c r="SEY11" s="348"/>
      <c r="SEZ11" s="348"/>
      <c r="SFA11" s="348"/>
      <c r="SFB11" s="348"/>
      <c r="SFC11" s="348"/>
      <c r="SFD11" s="348"/>
      <c r="SFE11" s="348"/>
      <c r="SFF11" s="348"/>
      <c r="SFG11" s="348"/>
      <c r="SFH11" s="348"/>
      <c r="SFI11" s="348"/>
      <c r="SFJ11" s="348"/>
      <c r="SFK11" s="348"/>
      <c r="SFL11" s="348"/>
      <c r="SFM11" s="348"/>
      <c r="SFN11" s="348"/>
      <c r="SFO11" s="348"/>
      <c r="SFP11" s="348"/>
      <c r="SFQ11" s="348"/>
      <c r="SFR11" s="348"/>
      <c r="SFS11" s="348"/>
      <c r="SFT11" s="348"/>
      <c r="SFU11" s="348"/>
      <c r="SFV11" s="348"/>
      <c r="SFW11" s="348"/>
      <c r="SFX11" s="348"/>
      <c r="SFY11" s="348"/>
      <c r="SFZ11" s="348"/>
      <c r="SGA11" s="348"/>
      <c r="SGB11" s="348"/>
      <c r="SGC11" s="348"/>
      <c r="SGD11" s="348"/>
      <c r="SGE11" s="348"/>
      <c r="SGF11" s="348"/>
      <c r="SGG11" s="348"/>
      <c r="SGH11" s="348"/>
      <c r="SGI11" s="348"/>
      <c r="SGJ11" s="348"/>
      <c r="SGK11" s="348"/>
      <c r="SGL11" s="348"/>
      <c r="SGM11" s="348"/>
      <c r="SGN11" s="348"/>
      <c r="SGO11" s="348"/>
      <c r="SGP11" s="348"/>
      <c r="SGQ11" s="348"/>
      <c r="SGR11" s="348"/>
      <c r="SGS11" s="348"/>
      <c r="SGT11" s="348"/>
      <c r="SGU11" s="348"/>
      <c r="SGV11" s="348"/>
      <c r="SGW11" s="348"/>
      <c r="SGX11" s="348"/>
      <c r="SGY11" s="348"/>
      <c r="SGZ11" s="348"/>
      <c r="SHA11" s="348"/>
      <c r="SHB11" s="348"/>
      <c r="SHC11" s="348"/>
      <c r="SHD11" s="348"/>
      <c r="SHE11" s="348"/>
      <c r="SHF11" s="348"/>
      <c r="SHG11" s="348"/>
      <c r="SHH11" s="348"/>
      <c r="SHI11" s="348"/>
      <c r="SHJ11" s="348"/>
      <c r="SHK11" s="348"/>
      <c r="SHL11" s="348"/>
      <c r="SHM11" s="348"/>
      <c r="SHN11" s="348"/>
      <c r="SHO11" s="348"/>
      <c r="SHP11" s="348"/>
      <c r="SHQ11" s="348"/>
      <c r="SHR11" s="348"/>
      <c r="SHS11" s="348"/>
      <c r="SHT11" s="348"/>
      <c r="SHU11" s="348"/>
      <c r="SHV11" s="348"/>
      <c r="SHW11" s="348"/>
      <c r="SHX11" s="348"/>
      <c r="SHY11" s="348"/>
      <c r="SHZ11" s="348"/>
      <c r="SIA11" s="348"/>
      <c r="SIB11" s="348"/>
      <c r="SIC11" s="348"/>
      <c r="SID11" s="348"/>
      <c r="SIE11" s="348"/>
      <c r="SIF11" s="348"/>
      <c r="SIG11" s="348"/>
      <c r="SIH11" s="348"/>
      <c r="SII11" s="348"/>
      <c r="SIJ11" s="348"/>
      <c r="SIK11" s="348"/>
      <c r="SIL11" s="348"/>
      <c r="SIM11" s="348"/>
      <c r="SIN11" s="348"/>
      <c r="SIO11" s="348"/>
      <c r="SIP11" s="348"/>
      <c r="SIQ11" s="348"/>
      <c r="SIR11" s="348"/>
      <c r="SIS11" s="348"/>
      <c r="SIT11" s="348"/>
      <c r="SIU11" s="348"/>
      <c r="SIV11" s="348"/>
      <c r="SIW11" s="348"/>
      <c r="SIX11" s="348"/>
      <c r="SIY11" s="348"/>
      <c r="SIZ11" s="348"/>
      <c r="SJA11" s="348"/>
      <c r="SJB11" s="348"/>
      <c r="SJC11" s="348"/>
      <c r="SJD11" s="348"/>
      <c r="SJE11" s="348"/>
      <c r="SJF11" s="348"/>
      <c r="SJG11" s="348"/>
      <c r="SJH11" s="348"/>
      <c r="SJI11" s="348"/>
      <c r="SJJ11" s="348"/>
      <c r="SJK11" s="348"/>
      <c r="SJL11" s="348"/>
      <c r="SJM11" s="348"/>
      <c r="SJN11" s="348"/>
      <c r="SJO11" s="348"/>
      <c r="SJP11" s="348"/>
      <c r="SJQ11" s="348"/>
      <c r="SJR11" s="348"/>
      <c r="SJS11" s="348"/>
      <c r="SJT11" s="348"/>
      <c r="SJU11" s="348"/>
      <c r="SJV11" s="348"/>
      <c r="SJW11" s="348"/>
      <c r="SJX11" s="348"/>
      <c r="SJY11" s="348"/>
      <c r="SJZ11" s="348"/>
      <c r="SKA11" s="348"/>
      <c r="SKB11" s="348"/>
      <c r="SKC11" s="348"/>
      <c r="SKD11" s="348"/>
      <c r="SKE11" s="348"/>
      <c r="SKF11" s="348"/>
      <c r="SKG11" s="348"/>
      <c r="SKH11" s="348"/>
      <c r="SKI11" s="348"/>
      <c r="SKJ11" s="348"/>
      <c r="SKK11" s="348"/>
      <c r="SKL11" s="348"/>
      <c r="SKM11" s="348"/>
      <c r="SKN11" s="348"/>
      <c r="SKO11" s="348"/>
      <c r="SKP11" s="348"/>
      <c r="SKQ11" s="348"/>
      <c r="SKR11" s="348"/>
      <c r="SKS11" s="348"/>
      <c r="SKT11" s="348"/>
      <c r="SKU11" s="348"/>
      <c r="SKV11" s="348"/>
      <c r="SKW11" s="348"/>
      <c r="SKX11" s="348"/>
      <c r="SKY11" s="348"/>
      <c r="SKZ11" s="348"/>
      <c r="SLA11" s="348"/>
      <c r="SLB11" s="348"/>
      <c r="SLC11" s="348"/>
      <c r="SLD11" s="348"/>
      <c r="SLE11" s="348"/>
      <c r="SLF11" s="348"/>
      <c r="SLG11" s="348"/>
      <c r="SLH11" s="348"/>
      <c r="SLI11" s="348"/>
      <c r="SLJ11" s="348"/>
      <c r="SLK11" s="348"/>
      <c r="SLL11" s="348"/>
      <c r="SLM11" s="348"/>
      <c r="SLN11" s="348"/>
      <c r="SLO11" s="348"/>
      <c r="SLP11" s="348"/>
      <c r="SLQ11" s="348"/>
      <c r="SLR11" s="348"/>
      <c r="SLS11" s="348"/>
      <c r="SLT11" s="348"/>
      <c r="SLU11" s="348"/>
      <c r="SLV11" s="348"/>
      <c r="SLW11" s="348"/>
      <c r="SLX11" s="348"/>
      <c r="SLY11" s="348"/>
      <c r="SLZ11" s="348"/>
      <c r="SMA11" s="348"/>
      <c r="SMB11" s="348"/>
      <c r="SMC11" s="348"/>
      <c r="SMD11" s="348"/>
      <c r="SME11" s="348"/>
      <c r="SMF11" s="348"/>
      <c r="SMG11" s="348"/>
      <c r="SMH11" s="348"/>
      <c r="SMI11" s="348"/>
      <c r="SMJ11" s="348"/>
      <c r="SMK11" s="348"/>
      <c r="SML11" s="348"/>
      <c r="SMM11" s="348"/>
      <c r="SMN11" s="348"/>
      <c r="SMO11" s="348"/>
      <c r="SMP11" s="348"/>
      <c r="SMQ11" s="348"/>
      <c r="SMR11" s="348"/>
      <c r="SMS11" s="348"/>
      <c r="SMT11" s="348"/>
      <c r="SMU11" s="348"/>
      <c r="SMV11" s="348"/>
      <c r="SMW11" s="348"/>
      <c r="SMX11" s="348"/>
      <c r="SMY11" s="348"/>
      <c r="SMZ11" s="348"/>
      <c r="SNA11" s="348"/>
      <c r="SNB11" s="348"/>
      <c r="SNC11" s="348"/>
      <c r="SND11" s="348"/>
      <c r="SNE11" s="348"/>
      <c r="SNF11" s="348"/>
      <c r="SNG11" s="348"/>
      <c r="SNH11" s="348"/>
      <c r="SNI11" s="348"/>
      <c r="SNJ11" s="348"/>
      <c r="SNK11" s="348"/>
      <c r="SNL11" s="348"/>
      <c r="SNM11" s="348"/>
      <c r="SNN11" s="348"/>
      <c r="SNO11" s="348"/>
      <c r="SNP11" s="348"/>
      <c r="SNQ11" s="348"/>
      <c r="SNR11" s="348"/>
      <c r="SNS11" s="348"/>
      <c r="SNT11" s="348"/>
      <c r="SNU11" s="348"/>
      <c r="SNV11" s="348"/>
      <c r="SNW11" s="348"/>
      <c r="SNX11" s="348"/>
      <c r="SNY11" s="348"/>
      <c r="SNZ11" s="348"/>
      <c r="SOA11" s="348"/>
      <c r="SOB11" s="348"/>
      <c r="SOC11" s="348"/>
      <c r="SOD11" s="348"/>
      <c r="SOE11" s="348"/>
      <c r="SOF11" s="348"/>
      <c r="SOG11" s="348"/>
      <c r="SOH11" s="348"/>
      <c r="SOI11" s="348"/>
      <c r="SOJ11" s="348"/>
      <c r="SOK11" s="348"/>
      <c r="SOL11" s="348"/>
      <c r="SOM11" s="348"/>
      <c r="SON11" s="348"/>
      <c r="SOO11" s="348"/>
      <c r="SOP11" s="348"/>
      <c r="SOQ11" s="348"/>
      <c r="SOR11" s="348"/>
      <c r="SOS11" s="348"/>
      <c r="SOT11" s="348"/>
      <c r="SOU11" s="348"/>
      <c r="SOV11" s="348"/>
      <c r="SOW11" s="348"/>
      <c r="SOX11" s="348"/>
      <c r="SOY11" s="348"/>
      <c r="SOZ11" s="348"/>
      <c r="SPA11" s="348"/>
      <c r="SPB11" s="348"/>
      <c r="SPC11" s="348"/>
      <c r="SPD11" s="348"/>
      <c r="SPE11" s="348"/>
      <c r="SPF11" s="348"/>
      <c r="SPG11" s="348"/>
      <c r="SPH11" s="348"/>
      <c r="SPI11" s="348"/>
      <c r="SPJ11" s="348"/>
      <c r="SPK11" s="348"/>
      <c r="SPL11" s="348"/>
      <c r="SPM11" s="348"/>
      <c r="SPN11" s="348"/>
      <c r="SPO11" s="348"/>
      <c r="SPP11" s="348"/>
      <c r="SPQ11" s="348"/>
      <c r="SPR11" s="348"/>
      <c r="SPS11" s="348"/>
      <c r="SPT11" s="348"/>
      <c r="SPU11" s="348"/>
      <c r="SPV11" s="348"/>
      <c r="SPW11" s="348"/>
      <c r="SPX11" s="348"/>
      <c r="SPY11" s="348"/>
      <c r="SPZ11" s="348"/>
      <c r="SQA11" s="348"/>
      <c r="SQB11" s="348"/>
      <c r="SQC11" s="348"/>
      <c r="SQD11" s="348"/>
      <c r="SQE11" s="348"/>
      <c r="SQF11" s="348"/>
      <c r="SQG11" s="348"/>
      <c r="SQH11" s="348"/>
      <c r="SQI11" s="348"/>
      <c r="SQJ11" s="348"/>
      <c r="SQK11" s="348"/>
      <c r="SQL11" s="348"/>
      <c r="SQM11" s="348"/>
      <c r="SQN11" s="348"/>
      <c r="SQO11" s="348"/>
      <c r="SQP11" s="348"/>
      <c r="SQQ11" s="348"/>
      <c r="SQR11" s="348"/>
      <c r="SQS11" s="348"/>
      <c r="SQT11" s="348"/>
      <c r="SQU11" s="348"/>
      <c r="SQV11" s="348"/>
      <c r="SQW11" s="348"/>
      <c r="SQX11" s="348"/>
      <c r="SQY11" s="348"/>
      <c r="SQZ11" s="348"/>
      <c r="SRA11" s="348"/>
      <c r="SRB11" s="348"/>
      <c r="SRC11" s="348"/>
      <c r="SRD11" s="348"/>
      <c r="SRE11" s="348"/>
      <c r="SRF11" s="348"/>
      <c r="SRG11" s="348"/>
      <c r="SRH11" s="348"/>
      <c r="SRI11" s="348"/>
      <c r="SRJ11" s="348"/>
      <c r="SRK11" s="348"/>
      <c r="SRL11" s="348"/>
      <c r="SRM11" s="348"/>
      <c r="SRN11" s="348"/>
      <c r="SRO11" s="348"/>
      <c r="SRP11" s="348"/>
      <c r="SRQ11" s="348"/>
      <c r="SRR11" s="348"/>
      <c r="SRS11" s="348"/>
      <c r="SRT11" s="348"/>
      <c r="SRU11" s="348"/>
      <c r="SRV11" s="348"/>
      <c r="SRW11" s="348"/>
      <c r="SRX11" s="348"/>
      <c r="SRY11" s="348"/>
      <c r="SRZ11" s="348"/>
      <c r="SSA11" s="348"/>
      <c r="SSB11" s="348"/>
      <c r="SSC11" s="348"/>
      <c r="SSD11" s="348"/>
      <c r="SSE11" s="348"/>
      <c r="SSF11" s="348"/>
      <c r="SSG11" s="348"/>
      <c r="SSH11" s="348"/>
      <c r="SSI11" s="348"/>
      <c r="SSJ11" s="348"/>
      <c r="SSK11" s="348"/>
      <c r="SSL11" s="348"/>
      <c r="SSM11" s="348"/>
      <c r="SSN11" s="348"/>
      <c r="SSO11" s="348"/>
      <c r="SSP11" s="348"/>
      <c r="SSQ11" s="348"/>
      <c r="SSR11" s="348"/>
      <c r="SSS11" s="348"/>
      <c r="SST11" s="348"/>
      <c r="SSU11" s="348"/>
      <c r="SSV11" s="348"/>
      <c r="SSW11" s="348"/>
      <c r="SSX11" s="348"/>
      <c r="SSY11" s="348"/>
      <c r="SSZ11" s="348"/>
      <c r="STA11" s="348"/>
      <c r="STB11" s="348"/>
      <c r="STC11" s="348"/>
      <c r="STD11" s="348"/>
      <c r="STE11" s="348"/>
      <c r="STF11" s="348"/>
      <c r="STG11" s="348"/>
      <c r="STH11" s="348"/>
      <c r="STI11" s="348"/>
      <c r="STJ11" s="348"/>
      <c r="STK11" s="348"/>
      <c r="STL11" s="348"/>
      <c r="STM11" s="348"/>
      <c r="STN11" s="348"/>
      <c r="STO11" s="348"/>
      <c r="STP11" s="348"/>
      <c r="STQ11" s="348"/>
      <c r="STR11" s="348"/>
      <c r="STS11" s="348"/>
      <c r="STT11" s="348"/>
      <c r="STU11" s="348"/>
      <c r="STV11" s="348"/>
      <c r="STW11" s="348"/>
      <c r="STX11" s="348"/>
      <c r="STY11" s="348"/>
      <c r="STZ11" s="348"/>
      <c r="SUA11" s="348"/>
      <c r="SUB11" s="348"/>
      <c r="SUC11" s="348"/>
      <c r="SUD11" s="348"/>
      <c r="SUE11" s="348"/>
      <c r="SUF11" s="348"/>
      <c r="SUG11" s="348"/>
      <c r="SUH11" s="348"/>
      <c r="SUI11" s="348"/>
      <c r="SUJ11" s="348"/>
      <c r="SUK11" s="348"/>
      <c r="SUL11" s="348"/>
      <c r="SUM11" s="348"/>
      <c r="SUN11" s="348"/>
      <c r="SUO11" s="348"/>
      <c r="SUP11" s="348"/>
      <c r="SUQ11" s="348"/>
      <c r="SUR11" s="348"/>
      <c r="SUS11" s="348"/>
      <c r="SUT11" s="348"/>
      <c r="SUU11" s="348"/>
      <c r="SUV11" s="348"/>
      <c r="SUW11" s="348"/>
      <c r="SUX11" s="348"/>
      <c r="SUY11" s="348"/>
      <c r="SUZ11" s="348"/>
      <c r="SVA11" s="348"/>
      <c r="SVB11" s="348"/>
      <c r="SVC11" s="348"/>
      <c r="SVD11" s="348"/>
      <c r="SVE11" s="348"/>
      <c r="SVF11" s="348"/>
      <c r="SVG11" s="348"/>
      <c r="SVH11" s="348"/>
      <c r="SVI11" s="348"/>
      <c r="SVJ11" s="348"/>
      <c r="SVK11" s="348"/>
      <c r="SVL11" s="348"/>
      <c r="SVM11" s="348"/>
      <c r="SVN11" s="348"/>
      <c r="SVO11" s="348"/>
      <c r="SVP11" s="348"/>
      <c r="SVQ11" s="348"/>
      <c r="SVR11" s="348"/>
      <c r="SVS11" s="348"/>
      <c r="SVT11" s="348"/>
      <c r="SVU11" s="348"/>
      <c r="SVV11" s="348"/>
      <c r="SVW11" s="348"/>
      <c r="SVX11" s="348"/>
      <c r="SVY11" s="348"/>
      <c r="SVZ11" s="348"/>
      <c r="SWA11" s="348"/>
      <c r="SWB11" s="348"/>
      <c r="SWC11" s="348"/>
      <c r="SWD11" s="348"/>
      <c r="SWE11" s="348"/>
      <c r="SWF11" s="348"/>
      <c r="SWG11" s="348"/>
      <c r="SWH11" s="348"/>
      <c r="SWI11" s="348"/>
      <c r="SWJ11" s="348"/>
      <c r="SWK11" s="348"/>
      <c r="SWL11" s="348"/>
      <c r="SWM11" s="348"/>
      <c r="SWN11" s="348"/>
      <c r="SWO11" s="348"/>
      <c r="SWP11" s="348"/>
      <c r="SWQ11" s="348"/>
      <c r="SWR11" s="348"/>
      <c r="SWS11" s="348"/>
      <c r="SWT11" s="348"/>
      <c r="SWU11" s="348"/>
      <c r="SWV11" s="348"/>
      <c r="SWW11" s="348"/>
      <c r="SWX11" s="348"/>
      <c r="SWY11" s="348"/>
      <c r="SWZ11" s="348"/>
      <c r="SXA11" s="348"/>
      <c r="SXB11" s="348"/>
      <c r="SXC11" s="348"/>
      <c r="SXD11" s="348"/>
      <c r="SXE11" s="348"/>
      <c r="SXF11" s="348"/>
      <c r="SXG11" s="348"/>
      <c r="SXH11" s="348"/>
      <c r="SXI11" s="348"/>
      <c r="SXJ11" s="348"/>
      <c r="SXK11" s="348"/>
      <c r="SXL11" s="348"/>
      <c r="SXM11" s="348"/>
      <c r="SXN11" s="348"/>
      <c r="SXO11" s="348"/>
      <c r="SXP11" s="348"/>
      <c r="SXQ11" s="348"/>
      <c r="SXR11" s="348"/>
      <c r="SXS11" s="348"/>
      <c r="SXT11" s="348"/>
      <c r="SXU11" s="348"/>
      <c r="SXV11" s="348"/>
      <c r="SXW11" s="348"/>
      <c r="SXX11" s="348"/>
      <c r="SXY11" s="348"/>
      <c r="SXZ11" s="348"/>
      <c r="SYA11" s="348"/>
      <c r="SYB11" s="348"/>
      <c r="SYC11" s="348"/>
      <c r="SYD11" s="348"/>
      <c r="SYE11" s="348"/>
      <c r="SYF11" s="348"/>
      <c r="SYG11" s="348"/>
      <c r="SYH11" s="348"/>
      <c r="SYI11" s="348"/>
      <c r="SYJ11" s="348"/>
      <c r="SYK11" s="348"/>
      <c r="SYL11" s="348"/>
      <c r="SYM11" s="348"/>
      <c r="SYN11" s="348"/>
      <c r="SYO11" s="348"/>
      <c r="SYP11" s="348"/>
      <c r="SYQ11" s="348"/>
      <c r="SYR11" s="348"/>
      <c r="SYS11" s="348"/>
      <c r="SYT11" s="348"/>
      <c r="SYU11" s="348"/>
      <c r="SYV11" s="348"/>
      <c r="SYW11" s="348"/>
      <c r="SYX11" s="348"/>
      <c r="SYY11" s="348"/>
      <c r="SYZ11" s="348"/>
      <c r="SZA11" s="348"/>
      <c r="SZB11" s="348"/>
      <c r="SZC11" s="348"/>
      <c r="SZD11" s="348"/>
      <c r="SZE11" s="348"/>
      <c r="SZF11" s="348"/>
      <c r="SZG11" s="348"/>
      <c r="SZH11" s="348"/>
      <c r="SZI11" s="348"/>
      <c r="SZJ11" s="348"/>
      <c r="SZK11" s="348"/>
      <c r="SZL11" s="348"/>
      <c r="SZM11" s="348"/>
      <c r="SZN11" s="348"/>
      <c r="SZO11" s="348"/>
      <c r="SZP11" s="348"/>
      <c r="SZQ11" s="348"/>
      <c r="SZR11" s="348"/>
      <c r="SZS11" s="348"/>
      <c r="SZT11" s="348"/>
      <c r="SZU11" s="348"/>
      <c r="SZV11" s="348"/>
      <c r="SZW11" s="348"/>
      <c r="SZX11" s="348"/>
      <c r="SZY11" s="348"/>
      <c r="SZZ11" s="348"/>
      <c r="TAA11" s="348"/>
      <c r="TAB11" s="348"/>
      <c r="TAC11" s="348"/>
      <c r="TAD11" s="348"/>
      <c r="TAE11" s="348"/>
      <c r="TAF11" s="348"/>
      <c r="TAG11" s="348"/>
      <c r="TAH11" s="348"/>
      <c r="TAI11" s="348"/>
      <c r="TAJ11" s="348"/>
      <c r="TAK11" s="348"/>
      <c r="TAL11" s="348"/>
      <c r="TAM11" s="348"/>
      <c r="TAN11" s="348"/>
      <c r="TAO11" s="348"/>
      <c r="TAP11" s="348"/>
      <c r="TAQ11" s="348"/>
      <c r="TAR11" s="348"/>
      <c r="TAS11" s="348"/>
      <c r="TAT11" s="348"/>
      <c r="TAU11" s="348"/>
      <c r="TAV11" s="348"/>
      <c r="TAW11" s="348"/>
      <c r="TAX11" s="348"/>
      <c r="TAY11" s="348"/>
      <c r="TAZ11" s="348"/>
      <c r="TBA11" s="348"/>
      <c r="TBB11" s="348"/>
      <c r="TBC11" s="348"/>
      <c r="TBD11" s="348"/>
      <c r="TBE11" s="348"/>
      <c r="TBF11" s="348"/>
      <c r="TBG11" s="348"/>
      <c r="TBH11" s="348"/>
      <c r="TBI11" s="348"/>
      <c r="TBJ11" s="348"/>
      <c r="TBK11" s="348"/>
      <c r="TBL11" s="348"/>
      <c r="TBM11" s="348"/>
      <c r="TBN11" s="348"/>
      <c r="TBO11" s="348"/>
      <c r="TBP11" s="348"/>
      <c r="TBQ11" s="348"/>
      <c r="TBR11" s="348"/>
      <c r="TBS11" s="348"/>
      <c r="TBT11" s="348"/>
      <c r="TBU11" s="348"/>
      <c r="TBV11" s="348"/>
      <c r="TBW11" s="348"/>
      <c r="TBX11" s="348"/>
      <c r="TBY11" s="348"/>
      <c r="TBZ11" s="348"/>
      <c r="TCA11" s="348"/>
      <c r="TCB11" s="348"/>
      <c r="TCC11" s="348"/>
      <c r="TCD11" s="348"/>
      <c r="TCE11" s="348"/>
      <c r="TCF11" s="348"/>
      <c r="TCG11" s="348"/>
      <c r="TCH11" s="348"/>
      <c r="TCI11" s="348"/>
      <c r="TCJ11" s="348"/>
      <c r="TCK11" s="348"/>
      <c r="TCL11" s="348"/>
      <c r="TCM11" s="348"/>
      <c r="TCN11" s="348"/>
      <c r="TCO11" s="348"/>
      <c r="TCP11" s="348"/>
      <c r="TCQ11" s="348"/>
      <c r="TCR11" s="348"/>
      <c r="TCS11" s="348"/>
      <c r="TCT11" s="348"/>
      <c r="TCU11" s="348"/>
      <c r="TCV11" s="348"/>
      <c r="TCW11" s="348"/>
      <c r="TCX11" s="348"/>
      <c r="TCY11" s="348"/>
      <c r="TCZ11" s="348"/>
      <c r="TDA11" s="348"/>
      <c r="TDB11" s="348"/>
      <c r="TDC11" s="348"/>
      <c r="TDD11" s="348"/>
      <c r="TDE11" s="348"/>
      <c r="TDF11" s="348"/>
      <c r="TDG11" s="348"/>
      <c r="TDH11" s="348"/>
      <c r="TDI11" s="348"/>
      <c r="TDJ11" s="348"/>
      <c r="TDK11" s="348"/>
      <c r="TDL11" s="348"/>
      <c r="TDM11" s="348"/>
      <c r="TDN11" s="348"/>
      <c r="TDO11" s="348"/>
      <c r="TDP11" s="348"/>
      <c r="TDQ11" s="348"/>
      <c r="TDR11" s="348"/>
      <c r="TDS11" s="348"/>
      <c r="TDT11" s="348"/>
      <c r="TDU11" s="348"/>
      <c r="TDV11" s="348"/>
      <c r="TDW11" s="348"/>
      <c r="TDX11" s="348"/>
      <c r="TDY11" s="348"/>
      <c r="TDZ11" s="348"/>
      <c r="TEA11" s="348"/>
      <c r="TEB11" s="348"/>
      <c r="TEC11" s="348"/>
      <c r="TED11" s="348"/>
      <c r="TEE11" s="348"/>
      <c r="TEF11" s="348"/>
      <c r="TEG11" s="348"/>
      <c r="TEH11" s="348"/>
      <c r="TEI11" s="348"/>
      <c r="TEJ11" s="348"/>
      <c r="TEK11" s="348"/>
      <c r="TEL11" s="348"/>
      <c r="TEM11" s="348"/>
      <c r="TEN11" s="348"/>
      <c r="TEO11" s="348"/>
      <c r="TEP11" s="348"/>
      <c r="TEQ11" s="348"/>
      <c r="TER11" s="348"/>
      <c r="TES11" s="348"/>
      <c r="TET11" s="348"/>
      <c r="TEU11" s="348"/>
      <c r="TEV11" s="348"/>
      <c r="TEW11" s="348"/>
      <c r="TEX11" s="348"/>
      <c r="TEY11" s="348"/>
      <c r="TEZ11" s="348"/>
      <c r="TFA11" s="348"/>
      <c r="TFB11" s="348"/>
      <c r="TFC11" s="348"/>
      <c r="TFD11" s="348"/>
      <c r="TFE11" s="348"/>
      <c r="TFF11" s="348"/>
      <c r="TFG11" s="348"/>
      <c r="TFH11" s="348"/>
      <c r="TFI11" s="348"/>
      <c r="TFJ11" s="348"/>
      <c r="TFK11" s="348"/>
      <c r="TFL11" s="348"/>
      <c r="TFM11" s="348"/>
      <c r="TFN11" s="348"/>
      <c r="TFO11" s="348"/>
      <c r="TFP11" s="348"/>
      <c r="TFQ11" s="348"/>
      <c r="TFR11" s="348"/>
      <c r="TFS11" s="348"/>
      <c r="TFT11" s="348"/>
      <c r="TFU11" s="348"/>
      <c r="TFV11" s="348"/>
      <c r="TFW11" s="348"/>
      <c r="TFX11" s="348"/>
      <c r="TFY11" s="348"/>
      <c r="TFZ11" s="348"/>
      <c r="TGA11" s="348"/>
      <c r="TGB11" s="348"/>
      <c r="TGC11" s="348"/>
      <c r="TGD11" s="348"/>
      <c r="TGE11" s="348"/>
      <c r="TGF11" s="348"/>
      <c r="TGG11" s="348"/>
      <c r="TGH11" s="348"/>
      <c r="TGI11" s="348"/>
      <c r="TGJ11" s="348"/>
      <c r="TGK11" s="348"/>
      <c r="TGL11" s="348"/>
      <c r="TGM11" s="348"/>
      <c r="TGN11" s="348"/>
      <c r="TGO11" s="348"/>
      <c r="TGP11" s="348"/>
      <c r="TGQ11" s="348"/>
      <c r="TGR11" s="348"/>
      <c r="TGS11" s="348"/>
      <c r="TGT11" s="348"/>
      <c r="TGU11" s="348"/>
      <c r="TGV11" s="348"/>
      <c r="TGW11" s="348"/>
      <c r="TGX11" s="348"/>
      <c r="TGY11" s="348"/>
      <c r="TGZ11" s="348"/>
      <c r="THA11" s="348"/>
      <c r="THB11" s="348"/>
      <c r="THC11" s="348"/>
      <c r="THD11" s="348"/>
      <c r="THE11" s="348"/>
      <c r="THF11" s="348"/>
      <c r="THG11" s="348"/>
      <c r="THH11" s="348"/>
      <c r="THI11" s="348"/>
      <c r="THJ11" s="348"/>
      <c r="THK11" s="348"/>
      <c r="THL11" s="348"/>
      <c r="THM11" s="348"/>
      <c r="THN11" s="348"/>
      <c r="THO11" s="348"/>
      <c r="THP11" s="348"/>
      <c r="THQ11" s="348"/>
      <c r="THR11" s="348"/>
      <c r="THS11" s="348"/>
      <c r="THT11" s="348"/>
      <c r="THU11" s="348"/>
      <c r="THV11" s="348"/>
      <c r="THW11" s="348"/>
      <c r="THX11" s="348"/>
      <c r="THY11" s="348"/>
      <c r="THZ11" s="348"/>
      <c r="TIA11" s="348"/>
      <c r="TIB11" s="348"/>
      <c r="TIC11" s="348"/>
      <c r="TID11" s="348"/>
      <c r="TIE11" s="348"/>
      <c r="TIF11" s="348"/>
      <c r="TIG11" s="348"/>
      <c r="TIH11" s="348"/>
      <c r="TII11" s="348"/>
      <c r="TIJ11" s="348"/>
      <c r="TIK11" s="348"/>
      <c r="TIL11" s="348"/>
      <c r="TIM11" s="348"/>
      <c r="TIN11" s="348"/>
      <c r="TIO11" s="348"/>
      <c r="TIP11" s="348"/>
      <c r="TIQ11" s="348"/>
      <c r="TIR11" s="348"/>
      <c r="TIS11" s="348"/>
      <c r="TIT11" s="348"/>
      <c r="TIU11" s="348"/>
      <c r="TIV11" s="348"/>
      <c r="TIW11" s="348"/>
      <c r="TIX11" s="348"/>
      <c r="TIY11" s="348"/>
      <c r="TIZ11" s="348"/>
      <c r="TJA11" s="348"/>
      <c r="TJB11" s="348"/>
      <c r="TJC11" s="348"/>
      <c r="TJD11" s="348"/>
      <c r="TJE11" s="348"/>
      <c r="TJF11" s="348"/>
      <c r="TJG11" s="348"/>
      <c r="TJH11" s="348"/>
      <c r="TJI11" s="348"/>
      <c r="TJJ11" s="348"/>
      <c r="TJK11" s="348"/>
      <c r="TJL11" s="348"/>
      <c r="TJM11" s="348"/>
      <c r="TJN11" s="348"/>
      <c r="TJO11" s="348"/>
      <c r="TJP11" s="348"/>
      <c r="TJQ11" s="348"/>
      <c r="TJR11" s="348"/>
      <c r="TJS11" s="348"/>
      <c r="TJT11" s="348"/>
      <c r="TJU11" s="348"/>
      <c r="TJV11" s="348"/>
      <c r="TJW11" s="348"/>
      <c r="TJX11" s="348"/>
      <c r="TJY11" s="348"/>
      <c r="TJZ11" s="348"/>
      <c r="TKA11" s="348"/>
      <c r="TKB11" s="348"/>
      <c r="TKC11" s="348"/>
      <c r="TKD11" s="348"/>
      <c r="TKE11" s="348"/>
      <c r="TKF11" s="348"/>
      <c r="TKG11" s="348"/>
      <c r="TKH11" s="348"/>
      <c r="TKI11" s="348"/>
      <c r="TKJ11" s="348"/>
      <c r="TKK11" s="348"/>
      <c r="TKL11" s="348"/>
      <c r="TKM11" s="348"/>
      <c r="TKN11" s="348"/>
      <c r="TKO11" s="348"/>
      <c r="TKP11" s="348"/>
      <c r="TKQ11" s="348"/>
      <c r="TKR11" s="348"/>
      <c r="TKS11" s="348"/>
      <c r="TKT11" s="348"/>
      <c r="TKU11" s="348"/>
      <c r="TKV11" s="348"/>
      <c r="TKW11" s="348"/>
      <c r="TKX11" s="348"/>
      <c r="TKY11" s="348"/>
      <c r="TKZ11" s="348"/>
      <c r="TLA11" s="348"/>
      <c r="TLB11" s="348"/>
      <c r="TLC11" s="348"/>
      <c r="TLD11" s="348"/>
      <c r="TLE11" s="348"/>
      <c r="TLF11" s="348"/>
      <c r="TLG11" s="348"/>
      <c r="TLH11" s="348"/>
      <c r="TLI11" s="348"/>
      <c r="TLJ11" s="348"/>
      <c r="TLK11" s="348"/>
      <c r="TLL11" s="348"/>
      <c r="TLM11" s="348"/>
      <c r="TLN11" s="348"/>
      <c r="TLO11" s="348"/>
      <c r="TLP11" s="348"/>
      <c r="TLQ11" s="348"/>
      <c r="TLR11" s="348"/>
      <c r="TLS11" s="348"/>
      <c r="TLT11" s="348"/>
      <c r="TLU11" s="348"/>
      <c r="TLV11" s="348"/>
      <c r="TLW11" s="348"/>
      <c r="TLX11" s="348"/>
      <c r="TLY11" s="348"/>
      <c r="TLZ11" s="348"/>
      <c r="TMA11" s="348"/>
      <c r="TMB11" s="348"/>
      <c r="TMC11" s="348"/>
      <c r="TMD11" s="348"/>
      <c r="TME11" s="348"/>
      <c r="TMF11" s="348"/>
      <c r="TMG11" s="348"/>
      <c r="TMH11" s="348"/>
      <c r="TMI11" s="348"/>
      <c r="TMJ11" s="348"/>
      <c r="TMK11" s="348"/>
      <c r="TML11" s="348"/>
      <c r="TMM11" s="348"/>
      <c r="TMN11" s="348"/>
      <c r="TMO11" s="348"/>
      <c r="TMP11" s="348"/>
      <c r="TMQ11" s="348"/>
      <c r="TMR11" s="348"/>
      <c r="TMS11" s="348"/>
      <c r="TMT11" s="348"/>
      <c r="TMU11" s="348"/>
      <c r="TMV11" s="348"/>
      <c r="TMW11" s="348"/>
      <c r="TMX11" s="348"/>
      <c r="TMY11" s="348"/>
      <c r="TMZ11" s="348"/>
      <c r="TNA11" s="348"/>
      <c r="TNB11" s="348"/>
      <c r="TNC11" s="348"/>
      <c r="TND11" s="348"/>
      <c r="TNE11" s="348"/>
      <c r="TNF11" s="348"/>
      <c r="TNG11" s="348"/>
      <c r="TNH11" s="348"/>
      <c r="TNI11" s="348"/>
      <c r="TNJ11" s="348"/>
      <c r="TNK11" s="348"/>
      <c r="TNL11" s="348"/>
      <c r="TNM11" s="348"/>
      <c r="TNN11" s="348"/>
      <c r="TNO11" s="348"/>
      <c r="TNP11" s="348"/>
      <c r="TNQ11" s="348"/>
      <c r="TNR11" s="348"/>
      <c r="TNS11" s="348"/>
      <c r="TNT11" s="348"/>
      <c r="TNU11" s="348"/>
      <c r="TNV11" s="348"/>
      <c r="TNW11" s="348"/>
      <c r="TNX11" s="348"/>
      <c r="TNY11" s="348"/>
      <c r="TNZ11" s="348"/>
      <c r="TOA11" s="348"/>
      <c r="TOB11" s="348"/>
      <c r="TOC11" s="348"/>
      <c r="TOD11" s="348"/>
      <c r="TOE11" s="348"/>
      <c r="TOF11" s="348"/>
      <c r="TOG11" s="348"/>
      <c r="TOH11" s="348"/>
      <c r="TOI11" s="348"/>
      <c r="TOJ11" s="348"/>
      <c r="TOK11" s="348"/>
      <c r="TOL11" s="348"/>
      <c r="TOM11" s="348"/>
      <c r="TON11" s="348"/>
      <c r="TOO11" s="348"/>
      <c r="TOP11" s="348"/>
      <c r="TOQ11" s="348"/>
      <c r="TOR11" s="348"/>
      <c r="TOS11" s="348"/>
      <c r="TOT11" s="348"/>
      <c r="TOU11" s="348"/>
      <c r="TOV11" s="348"/>
      <c r="TOW11" s="348"/>
      <c r="TOX11" s="348"/>
      <c r="TOY11" s="348"/>
      <c r="TOZ11" s="348"/>
      <c r="TPA11" s="348"/>
      <c r="TPB11" s="348"/>
      <c r="TPC11" s="348"/>
      <c r="TPD11" s="348"/>
      <c r="TPE11" s="348"/>
      <c r="TPF11" s="348"/>
      <c r="TPG11" s="348"/>
      <c r="TPH11" s="348"/>
      <c r="TPI11" s="348"/>
      <c r="TPJ11" s="348"/>
      <c r="TPK11" s="348"/>
      <c r="TPL11" s="348"/>
      <c r="TPM11" s="348"/>
      <c r="TPN11" s="348"/>
      <c r="TPO11" s="348"/>
      <c r="TPP11" s="348"/>
      <c r="TPQ11" s="348"/>
      <c r="TPR11" s="348"/>
      <c r="TPS11" s="348"/>
      <c r="TPT11" s="348"/>
      <c r="TPU11" s="348"/>
      <c r="TPV11" s="348"/>
      <c r="TPW11" s="348"/>
      <c r="TPX11" s="348"/>
      <c r="TPY11" s="348"/>
      <c r="TPZ11" s="348"/>
      <c r="TQA11" s="348"/>
      <c r="TQB11" s="348"/>
      <c r="TQC11" s="348"/>
      <c r="TQD11" s="348"/>
      <c r="TQE11" s="348"/>
      <c r="TQF11" s="348"/>
      <c r="TQG11" s="348"/>
      <c r="TQH11" s="348"/>
      <c r="TQI11" s="348"/>
      <c r="TQJ11" s="348"/>
      <c r="TQK11" s="348"/>
      <c r="TQL11" s="348"/>
      <c r="TQM11" s="348"/>
      <c r="TQN11" s="348"/>
      <c r="TQO11" s="348"/>
      <c r="TQP11" s="348"/>
      <c r="TQQ11" s="348"/>
      <c r="TQR11" s="348"/>
      <c r="TQS11" s="348"/>
      <c r="TQT11" s="348"/>
      <c r="TQU11" s="348"/>
      <c r="TQV11" s="348"/>
      <c r="TQW11" s="348"/>
      <c r="TQX11" s="348"/>
      <c r="TQY11" s="348"/>
      <c r="TQZ11" s="348"/>
      <c r="TRA11" s="348"/>
      <c r="TRB11" s="348"/>
      <c r="TRC11" s="348"/>
      <c r="TRD11" s="348"/>
      <c r="TRE11" s="348"/>
      <c r="TRF11" s="348"/>
      <c r="TRG11" s="348"/>
      <c r="TRH11" s="348"/>
      <c r="TRI11" s="348"/>
      <c r="TRJ11" s="348"/>
      <c r="TRK11" s="348"/>
      <c r="TRL11" s="348"/>
      <c r="TRM11" s="348"/>
      <c r="TRN11" s="348"/>
      <c r="TRO11" s="348"/>
      <c r="TRP11" s="348"/>
      <c r="TRQ11" s="348"/>
      <c r="TRR11" s="348"/>
      <c r="TRS11" s="348"/>
      <c r="TRT11" s="348"/>
      <c r="TRU11" s="348"/>
      <c r="TRV11" s="348"/>
      <c r="TRW11" s="348"/>
      <c r="TRX11" s="348"/>
      <c r="TRY11" s="348"/>
      <c r="TRZ11" s="348"/>
      <c r="TSA11" s="348"/>
      <c r="TSB11" s="348"/>
      <c r="TSC11" s="348"/>
      <c r="TSD11" s="348"/>
      <c r="TSE11" s="348"/>
      <c r="TSF11" s="348"/>
      <c r="TSG11" s="348"/>
      <c r="TSH11" s="348"/>
      <c r="TSI11" s="348"/>
      <c r="TSJ11" s="348"/>
      <c r="TSK11" s="348"/>
      <c r="TSL11" s="348"/>
      <c r="TSM11" s="348"/>
      <c r="TSN11" s="348"/>
      <c r="TSO11" s="348"/>
      <c r="TSP11" s="348"/>
      <c r="TSQ11" s="348"/>
      <c r="TSR11" s="348"/>
      <c r="TSS11" s="348"/>
      <c r="TST11" s="348"/>
      <c r="TSU11" s="348"/>
      <c r="TSV11" s="348"/>
      <c r="TSW11" s="348"/>
      <c r="TSX11" s="348"/>
      <c r="TSY11" s="348"/>
      <c r="TSZ11" s="348"/>
      <c r="TTA11" s="348"/>
      <c r="TTB11" s="348"/>
      <c r="TTC11" s="348"/>
      <c r="TTD11" s="348"/>
      <c r="TTE11" s="348"/>
      <c r="TTF11" s="348"/>
      <c r="TTG11" s="348"/>
      <c r="TTH11" s="348"/>
      <c r="TTI11" s="348"/>
      <c r="TTJ11" s="348"/>
      <c r="TTK11" s="348"/>
      <c r="TTL11" s="348"/>
      <c r="TTM11" s="348"/>
      <c r="TTN11" s="348"/>
      <c r="TTO11" s="348"/>
      <c r="TTP11" s="348"/>
      <c r="TTQ11" s="348"/>
      <c r="TTR11" s="348"/>
      <c r="TTS11" s="348"/>
      <c r="TTT11" s="348"/>
      <c r="TTU11" s="348"/>
      <c r="TTV11" s="348"/>
      <c r="TTW11" s="348"/>
      <c r="TTX11" s="348"/>
      <c r="TTY11" s="348"/>
      <c r="TTZ11" s="348"/>
      <c r="TUA11" s="348"/>
      <c r="TUB11" s="348"/>
      <c r="TUC11" s="348"/>
      <c r="TUD11" s="348"/>
      <c r="TUE11" s="348"/>
      <c r="TUF11" s="348"/>
      <c r="TUG11" s="348"/>
      <c r="TUH11" s="348"/>
      <c r="TUI11" s="348"/>
      <c r="TUJ11" s="348"/>
      <c r="TUK11" s="348"/>
      <c r="TUL11" s="348"/>
      <c r="TUM11" s="348"/>
      <c r="TUN11" s="348"/>
      <c r="TUO11" s="348"/>
      <c r="TUP11" s="348"/>
      <c r="TUQ11" s="348"/>
      <c r="TUR11" s="348"/>
      <c r="TUS11" s="348"/>
      <c r="TUT11" s="348"/>
      <c r="TUU11" s="348"/>
      <c r="TUV11" s="348"/>
      <c r="TUW11" s="348"/>
      <c r="TUX11" s="348"/>
      <c r="TUY11" s="348"/>
      <c r="TUZ11" s="348"/>
      <c r="TVA11" s="348"/>
      <c r="TVB11" s="348"/>
      <c r="TVC11" s="348"/>
      <c r="TVD11" s="348"/>
      <c r="TVE11" s="348"/>
      <c r="TVF11" s="348"/>
      <c r="TVG11" s="348"/>
      <c r="TVH11" s="348"/>
      <c r="TVI11" s="348"/>
      <c r="TVJ11" s="348"/>
      <c r="TVK11" s="348"/>
      <c r="TVL11" s="348"/>
      <c r="TVM11" s="348"/>
      <c r="TVN11" s="348"/>
      <c r="TVO11" s="348"/>
      <c r="TVP11" s="348"/>
      <c r="TVQ11" s="348"/>
      <c r="TVR11" s="348"/>
      <c r="TVS11" s="348"/>
      <c r="TVT11" s="348"/>
      <c r="TVU11" s="348"/>
      <c r="TVV11" s="348"/>
      <c r="TVW11" s="348"/>
      <c r="TVX11" s="348"/>
      <c r="TVY11" s="348"/>
      <c r="TVZ11" s="348"/>
      <c r="TWA11" s="348"/>
      <c r="TWB11" s="348"/>
      <c r="TWC11" s="348"/>
      <c r="TWD11" s="348"/>
      <c r="TWE11" s="348"/>
      <c r="TWF11" s="348"/>
      <c r="TWG11" s="348"/>
      <c r="TWH11" s="348"/>
      <c r="TWI11" s="348"/>
      <c r="TWJ11" s="348"/>
      <c r="TWK11" s="348"/>
      <c r="TWL11" s="348"/>
      <c r="TWM11" s="348"/>
      <c r="TWN11" s="348"/>
      <c r="TWO11" s="348"/>
      <c r="TWP11" s="348"/>
      <c r="TWQ11" s="348"/>
      <c r="TWR11" s="348"/>
      <c r="TWS11" s="348"/>
      <c r="TWT11" s="348"/>
      <c r="TWU11" s="348"/>
      <c r="TWV11" s="348"/>
      <c r="TWW11" s="348"/>
      <c r="TWX11" s="348"/>
      <c r="TWY11" s="348"/>
      <c r="TWZ11" s="348"/>
      <c r="TXA11" s="348"/>
      <c r="TXB11" s="348"/>
      <c r="TXC11" s="348"/>
      <c r="TXD11" s="348"/>
      <c r="TXE11" s="348"/>
      <c r="TXF11" s="348"/>
      <c r="TXG11" s="348"/>
      <c r="TXH11" s="348"/>
      <c r="TXI11" s="348"/>
      <c r="TXJ11" s="348"/>
      <c r="TXK11" s="348"/>
      <c r="TXL11" s="348"/>
      <c r="TXM11" s="348"/>
      <c r="TXN11" s="348"/>
      <c r="TXO11" s="348"/>
      <c r="TXP11" s="348"/>
      <c r="TXQ11" s="348"/>
      <c r="TXR11" s="348"/>
      <c r="TXS11" s="348"/>
      <c r="TXT11" s="348"/>
      <c r="TXU11" s="348"/>
      <c r="TXV11" s="348"/>
      <c r="TXW11" s="348"/>
      <c r="TXX11" s="348"/>
      <c r="TXY11" s="348"/>
      <c r="TXZ11" s="348"/>
      <c r="TYA11" s="348"/>
      <c r="TYB11" s="348"/>
      <c r="TYC11" s="348"/>
      <c r="TYD11" s="348"/>
      <c r="TYE11" s="348"/>
      <c r="TYF11" s="348"/>
      <c r="TYG11" s="348"/>
      <c r="TYH11" s="348"/>
      <c r="TYI11" s="348"/>
      <c r="TYJ11" s="348"/>
      <c r="TYK11" s="348"/>
      <c r="TYL11" s="348"/>
      <c r="TYM11" s="348"/>
      <c r="TYN11" s="348"/>
      <c r="TYO11" s="348"/>
      <c r="TYP11" s="348"/>
      <c r="TYQ11" s="348"/>
      <c r="TYR11" s="348"/>
      <c r="TYS11" s="348"/>
      <c r="TYT11" s="348"/>
      <c r="TYU11" s="348"/>
      <c r="TYV11" s="348"/>
      <c r="TYW11" s="348"/>
      <c r="TYX11" s="348"/>
      <c r="TYY11" s="348"/>
      <c r="TYZ11" s="348"/>
      <c r="TZA11" s="348"/>
      <c r="TZB11" s="348"/>
      <c r="TZC11" s="348"/>
      <c r="TZD11" s="348"/>
      <c r="TZE11" s="348"/>
      <c r="TZF11" s="348"/>
      <c r="TZG11" s="348"/>
      <c r="TZH11" s="348"/>
      <c r="TZI11" s="348"/>
      <c r="TZJ11" s="348"/>
      <c r="TZK11" s="348"/>
      <c r="TZL11" s="348"/>
      <c r="TZM11" s="348"/>
      <c r="TZN11" s="348"/>
      <c r="TZO11" s="348"/>
      <c r="TZP11" s="348"/>
      <c r="TZQ11" s="348"/>
      <c r="TZR11" s="348"/>
      <c r="TZS11" s="348"/>
      <c r="TZT11" s="348"/>
      <c r="TZU11" s="348"/>
      <c r="TZV11" s="348"/>
      <c r="TZW11" s="348"/>
      <c r="TZX11" s="348"/>
      <c r="TZY11" s="348"/>
      <c r="TZZ11" s="348"/>
      <c r="UAA11" s="348"/>
      <c r="UAB11" s="348"/>
      <c r="UAC11" s="348"/>
      <c r="UAD11" s="348"/>
      <c r="UAE11" s="348"/>
      <c r="UAF11" s="348"/>
      <c r="UAG11" s="348"/>
      <c r="UAH11" s="348"/>
      <c r="UAI11" s="348"/>
      <c r="UAJ11" s="348"/>
      <c r="UAK11" s="348"/>
      <c r="UAL11" s="348"/>
      <c r="UAM11" s="348"/>
      <c r="UAN11" s="348"/>
      <c r="UAO11" s="348"/>
      <c r="UAP11" s="348"/>
      <c r="UAQ11" s="348"/>
      <c r="UAR11" s="348"/>
      <c r="UAS11" s="348"/>
      <c r="UAT11" s="348"/>
      <c r="UAU11" s="348"/>
      <c r="UAV11" s="348"/>
      <c r="UAW11" s="348"/>
      <c r="UAX11" s="348"/>
      <c r="UAY11" s="348"/>
      <c r="UAZ11" s="348"/>
      <c r="UBA11" s="348"/>
      <c r="UBB11" s="348"/>
      <c r="UBC11" s="348"/>
      <c r="UBD11" s="348"/>
      <c r="UBE11" s="348"/>
      <c r="UBF11" s="348"/>
      <c r="UBG11" s="348"/>
      <c r="UBH11" s="348"/>
      <c r="UBI11" s="348"/>
      <c r="UBJ11" s="348"/>
      <c r="UBK11" s="348"/>
      <c r="UBL11" s="348"/>
      <c r="UBM11" s="348"/>
      <c r="UBN11" s="348"/>
      <c r="UBO11" s="348"/>
      <c r="UBP11" s="348"/>
      <c r="UBQ11" s="348"/>
      <c r="UBR11" s="348"/>
      <c r="UBS11" s="348"/>
      <c r="UBT11" s="348"/>
      <c r="UBU11" s="348"/>
      <c r="UBV11" s="348"/>
      <c r="UBW11" s="348"/>
      <c r="UBX11" s="348"/>
      <c r="UBY11" s="348"/>
      <c r="UBZ11" s="348"/>
      <c r="UCA11" s="348"/>
      <c r="UCB11" s="348"/>
      <c r="UCC11" s="348"/>
      <c r="UCD11" s="348"/>
      <c r="UCE11" s="348"/>
      <c r="UCF11" s="348"/>
      <c r="UCG11" s="348"/>
      <c r="UCH11" s="348"/>
      <c r="UCI11" s="348"/>
      <c r="UCJ11" s="348"/>
      <c r="UCK11" s="348"/>
      <c r="UCL11" s="348"/>
      <c r="UCM11" s="348"/>
      <c r="UCN11" s="348"/>
      <c r="UCO11" s="348"/>
      <c r="UCP11" s="348"/>
      <c r="UCQ11" s="348"/>
      <c r="UCR11" s="348"/>
      <c r="UCS11" s="348"/>
      <c r="UCT11" s="348"/>
      <c r="UCU11" s="348"/>
      <c r="UCV11" s="348"/>
      <c r="UCW11" s="348"/>
      <c r="UCX11" s="348"/>
      <c r="UCY11" s="348"/>
      <c r="UCZ11" s="348"/>
      <c r="UDA11" s="348"/>
      <c r="UDB11" s="348"/>
      <c r="UDC11" s="348"/>
      <c r="UDD11" s="348"/>
      <c r="UDE11" s="348"/>
      <c r="UDF11" s="348"/>
      <c r="UDG11" s="348"/>
      <c r="UDH11" s="348"/>
      <c r="UDI11" s="348"/>
      <c r="UDJ11" s="348"/>
      <c r="UDK11" s="348"/>
      <c r="UDL11" s="348"/>
      <c r="UDM11" s="348"/>
      <c r="UDN11" s="348"/>
      <c r="UDO11" s="348"/>
      <c r="UDP11" s="348"/>
      <c r="UDQ11" s="348"/>
      <c r="UDR11" s="348"/>
      <c r="UDS11" s="348"/>
      <c r="UDT11" s="348"/>
      <c r="UDU11" s="348"/>
      <c r="UDV11" s="348"/>
      <c r="UDW11" s="348"/>
      <c r="UDX11" s="348"/>
      <c r="UDY11" s="348"/>
      <c r="UDZ11" s="348"/>
      <c r="UEA11" s="348"/>
      <c r="UEB11" s="348"/>
      <c r="UEC11" s="348"/>
      <c r="UED11" s="348"/>
      <c r="UEE11" s="348"/>
      <c r="UEF11" s="348"/>
      <c r="UEG11" s="348"/>
      <c r="UEH11" s="348"/>
      <c r="UEI11" s="348"/>
      <c r="UEJ11" s="348"/>
      <c r="UEK11" s="348"/>
      <c r="UEL11" s="348"/>
      <c r="UEM11" s="348"/>
      <c r="UEN11" s="348"/>
      <c r="UEO11" s="348"/>
      <c r="UEP11" s="348"/>
      <c r="UEQ11" s="348"/>
      <c r="UER11" s="348"/>
      <c r="UES11" s="348"/>
      <c r="UET11" s="348"/>
      <c r="UEU11" s="348"/>
      <c r="UEV11" s="348"/>
      <c r="UEW11" s="348"/>
      <c r="UEX11" s="348"/>
      <c r="UEY11" s="348"/>
      <c r="UEZ11" s="348"/>
      <c r="UFA11" s="348"/>
      <c r="UFB11" s="348"/>
      <c r="UFC11" s="348"/>
      <c r="UFD11" s="348"/>
      <c r="UFE11" s="348"/>
      <c r="UFF11" s="348"/>
      <c r="UFG11" s="348"/>
      <c r="UFH11" s="348"/>
      <c r="UFI11" s="348"/>
      <c r="UFJ11" s="348"/>
      <c r="UFK11" s="348"/>
      <c r="UFL11" s="348"/>
      <c r="UFM11" s="348"/>
      <c r="UFN11" s="348"/>
      <c r="UFO11" s="348"/>
      <c r="UFP11" s="348"/>
      <c r="UFQ11" s="348"/>
      <c r="UFR11" s="348"/>
      <c r="UFS11" s="348"/>
      <c r="UFT11" s="348"/>
      <c r="UFU11" s="348"/>
      <c r="UFV11" s="348"/>
      <c r="UFW11" s="348"/>
      <c r="UFX11" s="348"/>
      <c r="UFY11" s="348"/>
      <c r="UFZ11" s="348"/>
      <c r="UGA11" s="348"/>
      <c r="UGB11" s="348"/>
      <c r="UGC11" s="348"/>
      <c r="UGD11" s="348"/>
      <c r="UGE11" s="348"/>
      <c r="UGF11" s="348"/>
      <c r="UGG11" s="348"/>
      <c r="UGH11" s="348"/>
      <c r="UGI11" s="348"/>
      <c r="UGJ11" s="348"/>
      <c r="UGK11" s="348"/>
      <c r="UGL11" s="348"/>
      <c r="UGM11" s="348"/>
      <c r="UGN11" s="348"/>
      <c r="UGO11" s="348"/>
      <c r="UGP11" s="348"/>
      <c r="UGQ11" s="348"/>
      <c r="UGR11" s="348"/>
      <c r="UGS11" s="348"/>
      <c r="UGT11" s="348"/>
      <c r="UGU11" s="348"/>
      <c r="UGV11" s="348"/>
      <c r="UGW11" s="348"/>
      <c r="UGX11" s="348"/>
      <c r="UGY11" s="348"/>
      <c r="UGZ11" s="348"/>
      <c r="UHA11" s="348"/>
      <c r="UHB11" s="348"/>
      <c r="UHC11" s="348"/>
      <c r="UHD11" s="348"/>
      <c r="UHE11" s="348"/>
      <c r="UHF11" s="348"/>
      <c r="UHG11" s="348"/>
      <c r="UHH11" s="348"/>
      <c r="UHI11" s="348"/>
      <c r="UHJ11" s="348"/>
      <c r="UHK11" s="348"/>
      <c r="UHL11" s="348"/>
      <c r="UHM11" s="348"/>
      <c r="UHN11" s="348"/>
      <c r="UHO11" s="348"/>
      <c r="UHP11" s="348"/>
      <c r="UHQ11" s="348"/>
      <c r="UHR11" s="348"/>
      <c r="UHS11" s="348"/>
      <c r="UHT11" s="348"/>
      <c r="UHU11" s="348"/>
      <c r="UHV11" s="348"/>
      <c r="UHW11" s="348"/>
      <c r="UHX11" s="348"/>
      <c r="UHY11" s="348"/>
      <c r="UHZ11" s="348"/>
      <c r="UIA11" s="348"/>
      <c r="UIB11" s="348"/>
      <c r="UIC11" s="348"/>
      <c r="UID11" s="348"/>
      <c r="UIE11" s="348"/>
      <c r="UIF11" s="348"/>
      <c r="UIG11" s="348"/>
      <c r="UIH11" s="348"/>
      <c r="UII11" s="348"/>
      <c r="UIJ11" s="348"/>
      <c r="UIK11" s="348"/>
      <c r="UIL11" s="348"/>
      <c r="UIM11" s="348"/>
      <c r="UIN11" s="348"/>
      <c r="UIO11" s="348"/>
      <c r="UIP11" s="348"/>
      <c r="UIQ11" s="348"/>
      <c r="UIR11" s="348"/>
      <c r="UIS11" s="348"/>
      <c r="UIT11" s="348"/>
      <c r="UIU11" s="348"/>
      <c r="UIV11" s="348"/>
      <c r="UIW11" s="348"/>
      <c r="UIX11" s="348"/>
      <c r="UIY11" s="348"/>
      <c r="UIZ11" s="348"/>
      <c r="UJA11" s="348"/>
      <c r="UJB11" s="348"/>
      <c r="UJC11" s="348"/>
      <c r="UJD11" s="348"/>
      <c r="UJE11" s="348"/>
      <c r="UJF11" s="348"/>
      <c r="UJG11" s="348"/>
      <c r="UJH11" s="348"/>
      <c r="UJI11" s="348"/>
      <c r="UJJ11" s="348"/>
      <c r="UJK11" s="348"/>
      <c r="UJL11" s="348"/>
      <c r="UJM11" s="348"/>
      <c r="UJN11" s="348"/>
      <c r="UJO11" s="348"/>
      <c r="UJP11" s="348"/>
      <c r="UJQ11" s="348"/>
      <c r="UJR11" s="348"/>
      <c r="UJS11" s="348"/>
      <c r="UJT11" s="348"/>
      <c r="UJU11" s="348"/>
      <c r="UJV11" s="348"/>
      <c r="UJW11" s="348"/>
      <c r="UJX11" s="348"/>
      <c r="UJY11" s="348"/>
      <c r="UJZ11" s="348"/>
      <c r="UKA11" s="348"/>
      <c r="UKB11" s="348"/>
      <c r="UKC11" s="348"/>
      <c r="UKD11" s="348"/>
      <c r="UKE11" s="348"/>
      <c r="UKF11" s="348"/>
      <c r="UKG11" s="348"/>
      <c r="UKH11" s="348"/>
      <c r="UKI11" s="348"/>
      <c r="UKJ11" s="348"/>
      <c r="UKK11" s="348"/>
      <c r="UKL11" s="348"/>
      <c r="UKM11" s="348"/>
      <c r="UKN11" s="348"/>
      <c r="UKO11" s="348"/>
      <c r="UKP11" s="348"/>
      <c r="UKQ11" s="348"/>
      <c r="UKR11" s="348"/>
      <c r="UKS11" s="348"/>
      <c r="UKT11" s="348"/>
      <c r="UKU11" s="348"/>
      <c r="UKV11" s="348"/>
      <c r="UKW11" s="348"/>
      <c r="UKX11" s="348"/>
      <c r="UKY11" s="348"/>
      <c r="UKZ11" s="348"/>
      <c r="ULA11" s="348"/>
      <c r="ULB11" s="348"/>
      <c r="ULC11" s="348"/>
      <c r="ULD11" s="348"/>
      <c r="ULE11" s="348"/>
      <c r="ULF11" s="348"/>
      <c r="ULG11" s="348"/>
      <c r="ULH11" s="348"/>
      <c r="ULI11" s="348"/>
      <c r="ULJ11" s="348"/>
      <c r="ULK11" s="348"/>
      <c r="ULL11" s="348"/>
      <c r="ULM11" s="348"/>
      <c r="ULN11" s="348"/>
      <c r="ULO11" s="348"/>
      <c r="ULP11" s="348"/>
      <c r="ULQ11" s="348"/>
      <c r="ULR11" s="348"/>
      <c r="ULS11" s="348"/>
      <c r="ULT11" s="348"/>
      <c r="ULU11" s="348"/>
      <c r="ULV11" s="348"/>
      <c r="ULW11" s="348"/>
      <c r="ULX11" s="348"/>
      <c r="ULY11" s="348"/>
      <c r="ULZ11" s="348"/>
      <c r="UMA11" s="348"/>
      <c r="UMB11" s="348"/>
      <c r="UMC11" s="348"/>
      <c r="UMD11" s="348"/>
      <c r="UME11" s="348"/>
      <c r="UMF11" s="348"/>
      <c r="UMG11" s="348"/>
      <c r="UMH11" s="348"/>
      <c r="UMI11" s="348"/>
      <c r="UMJ11" s="348"/>
      <c r="UMK11" s="348"/>
      <c r="UML11" s="348"/>
      <c r="UMM11" s="348"/>
      <c r="UMN11" s="348"/>
      <c r="UMO11" s="348"/>
      <c r="UMP11" s="348"/>
      <c r="UMQ11" s="348"/>
      <c r="UMR11" s="348"/>
      <c r="UMS11" s="348"/>
      <c r="UMT11" s="348"/>
      <c r="UMU11" s="348"/>
      <c r="UMV11" s="348"/>
      <c r="UMW11" s="348"/>
      <c r="UMX11" s="348"/>
      <c r="UMY11" s="348"/>
      <c r="UMZ11" s="348"/>
      <c r="UNA11" s="348"/>
      <c r="UNB11" s="348"/>
      <c r="UNC11" s="348"/>
      <c r="UND11" s="348"/>
      <c r="UNE11" s="348"/>
      <c r="UNF11" s="348"/>
      <c r="UNG11" s="348"/>
      <c r="UNH11" s="348"/>
      <c r="UNI11" s="348"/>
      <c r="UNJ11" s="348"/>
      <c r="UNK11" s="348"/>
      <c r="UNL11" s="348"/>
      <c r="UNM11" s="348"/>
      <c r="UNN11" s="348"/>
      <c r="UNO11" s="348"/>
      <c r="UNP11" s="348"/>
      <c r="UNQ11" s="348"/>
      <c r="UNR11" s="348"/>
      <c r="UNS11" s="348"/>
      <c r="UNT11" s="348"/>
      <c r="UNU11" s="348"/>
      <c r="UNV11" s="348"/>
      <c r="UNW11" s="348"/>
      <c r="UNX11" s="348"/>
      <c r="UNY11" s="348"/>
      <c r="UNZ11" s="348"/>
      <c r="UOA11" s="348"/>
      <c r="UOB11" s="348"/>
      <c r="UOC11" s="348"/>
      <c r="UOD11" s="348"/>
      <c r="UOE11" s="348"/>
      <c r="UOF11" s="348"/>
      <c r="UOG11" s="348"/>
      <c r="UOH11" s="348"/>
      <c r="UOI11" s="348"/>
      <c r="UOJ11" s="348"/>
      <c r="UOK11" s="348"/>
      <c r="UOL11" s="348"/>
      <c r="UOM11" s="348"/>
      <c r="UON11" s="348"/>
      <c r="UOO11" s="348"/>
      <c r="UOP11" s="348"/>
      <c r="UOQ11" s="348"/>
      <c r="UOR11" s="348"/>
      <c r="UOS11" s="348"/>
      <c r="UOT11" s="348"/>
      <c r="UOU11" s="348"/>
      <c r="UOV11" s="348"/>
      <c r="UOW11" s="348"/>
      <c r="UOX11" s="348"/>
      <c r="UOY11" s="348"/>
      <c r="UOZ11" s="348"/>
      <c r="UPA11" s="348"/>
      <c r="UPB11" s="348"/>
      <c r="UPC11" s="348"/>
      <c r="UPD11" s="348"/>
      <c r="UPE11" s="348"/>
      <c r="UPF11" s="348"/>
      <c r="UPG11" s="348"/>
      <c r="UPH11" s="348"/>
      <c r="UPI11" s="348"/>
      <c r="UPJ11" s="348"/>
      <c r="UPK11" s="348"/>
      <c r="UPL11" s="348"/>
      <c r="UPM11" s="348"/>
      <c r="UPN11" s="348"/>
      <c r="UPO11" s="348"/>
      <c r="UPP11" s="348"/>
      <c r="UPQ11" s="348"/>
      <c r="UPR11" s="348"/>
      <c r="UPS11" s="348"/>
      <c r="UPT11" s="348"/>
      <c r="UPU11" s="348"/>
      <c r="UPV11" s="348"/>
      <c r="UPW11" s="348"/>
      <c r="UPX11" s="348"/>
      <c r="UPY11" s="348"/>
      <c r="UPZ11" s="348"/>
      <c r="UQA11" s="348"/>
      <c r="UQB11" s="348"/>
      <c r="UQC11" s="348"/>
      <c r="UQD11" s="348"/>
      <c r="UQE11" s="348"/>
      <c r="UQF11" s="348"/>
      <c r="UQG11" s="348"/>
      <c r="UQH11" s="348"/>
      <c r="UQI11" s="348"/>
      <c r="UQJ11" s="348"/>
      <c r="UQK11" s="348"/>
      <c r="UQL11" s="348"/>
      <c r="UQM11" s="348"/>
      <c r="UQN11" s="348"/>
      <c r="UQO11" s="348"/>
      <c r="UQP11" s="348"/>
      <c r="UQQ11" s="348"/>
      <c r="UQR11" s="348"/>
      <c r="UQS11" s="348"/>
      <c r="UQT11" s="348"/>
      <c r="UQU11" s="348"/>
      <c r="UQV11" s="348"/>
      <c r="UQW11" s="348"/>
      <c r="UQX11" s="348"/>
      <c r="UQY11" s="348"/>
      <c r="UQZ11" s="348"/>
      <c r="URA11" s="348"/>
      <c r="URB11" s="348"/>
      <c r="URC11" s="348"/>
      <c r="URD11" s="348"/>
      <c r="URE11" s="348"/>
      <c r="URF11" s="348"/>
      <c r="URG11" s="348"/>
      <c r="URH11" s="348"/>
      <c r="URI11" s="348"/>
      <c r="URJ11" s="348"/>
      <c r="URK11" s="348"/>
      <c r="URL11" s="348"/>
      <c r="URM11" s="348"/>
      <c r="URN11" s="348"/>
      <c r="URO11" s="348"/>
      <c r="URP11" s="348"/>
      <c r="URQ11" s="348"/>
      <c r="URR11" s="348"/>
      <c r="URS11" s="348"/>
      <c r="URT11" s="348"/>
      <c r="URU11" s="348"/>
      <c r="URV11" s="348"/>
      <c r="URW11" s="348"/>
      <c r="URX11" s="348"/>
      <c r="URY11" s="348"/>
      <c r="URZ11" s="348"/>
      <c r="USA11" s="348"/>
      <c r="USB11" s="348"/>
      <c r="USC11" s="348"/>
      <c r="USD11" s="348"/>
      <c r="USE11" s="348"/>
      <c r="USF11" s="348"/>
      <c r="USG11" s="348"/>
      <c r="USH11" s="348"/>
      <c r="USI11" s="348"/>
      <c r="USJ11" s="348"/>
      <c r="USK11" s="348"/>
      <c r="USL11" s="348"/>
      <c r="USM11" s="348"/>
      <c r="USN11" s="348"/>
      <c r="USO11" s="348"/>
      <c r="USP11" s="348"/>
      <c r="USQ11" s="348"/>
      <c r="USR11" s="348"/>
      <c r="USS11" s="348"/>
      <c r="UST11" s="348"/>
      <c r="USU11" s="348"/>
      <c r="USV11" s="348"/>
      <c r="USW11" s="348"/>
      <c r="USX11" s="348"/>
      <c r="USY11" s="348"/>
      <c r="USZ11" s="348"/>
      <c r="UTA11" s="348"/>
      <c r="UTB11" s="348"/>
      <c r="UTC11" s="348"/>
      <c r="UTD11" s="348"/>
      <c r="UTE11" s="348"/>
      <c r="UTF11" s="348"/>
      <c r="UTG11" s="348"/>
      <c r="UTH11" s="348"/>
      <c r="UTI11" s="348"/>
      <c r="UTJ11" s="348"/>
      <c r="UTK11" s="348"/>
      <c r="UTL11" s="348"/>
      <c r="UTM11" s="348"/>
      <c r="UTN11" s="348"/>
      <c r="UTO11" s="348"/>
      <c r="UTP11" s="348"/>
      <c r="UTQ11" s="348"/>
      <c r="UTR11" s="348"/>
      <c r="UTS11" s="348"/>
      <c r="UTT11" s="348"/>
      <c r="UTU11" s="348"/>
      <c r="UTV11" s="348"/>
      <c r="UTW11" s="348"/>
      <c r="UTX11" s="348"/>
      <c r="UTY11" s="348"/>
      <c r="UTZ11" s="348"/>
      <c r="UUA11" s="348"/>
      <c r="UUB11" s="348"/>
      <c r="UUC11" s="348"/>
      <c r="UUD11" s="348"/>
      <c r="UUE11" s="348"/>
      <c r="UUF11" s="348"/>
      <c r="UUG11" s="348"/>
      <c r="UUH11" s="348"/>
      <c r="UUI11" s="348"/>
      <c r="UUJ11" s="348"/>
      <c r="UUK11" s="348"/>
      <c r="UUL11" s="348"/>
      <c r="UUM11" s="348"/>
      <c r="UUN11" s="348"/>
      <c r="UUO11" s="348"/>
      <c r="UUP11" s="348"/>
      <c r="UUQ11" s="348"/>
      <c r="UUR11" s="348"/>
      <c r="UUS11" s="348"/>
      <c r="UUT11" s="348"/>
      <c r="UUU11" s="348"/>
      <c r="UUV11" s="348"/>
      <c r="UUW11" s="348"/>
      <c r="UUX11" s="348"/>
      <c r="UUY11" s="348"/>
      <c r="UUZ11" s="348"/>
      <c r="UVA11" s="348"/>
      <c r="UVB11" s="348"/>
      <c r="UVC11" s="348"/>
      <c r="UVD11" s="348"/>
      <c r="UVE11" s="348"/>
      <c r="UVF11" s="348"/>
      <c r="UVG11" s="348"/>
      <c r="UVH11" s="348"/>
      <c r="UVI11" s="348"/>
      <c r="UVJ11" s="348"/>
      <c r="UVK11" s="348"/>
      <c r="UVL11" s="348"/>
      <c r="UVM11" s="348"/>
      <c r="UVN11" s="348"/>
      <c r="UVO11" s="348"/>
      <c r="UVP11" s="348"/>
      <c r="UVQ11" s="348"/>
      <c r="UVR11" s="348"/>
      <c r="UVS11" s="348"/>
      <c r="UVT11" s="348"/>
      <c r="UVU11" s="348"/>
      <c r="UVV11" s="348"/>
      <c r="UVW11" s="348"/>
      <c r="UVX11" s="348"/>
      <c r="UVY11" s="348"/>
      <c r="UVZ11" s="348"/>
      <c r="UWA11" s="348"/>
      <c r="UWB11" s="348"/>
      <c r="UWC11" s="348"/>
      <c r="UWD11" s="348"/>
      <c r="UWE11" s="348"/>
      <c r="UWF11" s="348"/>
      <c r="UWG11" s="348"/>
      <c r="UWH11" s="348"/>
      <c r="UWI11" s="348"/>
      <c r="UWJ11" s="348"/>
      <c r="UWK11" s="348"/>
      <c r="UWL11" s="348"/>
      <c r="UWM11" s="348"/>
      <c r="UWN11" s="348"/>
      <c r="UWO11" s="348"/>
      <c r="UWP11" s="348"/>
      <c r="UWQ11" s="348"/>
      <c r="UWR11" s="348"/>
      <c r="UWS11" s="348"/>
      <c r="UWT11" s="348"/>
      <c r="UWU11" s="348"/>
      <c r="UWV11" s="348"/>
      <c r="UWW11" s="348"/>
      <c r="UWX11" s="348"/>
      <c r="UWY11" s="348"/>
      <c r="UWZ11" s="348"/>
      <c r="UXA11" s="348"/>
      <c r="UXB11" s="348"/>
      <c r="UXC11" s="348"/>
      <c r="UXD11" s="348"/>
      <c r="UXE11" s="348"/>
      <c r="UXF11" s="348"/>
      <c r="UXG11" s="348"/>
      <c r="UXH11" s="348"/>
      <c r="UXI11" s="348"/>
      <c r="UXJ11" s="348"/>
      <c r="UXK11" s="348"/>
      <c r="UXL11" s="348"/>
      <c r="UXM11" s="348"/>
      <c r="UXN11" s="348"/>
      <c r="UXO11" s="348"/>
      <c r="UXP11" s="348"/>
      <c r="UXQ11" s="348"/>
      <c r="UXR11" s="348"/>
      <c r="UXS11" s="348"/>
      <c r="UXT11" s="348"/>
      <c r="UXU11" s="348"/>
      <c r="UXV11" s="348"/>
      <c r="UXW11" s="348"/>
      <c r="UXX11" s="348"/>
      <c r="UXY11" s="348"/>
      <c r="UXZ11" s="348"/>
      <c r="UYA11" s="348"/>
      <c r="UYB11" s="348"/>
      <c r="UYC11" s="348"/>
      <c r="UYD11" s="348"/>
      <c r="UYE11" s="348"/>
      <c r="UYF11" s="348"/>
      <c r="UYG11" s="348"/>
      <c r="UYH11" s="348"/>
      <c r="UYI11" s="348"/>
      <c r="UYJ11" s="348"/>
      <c r="UYK11" s="348"/>
      <c r="UYL11" s="348"/>
      <c r="UYM11" s="348"/>
      <c r="UYN11" s="348"/>
      <c r="UYO11" s="348"/>
      <c r="UYP11" s="348"/>
      <c r="UYQ11" s="348"/>
      <c r="UYR11" s="348"/>
      <c r="UYS11" s="348"/>
      <c r="UYT11" s="348"/>
      <c r="UYU11" s="348"/>
      <c r="UYV11" s="348"/>
      <c r="UYW11" s="348"/>
      <c r="UYX11" s="348"/>
      <c r="UYY11" s="348"/>
      <c r="UYZ11" s="348"/>
      <c r="UZA11" s="348"/>
      <c r="UZB11" s="348"/>
      <c r="UZC11" s="348"/>
      <c r="UZD11" s="348"/>
      <c r="UZE11" s="348"/>
      <c r="UZF11" s="348"/>
      <c r="UZG11" s="348"/>
      <c r="UZH11" s="348"/>
      <c r="UZI11" s="348"/>
      <c r="UZJ11" s="348"/>
      <c r="UZK11" s="348"/>
      <c r="UZL11" s="348"/>
      <c r="UZM11" s="348"/>
      <c r="UZN11" s="348"/>
      <c r="UZO11" s="348"/>
      <c r="UZP11" s="348"/>
      <c r="UZQ11" s="348"/>
      <c r="UZR11" s="348"/>
      <c r="UZS11" s="348"/>
      <c r="UZT11" s="348"/>
      <c r="UZU11" s="348"/>
      <c r="UZV11" s="348"/>
      <c r="UZW11" s="348"/>
      <c r="UZX11" s="348"/>
      <c r="UZY11" s="348"/>
      <c r="UZZ11" s="348"/>
      <c r="VAA11" s="348"/>
      <c r="VAB11" s="348"/>
      <c r="VAC11" s="348"/>
      <c r="VAD11" s="348"/>
      <c r="VAE11" s="348"/>
      <c r="VAF11" s="348"/>
      <c r="VAG11" s="348"/>
      <c r="VAH11" s="348"/>
      <c r="VAI11" s="348"/>
      <c r="VAJ11" s="348"/>
      <c r="VAK11" s="348"/>
      <c r="VAL11" s="348"/>
      <c r="VAM11" s="348"/>
      <c r="VAN11" s="348"/>
      <c r="VAO11" s="348"/>
      <c r="VAP11" s="348"/>
      <c r="VAQ11" s="348"/>
      <c r="VAR11" s="348"/>
      <c r="VAS11" s="348"/>
      <c r="VAT11" s="348"/>
      <c r="VAU11" s="348"/>
      <c r="VAV11" s="348"/>
      <c r="VAW11" s="348"/>
      <c r="VAX11" s="348"/>
      <c r="VAY11" s="348"/>
      <c r="VAZ11" s="348"/>
      <c r="VBA11" s="348"/>
      <c r="VBB11" s="348"/>
      <c r="VBC11" s="348"/>
      <c r="VBD11" s="348"/>
      <c r="VBE11" s="348"/>
      <c r="VBF11" s="348"/>
      <c r="VBG11" s="348"/>
      <c r="VBH11" s="348"/>
      <c r="VBI11" s="348"/>
      <c r="VBJ11" s="348"/>
      <c r="VBK11" s="348"/>
      <c r="VBL11" s="348"/>
      <c r="VBM11" s="348"/>
      <c r="VBN11" s="348"/>
      <c r="VBO11" s="348"/>
      <c r="VBP11" s="348"/>
      <c r="VBQ11" s="348"/>
      <c r="VBR11" s="348"/>
      <c r="VBS11" s="348"/>
      <c r="VBT11" s="348"/>
      <c r="VBU11" s="348"/>
      <c r="VBV11" s="348"/>
      <c r="VBW11" s="348"/>
      <c r="VBX11" s="348"/>
      <c r="VBY11" s="348"/>
      <c r="VBZ11" s="348"/>
      <c r="VCA11" s="348"/>
      <c r="VCB11" s="348"/>
      <c r="VCC11" s="348"/>
      <c r="VCD11" s="348"/>
      <c r="VCE11" s="348"/>
      <c r="VCF11" s="348"/>
      <c r="VCG11" s="348"/>
      <c r="VCH11" s="348"/>
      <c r="VCI11" s="348"/>
      <c r="VCJ11" s="348"/>
      <c r="VCK11" s="348"/>
      <c r="VCL11" s="348"/>
      <c r="VCM11" s="348"/>
      <c r="VCN11" s="348"/>
      <c r="VCO11" s="348"/>
      <c r="VCP11" s="348"/>
      <c r="VCQ11" s="348"/>
      <c r="VCR11" s="348"/>
      <c r="VCS11" s="348"/>
      <c r="VCT11" s="348"/>
      <c r="VCU11" s="348"/>
      <c r="VCV11" s="348"/>
      <c r="VCW11" s="348"/>
      <c r="VCX11" s="348"/>
      <c r="VCY11" s="348"/>
      <c r="VCZ11" s="348"/>
      <c r="VDA11" s="348"/>
      <c r="VDB11" s="348"/>
      <c r="VDC11" s="348"/>
      <c r="VDD11" s="348"/>
      <c r="VDE11" s="348"/>
      <c r="VDF11" s="348"/>
      <c r="VDG11" s="348"/>
      <c r="VDH11" s="348"/>
      <c r="VDI11" s="348"/>
      <c r="VDJ11" s="348"/>
      <c r="VDK11" s="348"/>
      <c r="VDL11" s="348"/>
      <c r="VDM11" s="348"/>
      <c r="VDN11" s="348"/>
      <c r="VDO11" s="348"/>
      <c r="VDP11" s="348"/>
      <c r="VDQ11" s="348"/>
      <c r="VDR11" s="348"/>
      <c r="VDS11" s="348"/>
      <c r="VDT11" s="348"/>
      <c r="VDU11" s="348"/>
      <c r="VDV11" s="348"/>
      <c r="VDW11" s="348"/>
      <c r="VDX11" s="348"/>
      <c r="VDY11" s="348"/>
      <c r="VDZ11" s="348"/>
      <c r="VEA11" s="348"/>
      <c r="VEB11" s="348"/>
      <c r="VEC11" s="348"/>
      <c r="VED11" s="348"/>
      <c r="VEE11" s="348"/>
      <c r="VEF11" s="348"/>
      <c r="VEG11" s="348"/>
      <c r="VEH11" s="348"/>
      <c r="VEI11" s="348"/>
      <c r="VEJ11" s="348"/>
      <c r="VEK11" s="348"/>
      <c r="VEL11" s="348"/>
      <c r="VEM11" s="348"/>
      <c r="VEN11" s="348"/>
      <c r="VEO11" s="348"/>
      <c r="VEP11" s="348"/>
      <c r="VEQ11" s="348"/>
      <c r="VER11" s="348"/>
      <c r="VES11" s="348"/>
      <c r="VET11" s="348"/>
      <c r="VEU11" s="348"/>
      <c r="VEV11" s="348"/>
      <c r="VEW11" s="348"/>
      <c r="VEX11" s="348"/>
      <c r="VEY11" s="348"/>
      <c r="VEZ11" s="348"/>
      <c r="VFA11" s="348"/>
      <c r="VFB11" s="348"/>
      <c r="VFC11" s="348"/>
      <c r="VFD11" s="348"/>
      <c r="VFE11" s="348"/>
      <c r="VFF11" s="348"/>
      <c r="VFG11" s="348"/>
      <c r="VFH11" s="348"/>
      <c r="VFI11" s="348"/>
      <c r="VFJ11" s="348"/>
      <c r="VFK11" s="348"/>
      <c r="VFL11" s="348"/>
      <c r="VFM11" s="348"/>
      <c r="VFN11" s="348"/>
      <c r="VFO11" s="348"/>
      <c r="VFP11" s="348"/>
      <c r="VFQ11" s="348"/>
      <c r="VFR11" s="348"/>
      <c r="VFS11" s="348"/>
      <c r="VFT11" s="348"/>
      <c r="VFU11" s="348"/>
      <c r="VFV11" s="348"/>
      <c r="VFW11" s="348"/>
      <c r="VFX11" s="348"/>
      <c r="VFY11" s="348"/>
      <c r="VFZ11" s="348"/>
      <c r="VGA11" s="348"/>
      <c r="VGB11" s="348"/>
      <c r="VGC11" s="348"/>
      <c r="VGD11" s="348"/>
      <c r="VGE11" s="348"/>
      <c r="VGF11" s="348"/>
      <c r="VGG11" s="348"/>
      <c r="VGH11" s="348"/>
      <c r="VGI11" s="348"/>
      <c r="VGJ11" s="348"/>
      <c r="VGK11" s="348"/>
      <c r="VGL11" s="348"/>
      <c r="VGM11" s="348"/>
      <c r="VGN11" s="348"/>
      <c r="VGO11" s="348"/>
      <c r="VGP11" s="348"/>
      <c r="VGQ11" s="348"/>
      <c r="VGR11" s="348"/>
      <c r="VGS11" s="348"/>
      <c r="VGT11" s="348"/>
      <c r="VGU11" s="348"/>
      <c r="VGV11" s="348"/>
      <c r="VGW11" s="348"/>
      <c r="VGX11" s="348"/>
      <c r="VGY11" s="348"/>
      <c r="VGZ11" s="348"/>
      <c r="VHA11" s="348"/>
      <c r="VHB11" s="348"/>
      <c r="VHC11" s="348"/>
      <c r="VHD11" s="348"/>
      <c r="VHE11" s="348"/>
      <c r="VHF11" s="348"/>
      <c r="VHG11" s="348"/>
      <c r="VHH11" s="348"/>
      <c r="VHI11" s="348"/>
      <c r="VHJ11" s="348"/>
      <c r="VHK11" s="348"/>
      <c r="VHL11" s="348"/>
      <c r="VHM11" s="348"/>
      <c r="VHN11" s="348"/>
      <c r="VHO11" s="348"/>
      <c r="VHP11" s="348"/>
      <c r="VHQ11" s="348"/>
      <c r="VHR11" s="348"/>
      <c r="VHS11" s="348"/>
      <c r="VHT11" s="348"/>
      <c r="VHU11" s="348"/>
      <c r="VHV11" s="348"/>
      <c r="VHW11" s="348"/>
      <c r="VHX11" s="348"/>
      <c r="VHY11" s="348"/>
      <c r="VHZ11" s="348"/>
      <c r="VIA11" s="348"/>
      <c r="VIB11" s="348"/>
      <c r="VIC11" s="348"/>
      <c r="VID11" s="348"/>
      <c r="VIE11" s="348"/>
      <c r="VIF11" s="348"/>
      <c r="VIG11" s="348"/>
      <c r="VIH11" s="348"/>
      <c r="VII11" s="348"/>
      <c r="VIJ11" s="348"/>
      <c r="VIK11" s="348"/>
      <c r="VIL11" s="348"/>
      <c r="VIM11" s="348"/>
      <c r="VIN11" s="348"/>
      <c r="VIO11" s="348"/>
      <c r="VIP11" s="348"/>
      <c r="VIQ11" s="348"/>
      <c r="VIR11" s="348"/>
      <c r="VIS11" s="348"/>
      <c r="VIT11" s="348"/>
      <c r="VIU11" s="348"/>
      <c r="VIV11" s="348"/>
      <c r="VIW11" s="348"/>
      <c r="VIX11" s="348"/>
      <c r="VIY11" s="348"/>
      <c r="VIZ11" s="348"/>
      <c r="VJA11" s="348"/>
      <c r="VJB11" s="348"/>
      <c r="VJC11" s="348"/>
      <c r="VJD11" s="348"/>
      <c r="VJE11" s="348"/>
      <c r="VJF11" s="348"/>
      <c r="VJG11" s="348"/>
      <c r="VJH11" s="348"/>
      <c r="VJI11" s="348"/>
      <c r="VJJ11" s="348"/>
      <c r="VJK11" s="348"/>
      <c r="VJL11" s="348"/>
      <c r="VJM11" s="348"/>
      <c r="VJN11" s="348"/>
      <c r="VJO11" s="348"/>
      <c r="VJP11" s="348"/>
      <c r="VJQ11" s="348"/>
      <c r="VJR11" s="348"/>
      <c r="VJS11" s="348"/>
      <c r="VJT11" s="348"/>
      <c r="VJU11" s="348"/>
      <c r="VJV11" s="348"/>
      <c r="VJW11" s="348"/>
      <c r="VJX11" s="348"/>
      <c r="VJY11" s="348"/>
      <c r="VJZ11" s="348"/>
      <c r="VKA11" s="348"/>
      <c r="VKB11" s="348"/>
      <c r="VKC11" s="348"/>
      <c r="VKD11" s="348"/>
      <c r="VKE11" s="348"/>
      <c r="VKF11" s="348"/>
      <c r="VKG11" s="348"/>
      <c r="VKH11" s="348"/>
      <c r="VKI11" s="348"/>
      <c r="VKJ11" s="348"/>
      <c r="VKK11" s="348"/>
      <c r="VKL11" s="348"/>
      <c r="VKM11" s="348"/>
      <c r="VKN11" s="348"/>
      <c r="VKO11" s="348"/>
      <c r="VKP11" s="348"/>
      <c r="VKQ11" s="348"/>
      <c r="VKR11" s="348"/>
      <c r="VKS11" s="348"/>
      <c r="VKT11" s="348"/>
      <c r="VKU11" s="348"/>
      <c r="VKV11" s="348"/>
      <c r="VKW11" s="348"/>
      <c r="VKX11" s="348"/>
      <c r="VKY11" s="348"/>
      <c r="VKZ11" s="348"/>
      <c r="VLA11" s="348"/>
      <c r="VLB11" s="348"/>
      <c r="VLC11" s="348"/>
      <c r="VLD11" s="348"/>
      <c r="VLE11" s="348"/>
      <c r="VLF11" s="348"/>
      <c r="VLG11" s="348"/>
      <c r="VLH11" s="348"/>
      <c r="VLI11" s="348"/>
      <c r="VLJ11" s="348"/>
      <c r="VLK11" s="348"/>
      <c r="VLL11" s="348"/>
      <c r="VLM11" s="348"/>
      <c r="VLN11" s="348"/>
      <c r="VLO11" s="348"/>
      <c r="VLP11" s="348"/>
      <c r="VLQ11" s="348"/>
      <c r="VLR11" s="348"/>
      <c r="VLS11" s="348"/>
      <c r="VLT11" s="348"/>
      <c r="VLU11" s="348"/>
      <c r="VLV11" s="348"/>
      <c r="VLW11" s="348"/>
      <c r="VLX11" s="348"/>
      <c r="VLY11" s="348"/>
      <c r="VLZ11" s="348"/>
      <c r="VMA11" s="348"/>
      <c r="VMB11" s="348"/>
      <c r="VMC11" s="348"/>
      <c r="VMD11" s="348"/>
      <c r="VME11" s="348"/>
      <c r="VMF11" s="348"/>
      <c r="VMG11" s="348"/>
      <c r="VMH11" s="348"/>
      <c r="VMI11" s="348"/>
      <c r="VMJ11" s="348"/>
      <c r="VMK11" s="348"/>
      <c r="VML11" s="348"/>
      <c r="VMM11" s="348"/>
      <c r="VMN11" s="348"/>
      <c r="VMO11" s="348"/>
      <c r="VMP11" s="348"/>
      <c r="VMQ11" s="348"/>
      <c r="VMR11" s="348"/>
      <c r="VMS11" s="348"/>
      <c r="VMT11" s="348"/>
      <c r="VMU11" s="348"/>
      <c r="VMV11" s="348"/>
      <c r="VMW11" s="348"/>
      <c r="VMX11" s="348"/>
      <c r="VMY11" s="348"/>
      <c r="VMZ11" s="348"/>
      <c r="VNA11" s="348"/>
      <c r="VNB11" s="348"/>
      <c r="VNC11" s="348"/>
      <c r="VND11" s="348"/>
      <c r="VNE11" s="348"/>
      <c r="VNF11" s="348"/>
      <c r="VNG11" s="348"/>
      <c r="VNH11" s="348"/>
      <c r="VNI11" s="348"/>
      <c r="VNJ11" s="348"/>
      <c r="VNK11" s="348"/>
      <c r="VNL11" s="348"/>
      <c r="VNM11" s="348"/>
      <c r="VNN11" s="348"/>
      <c r="VNO11" s="348"/>
      <c r="VNP11" s="348"/>
      <c r="VNQ11" s="348"/>
      <c r="VNR11" s="348"/>
      <c r="VNS11" s="348"/>
      <c r="VNT11" s="348"/>
      <c r="VNU11" s="348"/>
      <c r="VNV11" s="348"/>
      <c r="VNW11" s="348"/>
      <c r="VNX11" s="348"/>
      <c r="VNY11" s="348"/>
      <c r="VNZ11" s="348"/>
      <c r="VOA11" s="348"/>
      <c r="VOB11" s="348"/>
      <c r="VOC11" s="348"/>
      <c r="VOD11" s="348"/>
      <c r="VOE11" s="348"/>
      <c r="VOF11" s="348"/>
      <c r="VOG11" s="348"/>
      <c r="VOH11" s="348"/>
      <c r="VOI11" s="348"/>
      <c r="VOJ11" s="348"/>
      <c r="VOK11" s="348"/>
      <c r="VOL11" s="348"/>
      <c r="VOM11" s="348"/>
      <c r="VON11" s="348"/>
      <c r="VOO11" s="348"/>
      <c r="VOP11" s="348"/>
      <c r="VOQ11" s="348"/>
      <c r="VOR11" s="348"/>
      <c r="VOS11" s="348"/>
      <c r="VOT11" s="348"/>
      <c r="VOU11" s="348"/>
      <c r="VOV11" s="348"/>
      <c r="VOW11" s="348"/>
      <c r="VOX11" s="348"/>
      <c r="VOY11" s="348"/>
      <c r="VOZ11" s="348"/>
      <c r="VPA11" s="348"/>
      <c r="VPB11" s="348"/>
      <c r="VPC11" s="348"/>
      <c r="VPD11" s="348"/>
      <c r="VPE11" s="348"/>
      <c r="VPF11" s="348"/>
      <c r="VPG11" s="348"/>
      <c r="VPH11" s="348"/>
      <c r="VPI11" s="348"/>
      <c r="VPJ11" s="348"/>
      <c r="VPK11" s="348"/>
      <c r="VPL11" s="348"/>
      <c r="VPM11" s="348"/>
      <c r="VPN11" s="348"/>
      <c r="VPO11" s="348"/>
      <c r="VPP11" s="348"/>
      <c r="VPQ11" s="348"/>
      <c r="VPR11" s="348"/>
      <c r="VPS11" s="348"/>
      <c r="VPT11" s="348"/>
      <c r="VPU11" s="348"/>
      <c r="VPV11" s="348"/>
      <c r="VPW11" s="348"/>
      <c r="VPX11" s="348"/>
      <c r="VPY11" s="348"/>
      <c r="VPZ11" s="348"/>
      <c r="VQA11" s="348"/>
      <c r="VQB11" s="348"/>
      <c r="VQC11" s="348"/>
      <c r="VQD11" s="348"/>
      <c r="VQE11" s="348"/>
      <c r="VQF11" s="348"/>
      <c r="VQG11" s="348"/>
      <c r="VQH11" s="348"/>
      <c r="VQI11" s="348"/>
      <c r="VQJ11" s="348"/>
      <c r="VQK11" s="348"/>
      <c r="VQL11" s="348"/>
      <c r="VQM11" s="348"/>
      <c r="VQN11" s="348"/>
      <c r="VQO11" s="348"/>
      <c r="VQP11" s="348"/>
      <c r="VQQ11" s="348"/>
      <c r="VQR11" s="348"/>
      <c r="VQS11" s="348"/>
      <c r="VQT11" s="348"/>
      <c r="VQU11" s="348"/>
      <c r="VQV11" s="348"/>
      <c r="VQW11" s="348"/>
      <c r="VQX11" s="348"/>
      <c r="VQY11" s="348"/>
      <c r="VQZ11" s="348"/>
      <c r="VRA11" s="348"/>
      <c r="VRB11" s="348"/>
      <c r="VRC11" s="348"/>
      <c r="VRD11" s="348"/>
      <c r="VRE11" s="348"/>
      <c r="VRF11" s="348"/>
      <c r="VRG11" s="348"/>
      <c r="VRH11" s="348"/>
      <c r="VRI11" s="348"/>
      <c r="VRJ11" s="348"/>
      <c r="VRK11" s="348"/>
      <c r="VRL11" s="348"/>
      <c r="VRM11" s="348"/>
      <c r="VRN11" s="348"/>
      <c r="VRO11" s="348"/>
      <c r="VRP11" s="348"/>
      <c r="VRQ11" s="348"/>
      <c r="VRR11" s="348"/>
      <c r="VRS11" s="348"/>
      <c r="VRT11" s="348"/>
      <c r="VRU11" s="348"/>
      <c r="VRV11" s="348"/>
      <c r="VRW11" s="348"/>
      <c r="VRX11" s="348"/>
      <c r="VRY11" s="348"/>
      <c r="VRZ11" s="348"/>
      <c r="VSA11" s="348"/>
      <c r="VSB11" s="348"/>
      <c r="VSC11" s="348"/>
      <c r="VSD11" s="348"/>
      <c r="VSE11" s="348"/>
      <c r="VSF11" s="348"/>
      <c r="VSG11" s="348"/>
      <c r="VSH11" s="348"/>
      <c r="VSI11" s="348"/>
      <c r="VSJ11" s="348"/>
      <c r="VSK11" s="348"/>
      <c r="VSL11" s="348"/>
      <c r="VSM11" s="348"/>
      <c r="VSN11" s="348"/>
      <c r="VSO11" s="348"/>
      <c r="VSP11" s="348"/>
      <c r="VSQ11" s="348"/>
      <c r="VSR11" s="348"/>
      <c r="VSS11" s="348"/>
      <c r="VST11" s="348"/>
      <c r="VSU11" s="348"/>
      <c r="VSV11" s="348"/>
      <c r="VSW11" s="348"/>
      <c r="VSX11" s="348"/>
      <c r="VSY11" s="348"/>
      <c r="VSZ11" s="348"/>
      <c r="VTA11" s="348"/>
      <c r="VTB11" s="348"/>
      <c r="VTC11" s="348"/>
      <c r="VTD11" s="348"/>
      <c r="VTE11" s="348"/>
      <c r="VTF11" s="348"/>
      <c r="VTG11" s="348"/>
      <c r="VTH11" s="348"/>
      <c r="VTI11" s="348"/>
      <c r="VTJ11" s="348"/>
      <c r="VTK11" s="348"/>
      <c r="VTL11" s="348"/>
      <c r="VTM11" s="348"/>
      <c r="VTN11" s="348"/>
      <c r="VTO11" s="348"/>
      <c r="VTP11" s="348"/>
      <c r="VTQ11" s="348"/>
      <c r="VTR11" s="348"/>
      <c r="VTS11" s="348"/>
      <c r="VTT11" s="348"/>
      <c r="VTU11" s="348"/>
      <c r="VTV11" s="348"/>
      <c r="VTW11" s="348"/>
      <c r="VTX11" s="348"/>
      <c r="VTY11" s="348"/>
      <c r="VTZ11" s="348"/>
      <c r="VUA11" s="348"/>
      <c r="VUB11" s="348"/>
      <c r="VUC11" s="348"/>
      <c r="VUD11" s="348"/>
      <c r="VUE11" s="348"/>
      <c r="VUF11" s="348"/>
      <c r="VUG11" s="348"/>
      <c r="VUH11" s="348"/>
      <c r="VUI11" s="348"/>
      <c r="VUJ11" s="348"/>
      <c r="VUK11" s="348"/>
      <c r="VUL11" s="348"/>
      <c r="VUM11" s="348"/>
      <c r="VUN11" s="348"/>
      <c r="VUO11" s="348"/>
      <c r="VUP11" s="348"/>
      <c r="VUQ11" s="348"/>
      <c r="VUR11" s="348"/>
      <c r="VUS11" s="348"/>
      <c r="VUT11" s="348"/>
      <c r="VUU11" s="348"/>
      <c r="VUV11" s="348"/>
      <c r="VUW11" s="348"/>
      <c r="VUX11" s="348"/>
      <c r="VUY11" s="348"/>
      <c r="VUZ11" s="348"/>
      <c r="VVA11" s="348"/>
      <c r="VVB11" s="348"/>
      <c r="VVC11" s="348"/>
      <c r="VVD11" s="348"/>
      <c r="VVE11" s="348"/>
      <c r="VVF11" s="348"/>
      <c r="VVG11" s="348"/>
      <c r="VVH11" s="348"/>
      <c r="VVI11" s="348"/>
      <c r="VVJ11" s="348"/>
      <c r="VVK11" s="348"/>
      <c r="VVL11" s="348"/>
      <c r="VVM11" s="348"/>
      <c r="VVN11" s="348"/>
      <c r="VVO11" s="348"/>
      <c r="VVP11" s="348"/>
      <c r="VVQ11" s="348"/>
      <c r="VVR11" s="348"/>
      <c r="VVS11" s="348"/>
      <c r="VVT11" s="348"/>
      <c r="VVU11" s="348"/>
      <c r="VVV11" s="348"/>
      <c r="VVW11" s="348"/>
      <c r="VVX11" s="348"/>
      <c r="VVY11" s="348"/>
      <c r="VVZ11" s="348"/>
      <c r="VWA11" s="348"/>
      <c r="VWB11" s="348"/>
      <c r="VWC11" s="348"/>
      <c r="VWD11" s="348"/>
      <c r="VWE11" s="348"/>
      <c r="VWF11" s="348"/>
      <c r="VWG11" s="348"/>
      <c r="VWH11" s="348"/>
      <c r="VWI11" s="348"/>
      <c r="VWJ11" s="348"/>
      <c r="VWK11" s="348"/>
      <c r="VWL11" s="348"/>
      <c r="VWM11" s="348"/>
      <c r="VWN11" s="348"/>
      <c r="VWO11" s="348"/>
      <c r="VWP11" s="348"/>
      <c r="VWQ11" s="348"/>
      <c r="VWR11" s="348"/>
      <c r="VWS11" s="348"/>
      <c r="VWT11" s="348"/>
      <c r="VWU11" s="348"/>
      <c r="VWV11" s="348"/>
      <c r="VWW11" s="348"/>
      <c r="VWX11" s="348"/>
      <c r="VWY11" s="348"/>
      <c r="VWZ11" s="348"/>
      <c r="VXA11" s="348"/>
      <c r="VXB11" s="348"/>
      <c r="VXC11" s="348"/>
      <c r="VXD11" s="348"/>
      <c r="VXE11" s="348"/>
      <c r="VXF11" s="348"/>
      <c r="VXG11" s="348"/>
      <c r="VXH11" s="348"/>
      <c r="VXI11" s="348"/>
      <c r="VXJ11" s="348"/>
      <c r="VXK11" s="348"/>
      <c r="VXL11" s="348"/>
      <c r="VXM11" s="348"/>
      <c r="VXN11" s="348"/>
      <c r="VXO11" s="348"/>
      <c r="VXP11" s="348"/>
      <c r="VXQ11" s="348"/>
      <c r="VXR11" s="348"/>
      <c r="VXS11" s="348"/>
      <c r="VXT11" s="348"/>
      <c r="VXU11" s="348"/>
      <c r="VXV11" s="348"/>
      <c r="VXW11" s="348"/>
      <c r="VXX11" s="348"/>
      <c r="VXY11" s="348"/>
      <c r="VXZ11" s="348"/>
      <c r="VYA11" s="348"/>
      <c r="VYB11" s="348"/>
      <c r="VYC11" s="348"/>
      <c r="VYD11" s="348"/>
      <c r="VYE11" s="348"/>
      <c r="VYF11" s="348"/>
      <c r="VYG11" s="348"/>
      <c r="VYH11" s="348"/>
      <c r="VYI11" s="348"/>
      <c r="VYJ11" s="348"/>
      <c r="VYK11" s="348"/>
      <c r="VYL11" s="348"/>
      <c r="VYM11" s="348"/>
      <c r="VYN11" s="348"/>
      <c r="VYO11" s="348"/>
      <c r="VYP11" s="348"/>
      <c r="VYQ11" s="348"/>
      <c r="VYR11" s="348"/>
      <c r="VYS11" s="348"/>
      <c r="VYT11" s="348"/>
      <c r="VYU11" s="348"/>
      <c r="VYV11" s="348"/>
      <c r="VYW11" s="348"/>
      <c r="VYX11" s="348"/>
      <c r="VYY11" s="348"/>
      <c r="VYZ11" s="348"/>
      <c r="VZA11" s="348"/>
      <c r="VZB11" s="348"/>
      <c r="VZC11" s="348"/>
      <c r="VZD11" s="348"/>
      <c r="VZE11" s="348"/>
      <c r="VZF11" s="348"/>
      <c r="VZG11" s="348"/>
      <c r="VZH11" s="348"/>
      <c r="VZI11" s="348"/>
      <c r="VZJ11" s="348"/>
      <c r="VZK11" s="348"/>
      <c r="VZL11" s="348"/>
      <c r="VZM11" s="348"/>
      <c r="VZN11" s="348"/>
      <c r="VZO11" s="348"/>
      <c r="VZP11" s="348"/>
      <c r="VZQ11" s="348"/>
      <c r="VZR11" s="348"/>
      <c r="VZS11" s="348"/>
      <c r="VZT11" s="348"/>
      <c r="VZU11" s="348"/>
      <c r="VZV11" s="348"/>
      <c r="VZW11" s="348"/>
      <c r="VZX11" s="348"/>
      <c r="VZY11" s="348"/>
      <c r="VZZ11" s="348"/>
      <c r="WAA11" s="348"/>
      <c r="WAB11" s="348"/>
      <c r="WAC11" s="348"/>
      <c r="WAD11" s="348"/>
      <c r="WAE11" s="348"/>
      <c r="WAF11" s="348"/>
      <c r="WAG11" s="348"/>
      <c r="WAH11" s="348"/>
      <c r="WAI11" s="348"/>
      <c r="WAJ11" s="348"/>
      <c r="WAK11" s="348"/>
      <c r="WAL11" s="348"/>
      <c r="WAM11" s="348"/>
      <c r="WAN11" s="348"/>
      <c r="WAO11" s="348"/>
      <c r="WAP11" s="348"/>
      <c r="WAQ11" s="348"/>
      <c r="WAR11" s="348"/>
      <c r="WAS11" s="348"/>
      <c r="WAT11" s="348"/>
      <c r="WAU11" s="348"/>
      <c r="WAV11" s="348"/>
      <c r="WAW11" s="348"/>
      <c r="WAX11" s="348"/>
      <c r="WAY11" s="348"/>
      <c r="WAZ11" s="348"/>
      <c r="WBA11" s="348"/>
      <c r="WBB11" s="348"/>
      <c r="WBC11" s="348"/>
      <c r="WBD11" s="348"/>
      <c r="WBE11" s="348"/>
      <c r="WBF11" s="348"/>
      <c r="WBG11" s="348"/>
      <c r="WBH11" s="348"/>
      <c r="WBI11" s="348"/>
      <c r="WBJ11" s="348"/>
      <c r="WBK11" s="348"/>
      <c r="WBL11" s="348"/>
      <c r="WBM11" s="348"/>
      <c r="WBN11" s="348"/>
      <c r="WBO11" s="348"/>
      <c r="WBP11" s="348"/>
      <c r="WBQ11" s="348"/>
      <c r="WBR11" s="348"/>
      <c r="WBS11" s="348"/>
      <c r="WBT11" s="348"/>
      <c r="WBU11" s="348"/>
      <c r="WBV11" s="348"/>
      <c r="WBW11" s="348"/>
      <c r="WBX11" s="348"/>
      <c r="WBY11" s="348"/>
      <c r="WBZ11" s="348"/>
      <c r="WCA11" s="348"/>
      <c r="WCB11" s="348"/>
      <c r="WCC11" s="348"/>
      <c r="WCD11" s="348"/>
      <c r="WCE11" s="348"/>
      <c r="WCF11" s="348"/>
      <c r="WCG11" s="348"/>
      <c r="WCH11" s="348"/>
      <c r="WCI11" s="348"/>
      <c r="WCJ11" s="348"/>
      <c r="WCK11" s="348"/>
      <c r="WCL11" s="348"/>
      <c r="WCM11" s="348"/>
      <c r="WCN11" s="348"/>
      <c r="WCO11" s="348"/>
      <c r="WCP11" s="348"/>
      <c r="WCQ11" s="348"/>
      <c r="WCR11" s="348"/>
      <c r="WCS11" s="348"/>
      <c r="WCT11" s="348"/>
      <c r="WCU11" s="348"/>
      <c r="WCV11" s="348"/>
      <c r="WCW11" s="348"/>
      <c r="WCX11" s="348"/>
      <c r="WCY11" s="348"/>
      <c r="WCZ11" s="348"/>
      <c r="WDA11" s="348"/>
      <c r="WDB11" s="348"/>
      <c r="WDC11" s="348"/>
      <c r="WDD11" s="348"/>
      <c r="WDE11" s="348"/>
      <c r="WDF11" s="348"/>
      <c r="WDG11" s="348"/>
      <c r="WDH11" s="348"/>
      <c r="WDI11" s="348"/>
      <c r="WDJ11" s="348"/>
      <c r="WDK11" s="348"/>
      <c r="WDL11" s="348"/>
      <c r="WDM11" s="348"/>
      <c r="WDN11" s="348"/>
      <c r="WDO11" s="348"/>
      <c r="WDP11" s="348"/>
      <c r="WDQ11" s="348"/>
      <c r="WDR11" s="348"/>
      <c r="WDS11" s="348"/>
      <c r="WDT11" s="348"/>
      <c r="WDU11" s="348"/>
      <c r="WDV11" s="348"/>
      <c r="WDW11" s="348"/>
      <c r="WDX11" s="348"/>
      <c r="WDY11" s="348"/>
      <c r="WDZ11" s="348"/>
      <c r="WEA11" s="348"/>
      <c r="WEB11" s="348"/>
      <c r="WEC11" s="348"/>
      <c r="WED11" s="348"/>
      <c r="WEE11" s="348"/>
      <c r="WEF11" s="348"/>
      <c r="WEG11" s="348"/>
      <c r="WEH11" s="348"/>
      <c r="WEI11" s="348"/>
      <c r="WEJ11" s="348"/>
      <c r="WEK11" s="348"/>
      <c r="WEL11" s="348"/>
      <c r="WEM11" s="348"/>
      <c r="WEN11" s="348"/>
      <c r="WEO11" s="348"/>
      <c r="WEP11" s="348"/>
      <c r="WEQ11" s="348"/>
      <c r="WER11" s="348"/>
      <c r="WES11" s="348"/>
      <c r="WET11" s="348"/>
      <c r="WEU11" s="348"/>
      <c r="WEV11" s="348"/>
      <c r="WEW11" s="348"/>
      <c r="WEX11" s="348"/>
      <c r="WEY11" s="348"/>
      <c r="WEZ11" s="348"/>
      <c r="WFA11" s="348"/>
      <c r="WFB11" s="348"/>
      <c r="WFC11" s="348"/>
      <c r="WFD11" s="348"/>
      <c r="WFE11" s="348"/>
      <c r="WFF11" s="348"/>
      <c r="WFG11" s="348"/>
      <c r="WFH11" s="348"/>
      <c r="WFI11" s="348"/>
      <c r="WFJ11" s="348"/>
      <c r="WFK11" s="348"/>
      <c r="WFL11" s="348"/>
      <c r="WFM11" s="348"/>
      <c r="WFN11" s="348"/>
      <c r="WFO11" s="348"/>
      <c r="WFP11" s="348"/>
      <c r="WFQ11" s="348"/>
      <c r="WFR11" s="348"/>
      <c r="WFS11" s="348"/>
      <c r="WFT11" s="348"/>
      <c r="WFU11" s="348"/>
      <c r="WFV11" s="348"/>
      <c r="WFW11" s="348"/>
      <c r="WFX11" s="348"/>
      <c r="WFY11" s="348"/>
      <c r="WFZ11" s="348"/>
      <c r="WGA11" s="348"/>
      <c r="WGB11" s="348"/>
      <c r="WGC11" s="348"/>
      <c r="WGD11" s="348"/>
      <c r="WGE11" s="348"/>
      <c r="WGF11" s="348"/>
      <c r="WGG11" s="348"/>
      <c r="WGH11" s="348"/>
      <c r="WGI11" s="348"/>
      <c r="WGJ11" s="348"/>
      <c r="WGK11" s="348"/>
      <c r="WGL11" s="348"/>
      <c r="WGM11" s="348"/>
      <c r="WGN11" s="348"/>
      <c r="WGO11" s="348"/>
      <c r="WGP11" s="348"/>
      <c r="WGQ11" s="348"/>
      <c r="WGR11" s="348"/>
      <c r="WGS11" s="348"/>
      <c r="WGT11" s="348"/>
      <c r="WGU11" s="348"/>
      <c r="WGV11" s="348"/>
      <c r="WGW11" s="348"/>
      <c r="WGX11" s="348"/>
      <c r="WGY11" s="348"/>
      <c r="WGZ11" s="348"/>
      <c r="WHA11" s="348"/>
      <c r="WHB11" s="348"/>
      <c r="WHC11" s="348"/>
      <c r="WHD11" s="348"/>
      <c r="WHE11" s="348"/>
      <c r="WHF11" s="348"/>
      <c r="WHG11" s="348"/>
      <c r="WHH11" s="348"/>
      <c r="WHI11" s="348"/>
      <c r="WHJ11" s="348"/>
      <c r="WHK11" s="348"/>
      <c r="WHL11" s="348"/>
      <c r="WHM11" s="348"/>
      <c r="WHN11" s="348"/>
      <c r="WHO11" s="348"/>
      <c r="WHP11" s="348"/>
      <c r="WHQ11" s="348"/>
      <c r="WHR11" s="348"/>
      <c r="WHS11" s="348"/>
      <c r="WHT11" s="348"/>
      <c r="WHU11" s="348"/>
      <c r="WHV11" s="348"/>
      <c r="WHW11" s="348"/>
      <c r="WHX11" s="348"/>
      <c r="WHY11" s="348"/>
      <c r="WHZ11" s="348"/>
      <c r="WIA11" s="348"/>
      <c r="WIB11" s="348"/>
      <c r="WIC11" s="348"/>
      <c r="WID11" s="348"/>
      <c r="WIE11" s="348"/>
      <c r="WIF11" s="348"/>
      <c r="WIG11" s="348"/>
      <c r="WIH11" s="348"/>
      <c r="WII11" s="348"/>
      <c r="WIJ11" s="348"/>
      <c r="WIK11" s="348"/>
      <c r="WIL11" s="348"/>
      <c r="WIM11" s="348"/>
      <c r="WIN11" s="348"/>
      <c r="WIO11" s="348"/>
      <c r="WIP11" s="348"/>
      <c r="WIQ11" s="348"/>
      <c r="WIR11" s="348"/>
      <c r="WIS11" s="348"/>
      <c r="WIT11" s="348"/>
      <c r="WIU11" s="348"/>
      <c r="WIV11" s="348"/>
      <c r="WIW11" s="348"/>
      <c r="WIX11" s="348"/>
      <c r="WIY11" s="348"/>
      <c r="WIZ11" s="348"/>
      <c r="WJA11" s="348"/>
      <c r="WJB11" s="348"/>
      <c r="WJC11" s="348"/>
      <c r="WJD11" s="348"/>
      <c r="WJE11" s="348"/>
      <c r="WJF11" s="348"/>
      <c r="WJG11" s="348"/>
      <c r="WJH11" s="348"/>
      <c r="WJI11" s="348"/>
      <c r="WJJ11" s="348"/>
      <c r="WJK11" s="348"/>
      <c r="WJL11" s="348"/>
      <c r="WJM11" s="348"/>
      <c r="WJN11" s="348"/>
      <c r="WJO11" s="348"/>
      <c r="WJP11" s="348"/>
      <c r="WJQ11" s="348"/>
      <c r="WJR11" s="348"/>
      <c r="WJS11" s="348"/>
      <c r="WJT11" s="348"/>
      <c r="WJU11" s="348"/>
      <c r="WJV11" s="348"/>
      <c r="WJW11" s="348"/>
      <c r="WJX11" s="348"/>
      <c r="WJY11" s="348"/>
      <c r="WJZ11" s="348"/>
      <c r="WKA11" s="348"/>
      <c r="WKB11" s="348"/>
      <c r="WKC11" s="348"/>
      <c r="WKD11" s="348"/>
      <c r="WKE11" s="348"/>
      <c r="WKF11" s="348"/>
      <c r="WKG11" s="348"/>
      <c r="WKH11" s="348"/>
      <c r="WKI11" s="348"/>
      <c r="WKJ11" s="348"/>
      <c r="WKK11" s="348"/>
      <c r="WKL11" s="348"/>
      <c r="WKM11" s="348"/>
      <c r="WKN11" s="348"/>
      <c r="WKO11" s="348"/>
      <c r="WKP11" s="348"/>
      <c r="WKQ11" s="348"/>
      <c r="WKR11" s="348"/>
      <c r="WKS11" s="348"/>
      <c r="WKT11" s="348"/>
      <c r="WKU11" s="348"/>
      <c r="WKV11" s="348"/>
      <c r="WKW11" s="348"/>
      <c r="WKX11" s="348"/>
      <c r="WKY11" s="348"/>
      <c r="WKZ11" s="348"/>
      <c r="WLA11" s="348"/>
      <c r="WLB11" s="348"/>
      <c r="WLC11" s="348"/>
      <c r="WLD11" s="348"/>
      <c r="WLE11" s="348"/>
      <c r="WLF11" s="348"/>
      <c r="WLG11" s="348"/>
      <c r="WLH11" s="348"/>
      <c r="WLI11" s="348"/>
      <c r="WLJ11" s="348"/>
      <c r="WLK11" s="348"/>
      <c r="WLL11" s="348"/>
      <c r="WLM11" s="348"/>
      <c r="WLN11" s="348"/>
      <c r="WLO11" s="348"/>
      <c r="WLP11" s="348"/>
      <c r="WLQ11" s="348"/>
      <c r="WLR11" s="348"/>
      <c r="WLS11" s="348"/>
      <c r="WLT11" s="348"/>
      <c r="WLU11" s="348"/>
      <c r="WLV11" s="348"/>
      <c r="WLW11" s="348"/>
      <c r="WLX11" s="348"/>
      <c r="WLY11" s="348"/>
      <c r="WLZ11" s="348"/>
      <c r="WMA11" s="348"/>
      <c r="WMB11" s="348"/>
      <c r="WMC11" s="348"/>
      <c r="WMD11" s="348"/>
      <c r="WME11" s="348"/>
      <c r="WMF11" s="348"/>
      <c r="WMG11" s="348"/>
      <c r="WMH11" s="348"/>
      <c r="WMI11" s="348"/>
      <c r="WMJ11" s="348"/>
      <c r="WMK11" s="348"/>
      <c r="WML11" s="348"/>
      <c r="WMM11" s="348"/>
      <c r="WMN11" s="348"/>
      <c r="WMO11" s="348"/>
      <c r="WMP11" s="348"/>
      <c r="WMQ11" s="348"/>
      <c r="WMR11" s="348"/>
      <c r="WMS11" s="348"/>
      <c r="WMT11" s="348"/>
      <c r="WMU11" s="348"/>
      <c r="WMV11" s="348"/>
      <c r="WMW11" s="348"/>
      <c r="WMX11" s="348"/>
      <c r="WMY11" s="348"/>
      <c r="WMZ11" s="348"/>
      <c r="WNA11" s="348"/>
      <c r="WNB11" s="348"/>
      <c r="WNC11" s="348"/>
      <c r="WND11" s="348"/>
      <c r="WNE11" s="348"/>
      <c r="WNF11" s="348"/>
      <c r="WNG11" s="348"/>
      <c r="WNH11" s="348"/>
      <c r="WNI11" s="348"/>
      <c r="WNJ11" s="348"/>
      <c r="WNK11" s="348"/>
      <c r="WNL11" s="348"/>
      <c r="WNM11" s="348"/>
      <c r="WNN11" s="348"/>
      <c r="WNO11" s="348"/>
      <c r="WNP11" s="348"/>
      <c r="WNQ11" s="348"/>
      <c r="WNR11" s="348"/>
      <c r="WNS11" s="348"/>
      <c r="WNT11" s="348"/>
      <c r="WNU11" s="348"/>
      <c r="WNV11" s="348"/>
      <c r="WNW11" s="348"/>
      <c r="WNX11" s="348"/>
      <c r="WNY11" s="348"/>
      <c r="WNZ11" s="348"/>
      <c r="WOA11" s="348"/>
      <c r="WOB11" s="348"/>
      <c r="WOC11" s="348"/>
      <c r="WOD11" s="348"/>
      <c r="WOE11" s="348"/>
      <c r="WOF11" s="348"/>
      <c r="WOG11" s="348"/>
      <c r="WOH11" s="348"/>
      <c r="WOI11" s="348"/>
      <c r="WOJ11" s="348"/>
      <c r="WOK11" s="348"/>
      <c r="WOL11" s="348"/>
      <c r="WOM11" s="348"/>
      <c r="WON11" s="348"/>
      <c r="WOO11" s="348"/>
      <c r="WOP11" s="348"/>
      <c r="WOQ11" s="348"/>
      <c r="WOR11" s="348"/>
      <c r="WOS11" s="348"/>
      <c r="WOT11" s="348"/>
      <c r="WOU11" s="348"/>
      <c r="WOV11" s="348"/>
      <c r="WOW11" s="348"/>
      <c r="WOX11" s="348"/>
      <c r="WOY11" s="348"/>
      <c r="WOZ11" s="348"/>
      <c r="WPA11" s="348"/>
      <c r="WPB11" s="348"/>
      <c r="WPC11" s="348"/>
      <c r="WPD11" s="348"/>
      <c r="WPE11" s="348"/>
      <c r="WPF11" s="348"/>
      <c r="WPG11" s="348"/>
      <c r="WPH11" s="348"/>
      <c r="WPI11" s="348"/>
      <c r="WPJ11" s="348"/>
      <c r="WPK11" s="348"/>
      <c r="WPL11" s="348"/>
      <c r="WPM11" s="348"/>
      <c r="WPN11" s="348"/>
      <c r="WPO11" s="348"/>
      <c r="WPP11" s="348"/>
      <c r="WPQ11" s="348"/>
      <c r="WPR11" s="348"/>
      <c r="WPS11" s="348"/>
      <c r="WPT11" s="348"/>
      <c r="WPU11" s="348"/>
      <c r="WPV11" s="348"/>
      <c r="WPW11" s="348"/>
      <c r="WPX11" s="348"/>
      <c r="WPY11" s="348"/>
      <c r="WPZ11" s="348"/>
      <c r="WQA11" s="348"/>
      <c r="WQB11" s="348"/>
      <c r="WQC11" s="348"/>
      <c r="WQD11" s="348"/>
      <c r="WQE11" s="348"/>
      <c r="WQF11" s="348"/>
      <c r="WQG11" s="348"/>
      <c r="WQH11" s="348"/>
      <c r="WQI11" s="348"/>
      <c r="WQJ11" s="348"/>
      <c r="WQK11" s="348"/>
      <c r="WQL11" s="348"/>
      <c r="WQM11" s="348"/>
      <c r="WQN11" s="348"/>
      <c r="WQO11" s="348"/>
      <c r="WQP11" s="348"/>
      <c r="WQQ11" s="348"/>
      <c r="WQR11" s="348"/>
      <c r="WQS11" s="348"/>
      <c r="WQT11" s="348"/>
      <c r="WQU11" s="348"/>
      <c r="WQV11" s="348"/>
      <c r="WQW11" s="348"/>
      <c r="WQX11" s="348"/>
      <c r="WQY11" s="348"/>
      <c r="WQZ11" s="348"/>
      <c r="WRA11" s="348"/>
      <c r="WRB11" s="348"/>
      <c r="WRC11" s="348"/>
      <c r="WRD11" s="348"/>
      <c r="WRE11" s="348"/>
      <c r="WRF11" s="348"/>
      <c r="WRG11" s="348"/>
      <c r="WRH11" s="348"/>
      <c r="WRI11" s="348"/>
      <c r="WRJ11" s="348"/>
      <c r="WRK11" s="348"/>
      <c r="WRL11" s="348"/>
      <c r="WRM11" s="348"/>
      <c r="WRN11" s="348"/>
      <c r="WRO11" s="348"/>
      <c r="WRP11" s="348"/>
      <c r="WRQ11" s="348"/>
      <c r="WRR11" s="348"/>
      <c r="WRS11" s="348"/>
      <c r="WRT11" s="348"/>
      <c r="WRU11" s="348"/>
      <c r="WRV11" s="348"/>
      <c r="WRW11" s="348"/>
      <c r="WRX11" s="348"/>
      <c r="WRY11" s="348"/>
      <c r="WRZ11" s="348"/>
      <c r="WSA11" s="348"/>
      <c r="WSB11" s="348"/>
      <c r="WSC11" s="348"/>
      <c r="WSD11" s="348"/>
      <c r="WSE11" s="348"/>
      <c r="WSF11" s="348"/>
      <c r="WSG11" s="348"/>
      <c r="WSH11" s="348"/>
      <c r="WSI11" s="348"/>
      <c r="WSJ11" s="348"/>
      <c r="WSK11" s="348"/>
      <c r="WSL11" s="348"/>
      <c r="WSM11" s="348"/>
      <c r="WSN11" s="348"/>
      <c r="WSO11" s="348"/>
      <c r="WSP11" s="348"/>
      <c r="WSQ11" s="348"/>
      <c r="WSR11" s="348"/>
      <c r="WSS11" s="348"/>
      <c r="WST11" s="348"/>
      <c r="WSU11" s="348"/>
      <c r="WSV11" s="348"/>
      <c r="WSW11" s="348"/>
      <c r="WSX11" s="348"/>
      <c r="WSY11" s="348"/>
      <c r="WSZ11" s="348"/>
      <c r="WTA11" s="348"/>
      <c r="WTB11" s="348"/>
      <c r="WTC11" s="348"/>
      <c r="WTD11" s="348"/>
      <c r="WTE11" s="348"/>
      <c r="WTF11" s="348"/>
      <c r="WTG11" s="348"/>
      <c r="WTH11" s="348"/>
      <c r="WTI11" s="348"/>
      <c r="WTJ11" s="348"/>
      <c r="WTK11" s="348"/>
      <c r="WTL11" s="348"/>
      <c r="WTM11" s="348"/>
      <c r="WTN11" s="348"/>
      <c r="WTO11" s="348"/>
      <c r="WTP11" s="348"/>
      <c r="WTQ11" s="348"/>
      <c r="WTR11" s="348"/>
      <c r="WTS11" s="348"/>
      <c r="WTT11" s="348"/>
      <c r="WTU11" s="348"/>
      <c r="WTV11" s="348"/>
      <c r="WTW11" s="348"/>
      <c r="WTX11" s="348"/>
      <c r="WTY11" s="348"/>
      <c r="WTZ11" s="348"/>
      <c r="WUA11" s="348"/>
      <c r="WUB11" s="348"/>
      <c r="WUC11" s="348"/>
      <c r="WUD11" s="348"/>
      <c r="WUE11" s="348"/>
      <c r="WUF11" s="348"/>
      <c r="WUG11" s="348"/>
      <c r="WUH11" s="348"/>
      <c r="WUI11" s="348"/>
      <c r="WUJ11" s="348"/>
      <c r="WUK11" s="348"/>
      <c r="WUL11" s="348"/>
      <c r="WUM11" s="348"/>
      <c r="WUN11" s="348"/>
      <c r="WUO11" s="348"/>
      <c r="WUP11" s="348"/>
      <c r="WUQ11" s="348"/>
      <c r="WUR11" s="348"/>
      <c r="WUS11" s="348"/>
      <c r="WUT11" s="348"/>
      <c r="WUU11" s="348"/>
      <c r="WUV11" s="348"/>
      <c r="WUW11" s="348"/>
      <c r="WUX11" s="348"/>
      <c r="WUY11" s="348"/>
      <c r="WUZ11" s="348"/>
      <c r="WVA11" s="348"/>
      <c r="WVB11" s="348"/>
      <c r="WVC11" s="348"/>
      <c r="WVD11" s="348"/>
      <c r="WVE11" s="348"/>
      <c r="WVF11" s="348"/>
      <c r="WVG11" s="348"/>
      <c r="WVH11" s="348"/>
      <c r="WVI11" s="348"/>
      <c r="WVJ11" s="348"/>
      <c r="WVK11" s="348"/>
      <c r="WVL11" s="348"/>
      <c r="WVM11" s="348"/>
      <c r="WVN11" s="348"/>
      <c r="WVO11" s="348"/>
      <c r="WVP11" s="348"/>
      <c r="WVQ11" s="348"/>
      <c r="WVR11" s="348"/>
      <c r="WVS11" s="348"/>
      <c r="WVT11" s="348"/>
      <c r="WVU11" s="348"/>
      <c r="WVV11" s="348"/>
      <c r="WVW11" s="348"/>
      <c r="WVX11" s="348"/>
      <c r="WVY11" s="348"/>
      <c r="WVZ11" s="348"/>
      <c r="WWA11" s="348"/>
      <c r="WWB11" s="348"/>
      <c r="WWC11" s="348"/>
      <c r="WWD11" s="348"/>
      <c r="WWE11" s="348"/>
      <c r="WWF11" s="348"/>
      <c r="WWG11" s="348"/>
      <c r="WWH11" s="348"/>
      <c r="WWI11" s="348"/>
      <c r="WWJ11" s="348"/>
      <c r="WWK11" s="348"/>
      <c r="WWL11" s="348"/>
      <c r="WWM11" s="348"/>
      <c r="WWN11" s="348"/>
      <c r="WWO11" s="348"/>
      <c r="WWP11" s="348"/>
      <c r="WWQ11" s="348"/>
      <c r="WWR11" s="348"/>
      <c r="WWS11" s="348"/>
      <c r="WWT11" s="348"/>
      <c r="WWU11" s="348"/>
      <c r="WWV11" s="348"/>
      <c r="WWW11" s="348"/>
      <c r="WWX11" s="348"/>
      <c r="WWY11" s="348"/>
      <c r="WWZ11" s="348"/>
      <c r="WXA11" s="348"/>
      <c r="WXB11" s="348"/>
      <c r="WXC11" s="348"/>
      <c r="WXD11" s="348"/>
      <c r="WXE11" s="348"/>
      <c r="WXF11" s="348"/>
      <c r="WXG11" s="348"/>
      <c r="WXH11" s="348"/>
      <c r="WXI11" s="348"/>
      <c r="WXJ11" s="348"/>
      <c r="WXK11" s="348"/>
      <c r="WXL11" s="348"/>
      <c r="WXM11" s="348"/>
      <c r="WXN11" s="348"/>
      <c r="WXO11" s="348"/>
      <c r="WXP11" s="348"/>
      <c r="WXQ11" s="348"/>
      <c r="WXR11" s="348"/>
      <c r="WXS11" s="348"/>
      <c r="WXT11" s="348"/>
      <c r="WXU11" s="348"/>
      <c r="WXV11" s="348"/>
      <c r="WXW11" s="348"/>
      <c r="WXX11" s="348"/>
      <c r="WXY11" s="348"/>
      <c r="WXZ11" s="348"/>
      <c r="WYA11" s="348"/>
      <c r="WYB11" s="348"/>
      <c r="WYC11" s="348"/>
      <c r="WYD11" s="348"/>
      <c r="WYE11" s="348"/>
      <c r="WYF11" s="348"/>
      <c r="WYG11" s="348"/>
      <c r="WYH11" s="348"/>
      <c r="WYI11" s="348"/>
      <c r="WYJ11" s="348"/>
      <c r="WYK11" s="348"/>
      <c r="WYL11" s="348"/>
      <c r="WYM11" s="348"/>
      <c r="WYN11" s="348"/>
      <c r="WYO11" s="348"/>
      <c r="WYP11" s="348"/>
      <c r="WYQ11" s="348"/>
      <c r="WYR11" s="348"/>
      <c r="WYS11" s="348"/>
      <c r="WYT11" s="348"/>
      <c r="WYU11" s="348"/>
      <c r="WYV11" s="348"/>
      <c r="WYW11" s="348"/>
      <c r="WYX11" s="348"/>
      <c r="WYY11" s="348"/>
      <c r="WYZ11" s="348"/>
      <c r="WZA11" s="348"/>
      <c r="WZB11" s="348"/>
      <c r="WZC11" s="348"/>
      <c r="WZD11" s="348"/>
      <c r="WZE11" s="348"/>
      <c r="WZF11" s="348"/>
      <c r="WZG11" s="348"/>
      <c r="WZH11" s="348"/>
      <c r="WZI11" s="348"/>
      <c r="WZJ11" s="348"/>
      <c r="WZK11" s="348"/>
      <c r="WZL11" s="348"/>
      <c r="WZM11" s="348"/>
      <c r="WZN11" s="348"/>
      <c r="WZO11" s="348"/>
      <c r="WZP11" s="348"/>
      <c r="WZQ11" s="348"/>
      <c r="WZR11" s="348"/>
      <c r="WZS11" s="348"/>
      <c r="WZT11" s="348"/>
      <c r="WZU11" s="348"/>
      <c r="WZV11" s="348"/>
      <c r="WZW11" s="348"/>
      <c r="WZX11" s="348"/>
      <c r="WZY11" s="348"/>
      <c r="WZZ11" s="348"/>
      <c r="XAA11" s="348"/>
      <c r="XAB11" s="348"/>
      <c r="XAC11" s="348"/>
      <c r="XAD11" s="348"/>
      <c r="XAE11" s="348"/>
      <c r="XAF11" s="348"/>
      <c r="XAG11" s="348"/>
      <c r="XAH11" s="348"/>
      <c r="XAI11" s="348"/>
      <c r="XAJ11" s="348"/>
      <c r="XAK11" s="348"/>
      <c r="XAL11" s="348"/>
      <c r="XAM11" s="348"/>
      <c r="XAN11" s="348"/>
      <c r="XAO11" s="348"/>
      <c r="XAP11" s="348"/>
      <c r="XAQ11" s="348"/>
      <c r="XAR11" s="348"/>
      <c r="XAS11" s="348"/>
      <c r="XAT11" s="348"/>
      <c r="XAU11" s="348"/>
      <c r="XAV11" s="348"/>
      <c r="XAW11" s="348"/>
      <c r="XAX11" s="348"/>
      <c r="XAY11" s="348"/>
      <c r="XAZ11" s="348"/>
      <c r="XBA11" s="348"/>
      <c r="XBB11" s="348"/>
      <c r="XBC11" s="348"/>
      <c r="XBD11" s="348"/>
      <c r="XBE11" s="348"/>
      <c r="XBF11" s="348"/>
      <c r="XBG11" s="348"/>
      <c r="XBH11" s="348"/>
      <c r="XBI11" s="348"/>
      <c r="XBJ11" s="348"/>
      <c r="XBK11" s="348"/>
      <c r="XBL11" s="348"/>
      <c r="XBM11" s="348"/>
      <c r="XBN11" s="348"/>
      <c r="XBO11" s="348"/>
      <c r="XBP11" s="348"/>
      <c r="XBQ11" s="348"/>
      <c r="XBR11" s="348"/>
      <c r="XBS11" s="348"/>
      <c r="XBT11" s="348"/>
      <c r="XBU11" s="348"/>
      <c r="XBV11" s="348"/>
      <c r="XBW11" s="348"/>
      <c r="XBX11" s="348"/>
      <c r="XBY11" s="348"/>
      <c r="XBZ11" s="348"/>
      <c r="XCA11" s="348"/>
      <c r="XCB11" s="348"/>
      <c r="XCC11" s="348"/>
      <c r="XCD11" s="348"/>
      <c r="XCE11" s="348"/>
      <c r="XCF11" s="348"/>
      <c r="XCG11" s="348"/>
      <c r="XCH11" s="348"/>
      <c r="XCI11" s="348"/>
      <c r="XCJ11" s="348"/>
      <c r="XCK11" s="348"/>
      <c r="XCL11" s="348"/>
      <c r="XCM11" s="348"/>
      <c r="XCN11" s="348"/>
      <c r="XCO11" s="348"/>
      <c r="XCP11" s="348"/>
      <c r="XCQ11" s="348"/>
      <c r="XCR11" s="348"/>
      <c r="XCS11" s="348"/>
      <c r="XCT11" s="348"/>
      <c r="XCU11" s="348"/>
      <c r="XCV11" s="348"/>
      <c r="XCW11" s="348"/>
      <c r="XCX11" s="348"/>
      <c r="XCY11" s="348"/>
      <c r="XCZ11" s="348"/>
      <c r="XDA11" s="348"/>
      <c r="XDB11" s="348"/>
      <c r="XDC11" s="348"/>
      <c r="XDD11" s="348"/>
      <c r="XDE11" s="348"/>
      <c r="XDF11" s="348"/>
      <c r="XDG11" s="348"/>
      <c r="XDH11" s="348"/>
      <c r="XDI11" s="348"/>
      <c r="XDJ11" s="348"/>
      <c r="XDK11" s="348"/>
      <c r="XDL11" s="348"/>
      <c r="XDM11" s="348"/>
      <c r="XDN11" s="348"/>
      <c r="XDO11" s="348"/>
      <c r="XDP11" s="348"/>
      <c r="XDQ11" s="348"/>
      <c r="XDR11" s="348"/>
      <c r="XDS11" s="348"/>
      <c r="XDT11" s="348"/>
      <c r="XDU11" s="348"/>
      <c r="XDV11" s="348"/>
      <c r="XDW11" s="348"/>
      <c r="XDX11" s="348"/>
      <c r="XDY11" s="348"/>
      <c r="XDZ11" s="348"/>
      <c r="XEA11" s="348"/>
      <c r="XEB11" s="348"/>
      <c r="XEC11" s="348"/>
      <c r="XED11" s="348"/>
      <c r="XEE11" s="348"/>
      <c r="XEF11" s="348"/>
      <c r="XEG11" s="348"/>
      <c r="XEH11" s="348"/>
      <c r="XEI11" s="348"/>
      <c r="XEJ11" s="348"/>
      <c r="XEK11" s="348"/>
      <c r="XEL11" s="348"/>
      <c r="XEM11" s="348"/>
      <c r="XEN11" s="348"/>
      <c r="XEO11" s="348"/>
      <c r="XEP11" s="348"/>
      <c r="XEQ11" s="348"/>
      <c r="XER11" s="348"/>
      <c r="XES11" s="348"/>
      <c r="XET11" s="348"/>
      <c r="XEU11" s="348"/>
      <c r="XEV11" s="348"/>
      <c r="XEW11" s="348"/>
      <c r="XEX11" s="348"/>
      <c r="XEY11" s="348"/>
      <c r="XEZ11" s="348"/>
      <c r="XFA11" s="348"/>
      <c r="XFB11" s="348"/>
      <c r="XFC11" s="348"/>
      <c r="XFD11" s="348"/>
    </row>
    <row r="12" spans="1:16384" ht="24" customHeight="1">
      <c r="A12" s="348" t="s">
        <v>280</v>
      </c>
      <c r="B12" s="348"/>
      <c r="C12" s="348"/>
      <c r="D12" s="348"/>
      <c r="E12" s="348"/>
      <c r="F12" s="348"/>
      <c r="G12" s="348"/>
      <c r="H12" s="348"/>
      <c r="I12" s="348"/>
      <c r="J12" s="348"/>
      <c r="K12" s="348"/>
      <c r="L12" s="348"/>
      <c r="M12" s="319"/>
      <c r="N12" s="319"/>
      <c r="O12" s="319"/>
      <c r="P12" s="319"/>
      <c r="Q12" s="348"/>
      <c r="R12" s="348"/>
      <c r="S12" s="348"/>
      <c r="T12" s="348"/>
      <c r="U12" s="348"/>
      <c r="V12" s="348"/>
      <c r="W12" s="348"/>
      <c r="X12" s="348"/>
      <c r="Y12" s="348"/>
      <c r="Z12" s="348"/>
      <c r="AA12" s="348"/>
      <c r="AB12" s="348"/>
      <c r="AC12" s="319"/>
      <c r="AD12" s="319"/>
      <c r="AE12" s="319"/>
      <c r="AF12" s="319"/>
      <c r="AG12" s="319"/>
      <c r="AH12" s="319"/>
      <c r="AI12" s="319"/>
      <c r="AJ12" s="319"/>
      <c r="AK12" s="319"/>
      <c r="AL12" s="319"/>
      <c r="AM12" s="319"/>
      <c r="AN12" s="319"/>
      <c r="AO12" s="319"/>
      <c r="AP12" s="319"/>
      <c r="AQ12" s="319"/>
      <c r="AR12" s="319"/>
      <c r="AS12" s="319"/>
      <c r="AT12" s="319"/>
      <c r="AU12" s="319"/>
      <c r="AV12" s="319"/>
      <c r="AW12" s="319"/>
      <c r="AX12" s="319"/>
      <c r="AY12" s="319"/>
      <c r="AZ12" s="319"/>
      <c r="BA12" s="319"/>
      <c r="BB12" s="319"/>
      <c r="BC12" s="319"/>
      <c r="BD12" s="319"/>
      <c r="BE12" s="319"/>
      <c r="BF12" s="319"/>
      <c r="BG12" s="319"/>
      <c r="BH12" s="319"/>
      <c r="BI12" s="319"/>
      <c r="BJ12" s="319"/>
      <c r="BK12" s="319"/>
      <c r="BL12" s="319"/>
      <c r="BM12" s="319"/>
      <c r="BN12" s="319"/>
      <c r="BO12" s="319"/>
      <c r="BP12" s="319"/>
      <c r="BQ12" s="319"/>
      <c r="BR12" s="319"/>
      <c r="BS12" s="319"/>
      <c r="BT12" s="319"/>
      <c r="BU12" s="319"/>
      <c r="BV12" s="319"/>
      <c r="BW12" s="319"/>
      <c r="BX12" s="319"/>
      <c r="BY12" s="319"/>
      <c r="BZ12" s="319"/>
      <c r="CA12" s="319"/>
      <c r="CB12" s="319"/>
      <c r="CC12" s="319"/>
      <c r="CD12" s="319"/>
      <c r="CE12" s="319"/>
      <c r="CF12" s="319"/>
      <c r="CG12" s="319"/>
      <c r="CH12" s="319"/>
      <c r="CI12" s="319"/>
      <c r="CJ12" s="319"/>
      <c r="CK12" s="319"/>
      <c r="CL12" s="319"/>
      <c r="CM12" s="319"/>
      <c r="CN12" s="319"/>
      <c r="CO12" s="319"/>
      <c r="CP12" s="319"/>
      <c r="CQ12" s="319"/>
      <c r="CR12" s="319"/>
      <c r="CS12" s="319"/>
      <c r="CT12" s="319"/>
      <c r="CU12" s="319"/>
      <c r="CV12" s="319"/>
      <c r="CW12" s="319"/>
      <c r="CX12" s="319"/>
      <c r="CY12" s="319"/>
      <c r="CZ12" s="319"/>
      <c r="DA12" s="319"/>
      <c r="DB12" s="319"/>
      <c r="DC12" s="319"/>
      <c r="DD12" s="319"/>
      <c r="DE12" s="319"/>
      <c r="DF12" s="319"/>
      <c r="DG12" s="319"/>
      <c r="DH12" s="319"/>
      <c r="DI12" s="319"/>
      <c r="DJ12" s="319"/>
      <c r="DK12" s="319"/>
      <c r="DL12" s="319"/>
      <c r="DM12" s="319"/>
      <c r="DN12" s="319"/>
      <c r="DO12" s="319"/>
      <c r="DP12" s="319"/>
      <c r="DQ12" s="319"/>
      <c r="DR12" s="319"/>
      <c r="DS12" s="319"/>
      <c r="DT12" s="319"/>
      <c r="DU12" s="319"/>
      <c r="DV12" s="319"/>
      <c r="DW12" s="319"/>
      <c r="DX12" s="319"/>
      <c r="DY12" s="319"/>
      <c r="DZ12" s="319"/>
      <c r="EA12" s="319"/>
      <c r="EB12" s="319"/>
      <c r="EC12" s="319"/>
      <c r="ED12" s="319"/>
      <c r="EE12" s="319"/>
      <c r="EF12" s="319"/>
      <c r="EG12" s="319"/>
      <c r="EH12" s="319"/>
      <c r="EI12" s="319"/>
      <c r="EJ12" s="319"/>
      <c r="EK12" s="319"/>
      <c r="EL12" s="319"/>
      <c r="EM12" s="319"/>
      <c r="EN12" s="319"/>
      <c r="EO12" s="319"/>
      <c r="EP12" s="319"/>
      <c r="EQ12" s="319"/>
      <c r="ER12" s="319"/>
      <c r="ES12" s="319"/>
      <c r="ET12" s="319"/>
      <c r="EU12" s="319"/>
      <c r="EV12" s="319"/>
      <c r="EW12" s="319"/>
      <c r="EX12" s="319"/>
      <c r="EY12" s="319"/>
      <c r="EZ12" s="319"/>
      <c r="FA12" s="319"/>
      <c r="FB12" s="319"/>
      <c r="FC12" s="319"/>
      <c r="FD12" s="319"/>
      <c r="FE12" s="319"/>
      <c r="FF12" s="319"/>
      <c r="FG12" s="319"/>
      <c r="FH12" s="319"/>
      <c r="FI12" s="319"/>
      <c r="FJ12" s="319"/>
      <c r="FK12" s="319"/>
      <c r="FL12" s="319"/>
      <c r="FM12" s="319"/>
      <c r="FN12" s="319"/>
      <c r="FO12" s="319"/>
      <c r="FP12" s="319"/>
      <c r="FQ12" s="319"/>
      <c r="FR12" s="319"/>
      <c r="FS12" s="319"/>
      <c r="FT12" s="319"/>
      <c r="FU12" s="319"/>
      <c r="FV12" s="319"/>
      <c r="FW12" s="319"/>
      <c r="FX12" s="319"/>
      <c r="FY12" s="319"/>
      <c r="FZ12" s="319"/>
      <c r="GA12" s="319"/>
      <c r="GB12" s="319"/>
      <c r="GC12" s="319"/>
      <c r="GD12" s="319"/>
      <c r="GE12" s="319"/>
      <c r="GF12" s="319"/>
      <c r="GG12" s="319"/>
      <c r="GH12" s="319"/>
      <c r="GI12" s="319"/>
      <c r="GJ12" s="319"/>
      <c r="GK12" s="319"/>
      <c r="GL12" s="319"/>
      <c r="GM12" s="319"/>
      <c r="GN12" s="319"/>
      <c r="GO12" s="319"/>
      <c r="GP12" s="319"/>
      <c r="GQ12" s="319"/>
      <c r="GR12" s="319"/>
      <c r="GS12" s="319"/>
      <c r="GT12" s="319"/>
      <c r="GU12" s="319"/>
      <c r="GV12" s="319"/>
      <c r="GW12" s="319"/>
      <c r="GX12" s="319"/>
      <c r="GY12" s="319"/>
      <c r="GZ12" s="319"/>
      <c r="HA12" s="319"/>
      <c r="HB12" s="319"/>
      <c r="HC12" s="319"/>
      <c r="HD12" s="319"/>
      <c r="HE12" s="319"/>
      <c r="HF12" s="319"/>
      <c r="HG12" s="319"/>
      <c r="HH12" s="319"/>
      <c r="HI12" s="319"/>
      <c r="HJ12" s="319"/>
      <c r="HK12" s="319"/>
      <c r="HL12" s="319"/>
      <c r="HM12" s="319"/>
      <c r="HN12" s="319"/>
      <c r="HO12" s="319"/>
      <c r="HP12" s="319"/>
      <c r="HQ12" s="319"/>
      <c r="HR12" s="319"/>
      <c r="HS12" s="319"/>
      <c r="HT12" s="319"/>
      <c r="HU12" s="319"/>
      <c r="HV12" s="319"/>
      <c r="HW12" s="319"/>
      <c r="HX12" s="319"/>
      <c r="HY12" s="319"/>
      <c r="HZ12" s="319"/>
      <c r="IA12" s="319"/>
      <c r="IB12" s="319"/>
      <c r="IC12" s="319"/>
      <c r="ID12" s="319"/>
      <c r="IE12" s="319"/>
      <c r="IF12" s="319"/>
      <c r="IG12" s="319"/>
      <c r="IH12" s="319"/>
      <c r="II12" s="319"/>
      <c r="IJ12" s="319"/>
      <c r="IK12" s="319"/>
      <c r="IL12" s="319"/>
      <c r="IM12" s="319"/>
      <c r="IN12" s="319"/>
      <c r="IO12" s="319"/>
      <c r="IP12" s="319"/>
      <c r="IQ12" s="319"/>
      <c r="IR12" s="319"/>
      <c r="IS12" s="319"/>
      <c r="IT12" s="319"/>
      <c r="IU12" s="319"/>
      <c r="IV12" s="319"/>
      <c r="IW12" s="319"/>
      <c r="IX12" s="319"/>
      <c r="IY12" s="319"/>
      <c r="IZ12" s="319"/>
      <c r="JA12" s="319"/>
      <c r="JB12" s="319"/>
      <c r="JC12" s="319"/>
      <c r="JD12" s="319"/>
      <c r="JE12" s="319"/>
      <c r="JF12" s="319"/>
      <c r="JG12" s="319"/>
      <c r="JH12" s="319"/>
      <c r="JI12" s="319"/>
      <c r="JJ12" s="319"/>
      <c r="JK12" s="319"/>
      <c r="JL12" s="319"/>
      <c r="JM12" s="319"/>
      <c r="JN12" s="319"/>
      <c r="JO12" s="319"/>
      <c r="JP12" s="319"/>
      <c r="JQ12" s="319"/>
      <c r="JR12" s="319"/>
      <c r="JS12" s="319"/>
      <c r="JT12" s="319"/>
      <c r="JU12" s="319"/>
      <c r="JV12" s="319"/>
      <c r="JW12" s="319"/>
      <c r="JX12" s="319"/>
      <c r="JY12" s="319"/>
      <c r="JZ12" s="319"/>
      <c r="KA12" s="319"/>
      <c r="KB12" s="319"/>
      <c r="KC12" s="319"/>
      <c r="KD12" s="319"/>
      <c r="KE12" s="319"/>
      <c r="KF12" s="319"/>
      <c r="KG12" s="319"/>
      <c r="KH12" s="319"/>
      <c r="KI12" s="319"/>
      <c r="KJ12" s="319"/>
      <c r="KK12" s="319"/>
      <c r="KL12" s="319"/>
      <c r="KM12" s="319"/>
      <c r="KN12" s="319"/>
      <c r="KO12" s="319"/>
      <c r="KP12" s="319"/>
      <c r="KQ12" s="319"/>
      <c r="KR12" s="319"/>
      <c r="KS12" s="319"/>
      <c r="KT12" s="319"/>
      <c r="KU12" s="319"/>
      <c r="KV12" s="319"/>
      <c r="KW12" s="319"/>
      <c r="KX12" s="319"/>
      <c r="KY12" s="319"/>
      <c r="KZ12" s="319"/>
      <c r="LA12" s="319"/>
      <c r="LB12" s="319"/>
      <c r="LC12" s="319"/>
      <c r="LD12" s="319"/>
      <c r="LE12" s="319"/>
      <c r="LF12" s="319"/>
      <c r="LG12" s="319"/>
      <c r="LH12" s="319"/>
      <c r="LI12" s="319"/>
      <c r="LJ12" s="319"/>
      <c r="LK12" s="319"/>
      <c r="LL12" s="319"/>
      <c r="LM12" s="319"/>
      <c r="LN12" s="319"/>
      <c r="LO12" s="319"/>
      <c r="LP12" s="319"/>
      <c r="LQ12" s="319"/>
      <c r="LR12" s="319"/>
      <c r="LS12" s="319"/>
      <c r="LT12" s="319"/>
      <c r="LU12" s="319"/>
      <c r="LV12" s="319"/>
      <c r="LW12" s="319"/>
      <c r="LX12" s="319"/>
      <c r="LY12" s="319"/>
      <c r="LZ12" s="319"/>
      <c r="MA12" s="319"/>
      <c r="MB12" s="319"/>
      <c r="MC12" s="319"/>
      <c r="MD12" s="319"/>
      <c r="ME12" s="319"/>
      <c r="MF12" s="319"/>
      <c r="MG12" s="319"/>
      <c r="MH12" s="319"/>
      <c r="MI12" s="319"/>
      <c r="MJ12" s="319"/>
      <c r="MK12" s="319"/>
      <c r="ML12" s="319"/>
      <c r="MM12" s="319"/>
      <c r="MN12" s="319"/>
      <c r="MO12" s="319"/>
      <c r="MP12" s="319"/>
      <c r="MQ12" s="319"/>
      <c r="MR12" s="319"/>
      <c r="MS12" s="319"/>
      <c r="MT12" s="319"/>
      <c r="MU12" s="319"/>
      <c r="MV12" s="319"/>
      <c r="MW12" s="319"/>
      <c r="MX12" s="319"/>
      <c r="MY12" s="319"/>
      <c r="MZ12" s="319"/>
      <c r="NA12" s="319"/>
      <c r="NB12" s="319"/>
      <c r="NC12" s="319"/>
      <c r="ND12" s="319"/>
      <c r="NE12" s="319"/>
      <c r="NF12" s="319"/>
      <c r="NG12" s="319"/>
      <c r="NH12" s="319"/>
      <c r="NI12" s="319"/>
      <c r="NJ12" s="319"/>
      <c r="NK12" s="319"/>
      <c r="NL12" s="319"/>
      <c r="NM12" s="319"/>
      <c r="NN12" s="319"/>
      <c r="NO12" s="319"/>
      <c r="NP12" s="319"/>
      <c r="NQ12" s="319"/>
      <c r="NR12" s="319"/>
      <c r="NS12" s="319"/>
      <c r="NT12" s="319"/>
      <c r="NU12" s="319"/>
      <c r="NV12" s="319"/>
      <c r="NW12" s="319"/>
      <c r="NX12" s="319"/>
      <c r="NY12" s="319"/>
      <c r="NZ12" s="319"/>
      <c r="OA12" s="319"/>
      <c r="OB12" s="319"/>
      <c r="OC12" s="319"/>
      <c r="OD12" s="319"/>
      <c r="OE12" s="319"/>
      <c r="OF12" s="319"/>
      <c r="OG12" s="319"/>
      <c r="OH12" s="319"/>
      <c r="OI12" s="319"/>
      <c r="OJ12" s="319"/>
      <c r="OK12" s="319"/>
      <c r="OL12" s="319"/>
      <c r="OM12" s="319"/>
      <c r="ON12" s="319"/>
      <c r="OO12" s="319"/>
      <c r="OP12" s="319"/>
      <c r="OQ12" s="319"/>
      <c r="OR12" s="319"/>
      <c r="OS12" s="319"/>
      <c r="OT12" s="319"/>
      <c r="OU12" s="319"/>
      <c r="OV12" s="319"/>
      <c r="OW12" s="319"/>
      <c r="OX12" s="319"/>
      <c r="OY12" s="319"/>
      <c r="OZ12" s="319"/>
      <c r="PA12" s="319"/>
      <c r="PB12" s="319"/>
      <c r="PC12" s="319"/>
      <c r="PD12" s="319"/>
      <c r="PE12" s="319"/>
      <c r="PF12" s="319"/>
      <c r="PG12" s="319"/>
      <c r="PH12" s="319"/>
      <c r="PI12" s="319"/>
      <c r="PJ12" s="319"/>
      <c r="PK12" s="319"/>
      <c r="PL12" s="319"/>
      <c r="PM12" s="319"/>
      <c r="PN12" s="319"/>
      <c r="PO12" s="319"/>
      <c r="PP12" s="319"/>
      <c r="PQ12" s="319"/>
      <c r="PR12" s="319"/>
      <c r="PS12" s="319"/>
      <c r="PT12" s="319"/>
      <c r="PU12" s="319"/>
      <c r="PV12" s="319"/>
      <c r="PW12" s="319"/>
      <c r="PX12" s="319"/>
      <c r="PY12" s="319"/>
      <c r="PZ12" s="319"/>
      <c r="QA12" s="319"/>
      <c r="QB12" s="319"/>
      <c r="QC12" s="319"/>
      <c r="QD12" s="319"/>
      <c r="QE12" s="319"/>
      <c r="QF12" s="319"/>
      <c r="QG12" s="319"/>
      <c r="QH12" s="319"/>
      <c r="QI12" s="319"/>
      <c r="QJ12" s="319"/>
      <c r="QK12" s="319"/>
      <c r="QL12" s="319"/>
      <c r="QM12" s="319"/>
      <c r="QN12" s="319"/>
      <c r="QO12" s="319"/>
      <c r="QP12" s="319"/>
      <c r="QQ12" s="319"/>
      <c r="QR12" s="319"/>
      <c r="QS12" s="319"/>
      <c r="QT12" s="319"/>
      <c r="QU12" s="319"/>
      <c r="QV12" s="319"/>
      <c r="QW12" s="319"/>
      <c r="QX12" s="319"/>
      <c r="QY12" s="319"/>
      <c r="QZ12" s="319"/>
      <c r="RA12" s="319"/>
      <c r="RB12" s="319"/>
      <c r="RC12" s="319"/>
      <c r="RD12" s="319"/>
      <c r="RE12" s="319"/>
      <c r="RF12" s="319"/>
      <c r="RG12" s="319"/>
      <c r="RH12" s="319"/>
      <c r="RI12" s="319"/>
      <c r="RJ12" s="319"/>
      <c r="RK12" s="319"/>
      <c r="RL12" s="319"/>
      <c r="RM12" s="319"/>
      <c r="RN12" s="319"/>
      <c r="RO12" s="319"/>
      <c r="RP12" s="319"/>
      <c r="RQ12" s="319"/>
      <c r="RR12" s="319"/>
      <c r="RS12" s="319"/>
      <c r="RT12" s="319"/>
      <c r="RU12" s="319"/>
      <c r="RV12" s="319"/>
      <c r="RW12" s="319"/>
      <c r="RX12" s="319"/>
      <c r="RY12" s="319"/>
      <c r="RZ12" s="319"/>
      <c r="SA12" s="319"/>
      <c r="SB12" s="319"/>
      <c r="SC12" s="319"/>
      <c r="SD12" s="319"/>
      <c r="SE12" s="319"/>
      <c r="SF12" s="319"/>
      <c r="SG12" s="319"/>
      <c r="SH12" s="319"/>
      <c r="SI12" s="319"/>
      <c r="SJ12" s="319"/>
      <c r="SK12" s="319"/>
      <c r="SL12" s="319"/>
      <c r="SM12" s="319"/>
      <c r="SN12" s="319"/>
      <c r="SO12" s="319"/>
      <c r="SP12" s="319"/>
      <c r="SQ12" s="319"/>
      <c r="SR12" s="319"/>
      <c r="SS12" s="319"/>
      <c r="ST12" s="319"/>
      <c r="SU12" s="319"/>
      <c r="SV12" s="319"/>
      <c r="SW12" s="319"/>
      <c r="SX12" s="319"/>
      <c r="SY12" s="319"/>
      <c r="SZ12" s="319"/>
      <c r="TA12" s="319"/>
      <c r="TB12" s="319"/>
      <c r="TC12" s="319"/>
      <c r="TD12" s="319"/>
      <c r="TE12" s="319"/>
      <c r="TF12" s="319"/>
      <c r="TG12" s="319"/>
      <c r="TH12" s="319"/>
      <c r="TI12" s="319"/>
      <c r="TJ12" s="319"/>
      <c r="TK12" s="319"/>
      <c r="TL12" s="319"/>
      <c r="TM12" s="319"/>
      <c r="TN12" s="319"/>
      <c r="TO12" s="319"/>
      <c r="TP12" s="319"/>
      <c r="TQ12" s="319"/>
      <c r="TR12" s="319"/>
      <c r="TS12" s="319"/>
      <c r="TT12" s="319"/>
      <c r="TU12" s="319"/>
      <c r="TV12" s="319"/>
      <c r="TW12" s="319"/>
      <c r="TX12" s="319"/>
      <c r="TY12" s="319"/>
      <c r="TZ12" s="319"/>
      <c r="UA12" s="319"/>
      <c r="UB12" s="319"/>
      <c r="UC12" s="319"/>
      <c r="UD12" s="319"/>
      <c r="UE12" s="319"/>
      <c r="UF12" s="319"/>
      <c r="UG12" s="319"/>
      <c r="UH12" s="319"/>
      <c r="UI12" s="319"/>
      <c r="UJ12" s="319"/>
      <c r="UK12" s="319"/>
      <c r="UL12" s="319"/>
      <c r="UM12" s="319"/>
      <c r="UN12" s="319"/>
      <c r="UO12" s="319"/>
      <c r="UP12" s="319"/>
      <c r="UQ12" s="319"/>
      <c r="UR12" s="319"/>
      <c r="US12" s="319"/>
      <c r="UT12" s="319"/>
      <c r="UU12" s="319"/>
      <c r="UV12" s="319"/>
      <c r="UW12" s="319"/>
      <c r="UX12" s="319"/>
      <c r="UY12" s="319"/>
      <c r="UZ12" s="319"/>
      <c r="VA12" s="319"/>
      <c r="VB12" s="319"/>
      <c r="VC12" s="319"/>
      <c r="VD12" s="319"/>
      <c r="VE12" s="319"/>
      <c r="VF12" s="319"/>
      <c r="VG12" s="319"/>
      <c r="VH12" s="319"/>
      <c r="VI12" s="319"/>
      <c r="VJ12" s="319"/>
      <c r="VK12" s="319"/>
      <c r="VL12" s="319"/>
      <c r="VM12" s="319"/>
      <c r="VN12" s="319"/>
      <c r="VO12" s="319"/>
      <c r="VP12" s="319"/>
      <c r="VQ12" s="319"/>
      <c r="VR12" s="319"/>
      <c r="VS12" s="319"/>
      <c r="VT12" s="319"/>
      <c r="VU12" s="319"/>
      <c r="VV12" s="319"/>
      <c r="VW12" s="319"/>
      <c r="VX12" s="319"/>
      <c r="VY12" s="319"/>
      <c r="VZ12" s="319"/>
      <c r="WA12" s="319"/>
      <c r="WB12" s="319"/>
      <c r="WC12" s="319"/>
      <c r="WD12" s="319"/>
      <c r="WE12" s="319"/>
      <c r="WF12" s="319"/>
      <c r="WG12" s="319"/>
      <c r="WH12" s="319"/>
      <c r="WI12" s="319"/>
      <c r="WJ12" s="319"/>
      <c r="WK12" s="319"/>
      <c r="WL12" s="319"/>
      <c r="WM12" s="319"/>
      <c r="WN12" s="319"/>
      <c r="WO12" s="319"/>
      <c r="WP12" s="319"/>
      <c r="WQ12" s="319"/>
      <c r="WR12" s="319"/>
      <c r="WS12" s="319"/>
      <c r="WT12" s="319"/>
      <c r="WU12" s="319"/>
      <c r="WV12" s="319"/>
      <c r="WW12" s="319"/>
      <c r="WX12" s="319"/>
      <c r="WY12" s="319"/>
      <c r="WZ12" s="319"/>
      <c r="XA12" s="319"/>
      <c r="XB12" s="319"/>
      <c r="XC12" s="319"/>
      <c r="XD12" s="319"/>
      <c r="XE12" s="319"/>
      <c r="XF12" s="319"/>
      <c r="XG12" s="319"/>
      <c r="XH12" s="319"/>
      <c r="XI12" s="319"/>
      <c r="XJ12" s="319"/>
      <c r="XK12" s="319"/>
      <c r="XL12" s="319"/>
      <c r="XM12" s="319"/>
      <c r="XN12" s="319"/>
      <c r="XO12" s="319"/>
      <c r="XP12" s="319"/>
      <c r="XQ12" s="319"/>
      <c r="XR12" s="319"/>
      <c r="XS12" s="319"/>
      <c r="XT12" s="319"/>
      <c r="XU12" s="319"/>
      <c r="XV12" s="319"/>
      <c r="XW12" s="319"/>
      <c r="XX12" s="319"/>
      <c r="XY12" s="319"/>
      <c r="XZ12" s="319"/>
      <c r="YA12" s="319"/>
      <c r="YB12" s="319"/>
      <c r="YC12" s="319"/>
      <c r="YD12" s="319"/>
      <c r="YE12" s="319"/>
      <c r="YF12" s="319"/>
      <c r="YG12" s="319"/>
      <c r="YH12" s="319"/>
      <c r="YI12" s="319"/>
      <c r="YJ12" s="319"/>
      <c r="YK12" s="319"/>
      <c r="YL12" s="319"/>
      <c r="YM12" s="319"/>
      <c r="YN12" s="319"/>
      <c r="YO12" s="319"/>
      <c r="YP12" s="319"/>
      <c r="YQ12" s="319"/>
      <c r="YR12" s="319"/>
      <c r="YS12" s="319"/>
      <c r="YT12" s="319"/>
      <c r="YU12" s="319"/>
      <c r="YV12" s="319"/>
      <c r="YW12" s="319"/>
      <c r="YX12" s="319"/>
      <c r="YY12" s="319"/>
      <c r="YZ12" s="319"/>
      <c r="ZA12" s="319"/>
      <c r="ZB12" s="319"/>
      <c r="ZC12" s="319"/>
      <c r="ZD12" s="319"/>
      <c r="ZE12" s="319"/>
      <c r="ZF12" s="319"/>
      <c r="ZG12" s="319"/>
      <c r="ZH12" s="319"/>
      <c r="ZI12" s="319"/>
      <c r="ZJ12" s="319"/>
      <c r="ZK12" s="319"/>
      <c r="ZL12" s="319"/>
      <c r="ZM12" s="319"/>
      <c r="ZN12" s="319"/>
      <c r="ZO12" s="319"/>
      <c r="ZP12" s="319"/>
      <c r="ZQ12" s="319"/>
      <c r="ZR12" s="319"/>
      <c r="ZS12" s="319"/>
      <c r="ZT12" s="319"/>
      <c r="ZU12" s="319"/>
      <c r="ZV12" s="319"/>
      <c r="ZW12" s="319"/>
      <c r="ZX12" s="319"/>
      <c r="ZY12" s="319"/>
      <c r="ZZ12" s="319"/>
      <c r="AAA12" s="319"/>
      <c r="AAB12" s="319"/>
      <c r="AAC12" s="319"/>
      <c r="AAD12" s="319"/>
      <c r="AAE12" s="319"/>
      <c r="AAF12" s="319"/>
      <c r="AAG12" s="319"/>
      <c r="AAH12" s="319"/>
      <c r="AAI12" s="319"/>
      <c r="AAJ12" s="319"/>
      <c r="AAK12" s="319"/>
      <c r="AAL12" s="319"/>
      <c r="AAM12" s="319"/>
      <c r="AAN12" s="319"/>
      <c r="AAO12" s="319"/>
      <c r="AAP12" s="319"/>
      <c r="AAQ12" s="319"/>
      <c r="AAR12" s="319"/>
      <c r="AAS12" s="319"/>
      <c r="AAT12" s="319"/>
      <c r="AAU12" s="319"/>
      <c r="AAV12" s="319"/>
      <c r="AAW12" s="319"/>
      <c r="AAX12" s="319"/>
      <c r="AAY12" s="319"/>
      <c r="AAZ12" s="319"/>
      <c r="ABA12" s="319"/>
      <c r="ABB12" s="319"/>
      <c r="ABC12" s="319"/>
      <c r="ABD12" s="319"/>
      <c r="ABE12" s="319"/>
      <c r="ABF12" s="319"/>
      <c r="ABG12" s="319"/>
      <c r="ABH12" s="319"/>
      <c r="ABI12" s="319"/>
      <c r="ABJ12" s="319"/>
      <c r="ABK12" s="319"/>
      <c r="ABL12" s="319"/>
      <c r="ABM12" s="319"/>
      <c r="ABN12" s="319"/>
      <c r="ABO12" s="319"/>
      <c r="ABP12" s="319"/>
      <c r="ABQ12" s="319"/>
      <c r="ABR12" s="319"/>
      <c r="ABS12" s="319"/>
      <c r="ABT12" s="319"/>
      <c r="ABU12" s="319"/>
      <c r="ABV12" s="319"/>
      <c r="ABW12" s="319"/>
      <c r="ABX12" s="319"/>
      <c r="ABY12" s="319"/>
      <c r="ABZ12" s="319"/>
      <c r="ACA12" s="319"/>
      <c r="ACB12" s="319"/>
      <c r="ACC12" s="319"/>
      <c r="ACD12" s="319"/>
      <c r="ACE12" s="319"/>
      <c r="ACF12" s="319"/>
      <c r="ACG12" s="319"/>
      <c r="ACH12" s="319"/>
      <c r="ACI12" s="319"/>
      <c r="ACJ12" s="319"/>
      <c r="ACK12" s="319"/>
      <c r="ACL12" s="319"/>
      <c r="ACM12" s="319"/>
      <c r="ACN12" s="319"/>
      <c r="ACO12" s="319"/>
      <c r="ACP12" s="319"/>
      <c r="ACQ12" s="319"/>
      <c r="ACR12" s="319"/>
      <c r="ACS12" s="319"/>
      <c r="ACT12" s="319"/>
      <c r="ACU12" s="319"/>
      <c r="ACV12" s="319"/>
      <c r="ACW12" s="319"/>
      <c r="ACX12" s="319"/>
      <c r="ACY12" s="319"/>
      <c r="ACZ12" s="319"/>
      <c r="ADA12" s="319"/>
      <c r="ADB12" s="319"/>
      <c r="ADC12" s="319"/>
      <c r="ADD12" s="319"/>
      <c r="ADE12" s="319"/>
      <c r="ADF12" s="319"/>
      <c r="ADG12" s="319"/>
      <c r="ADH12" s="319"/>
      <c r="ADI12" s="319"/>
      <c r="ADJ12" s="319"/>
      <c r="ADK12" s="319"/>
      <c r="ADL12" s="319"/>
      <c r="ADM12" s="319"/>
      <c r="ADN12" s="319"/>
      <c r="ADO12" s="319"/>
      <c r="ADP12" s="319"/>
      <c r="ADQ12" s="319"/>
      <c r="ADR12" s="319"/>
      <c r="ADS12" s="319"/>
      <c r="ADT12" s="319"/>
      <c r="ADU12" s="319"/>
      <c r="ADV12" s="319"/>
      <c r="ADW12" s="319"/>
      <c r="ADX12" s="319"/>
      <c r="ADY12" s="319"/>
      <c r="ADZ12" s="319"/>
      <c r="AEA12" s="319"/>
      <c r="AEB12" s="319"/>
      <c r="AEC12" s="319"/>
      <c r="AED12" s="319"/>
      <c r="AEE12" s="319"/>
      <c r="AEF12" s="319"/>
      <c r="AEG12" s="319"/>
      <c r="AEH12" s="319"/>
      <c r="AEI12" s="319"/>
      <c r="AEJ12" s="319"/>
      <c r="AEK12" s="319"/>
      <c r="AEL12" s="319"/>
      <c r="AEM12" s="319"/>
      <c r="AEN12" s="319"/>
      <c r="AEO12" s="319"/>
      <c r="AEP12" s="319"/>
      <c r="AEQ12" s="319"/>
      <c r="AER12" s="319"/>
      <c r="AES12" s="319"/>
      <c r="AET12" s="319"/>
      <c r="AEU12" s="319"/>
      <c r="AEV12" s="319"/>
      <c r="AEW12" s="319"/>
      <c r="AEX12" s="319"/>
      <c r="AEY12" s="319"/>
      <c r="AEZ12" s="319"/>
      <c r="AFA12" s="319"/>
      <c r="AFB12" s="319"/>
      <c r="AFC12" s="319"/>
      <c r="AFD12" s="319"/>
      <c r="AFE12" s="319"/>
      <c r="AFF12" s="319"/>
      <c r="AFG12" s="319"/>
      <c r="AFH12" s="319"/>
      <c r="AFI12" s="319"/>
      <c r="AFJ12" s="319"/>
      <c r="AFK12" s="319"/>
      <c r="AFL12" s="319"/>
      <c r="AFM12" s="319"/>
      <c r="AFN12" s="319"/>
      <c r="AFO12" s="319"/>
      <c r="AFP12" s="319"/>
      <c r="AFQ12" s="319"/>
      <c r="AFR12" s="319"/>
      <c r="AFS12" s="319"/>
      <c r="AFT12" s="319"/>
      <c r="AFU12" s="319"/>
      <c r="AFV12" s="319"/>
      <c r="AFW12" s="319"/>
      <c r="AFX12" s="319"/>
      <c r="AFY12" s="319"/>
      <c r="AFZ12" s="319"/>
      <c r="AGA12" s="319"/>
      <c r="AGB12" s="319"/>
      <c r="AGC12" s="319"/>
      <c r="AGD12" s="319"/>
      <c r="AGE12" s="319"/>
      <c r="AGF12" s="319"/>
      <c r="AGG12" s="319"/>
      <c r="AGH12" s="319"/>
      <c r="AGI12" s="319"/>
      <c r="AGJ12" s="319"/>
      <c r="AGK12" s="319"/>
      <c r="AGL12" s="319"/>
      <c r="AGM12" s="319"/>
      <c r="AGN12" s="319"/>
      <c r="AGO12" s="319"/>
      <c r="AGP12" s="319"/>
      <c r="AGQ12" s="319"/>
      <c r="AGR12" s="319"/>
      <c r="AGS12" s="319"/>
      <c r="AGT12" s="319"/>
      <c r="AGU12" s="319"/>
      <c r="AGV12" s="319"/>
      <c r="AGW12" s="319"/>
      <c r="AGX12" s="319"/>
      <c r="AGY12" s="319"/>
      <c r="AGZ12" s="319"/>
      <c r="AHA12" s="319"/>
      <c r="AHB12" s="319"/>
      <c r="AHC12" s="319"/>
      <c r="AHD12" s="319"/>
      <c r="AHE12" s="319"/>
      <c r="AHF12" s="319"/>
      <c r="AHG12" s="319"/>
      <c r="AHH12" s="319"/>
      <c r="AHI12" s="319"/>
      <c r="AHJ12" s="319"/>
      <c r="AHK12" s="319"/>
      <c r="AHL12" s="319"/>
      <c r="AHM12" s="319"/>
      <c r="AHN12" s="319"/>
      <c r="AHO12" s="319"/>
      <c r="AHP12" s="319"/>
      <c r="AHQ12" s="319"/>
      <c r="AHR12" s="319"/>
      <c r="AHS12" s="319"/>
      <c r="AHT12" s="319"/>
      <c r="AHU12" s="319"/>
      <c r="AHV12" s="319"/>
      <c r="AHW12" s="319"/>
      <c r="AHX12" s="319"/>
      <c r="AHY12" s="319"/>
      <c r="AHZ12" s="319"/>
      <c r="AIA12" s="319"/>
      <c r="AIB12" s="319"/>
      <c r="AIC12" s="319"/>
      <c r="AID12" s="319"/>
      <c r="AIE12" s="319"/>
      <c r="AIF12" s="319"/>
      <c r="AIG12" s="319"/>
      <c r="AIH12" s="319"/>
      <c r="AII12" s="319"/>
      <c r="AIJ12" s="319"/>
      <c r="AIK12" s="319"/>
      <c r="AIL12" s="319"/>
      <c r="AIM12" s="319"/>
      <c r="AIN12" s="319"/>
      <c r="AIO12" s="319"/>
      <c r="AIP12" s="319"/>
      <c r="AIQ12" s="319"/>
      <c r="AIR12" s="319"/>
      <c r="AIS12" s="319"/>
      <c r="AIT12" s="319"/>
      <c r="AIU12" s="319"/>
      <c r="AIV12" s="319"/>
      <c r="AIW12" s="319"/>
      <c r="AIX12" s="319"/>
      <c r="AIY12" s="319"/>
      <c r="AIZ12" s="319"/>
      <c r="AJA12" s="319"/>
      <c r="AJB12" s="319"/>
      <c r="AJC12" s="319"/>
      <c r="AJD12" s="319"/>
      <c r="AJE12" s="319"/>
      <c r="AJF12" s="319"/>
      <c r="AJG12" s="319"/>
      <c r="AJH12" s="319"/>
      <c r="AJI12" s="319"/>
      <c r="AJJ12" s="319"/>
      <c r="AJK12" s="319"/>
      <c r="AJL12" s="319"/>
      <c r="AJM12" s="319"/>
      <c r="AJN12" s="319"/>
      <c r="AJO12" s="319"/>
      <c r="AJP12" s="319"/>
      <c r="AJQ12" s="319"/>
      <c r="AJR12" s="319"/>
      <c r="AJS12" s="319"/>
      <c r="AJT12" s="319"/>
      <c r="AJU12" s="319"/>
      <c r="AJV12" s="319"/>
      <c r="AJW12" s="319"/>
      <c r="AJX12" s="319"/>
      <c r="AJY12" s="319"/>
      <c r="AJZ12" s="319"/>
      <c r="AKA12" s="319"/>
      <c r="AKB12" s="319"/>
      <c r="AKC12" s="319"/>
      <c r="AKD12" s="319"/>
      <c r="AKE12" s="319"/>
      <c r="AKF12" s="319"/>
      <c r="AKG12" s="319"/>
      <c r="AKH12" s="319"/>
      <c r="AKI12" s="319"/>
      <c r="AKJ12" s="319"/>
      <c r="AKK12" s="319"/>
      <c r="AKL12" s="319"/>
      <c r="AKM12" s="319"/>
      <c r="AKN12" s="319"/>
      <c r="AKO12" s="319"/>
      <c r="AKP12" s="319"/>
      <c r="AKQ12" s="319"/>
      <c r="AKR12" s="319"/>
      <c r="AKS12" s="319"/>
      <c r="AKT12" s="319"/>
      <c r="AKU12" s="319"/>
      <c r="AKV12" s="319"/>
      <c r="AKW12" s="319"/>
      <c r="AKX12" s="319"/>
      <c r="AKY12" s="319"/>
      <c r="AKZ12" s="319"/>
      <c r="ALA12" s="319"/>
      <c r="ALB12" s="319"/>
      <c r="ALC12" s="319"/>
      <c r="ALD12" s="319"/>
      <c r="ALE12" s="319"/>
      <c r="ALF12" s="319"/>
      <c r="ALG12" s="319"/>
      <c r="ALH12" s="319"/>
      <c r="ALI12" s="319"/>
      <c r="ALJ12" s="319"/>
      <c r="ALK12" s="319"/>
      <c r="ALL12" s="319"/>
      <c r="ALM12" s="319"/>
      <c r="ALN12" s="319"/>
      <c r="ALO12" s="319"/>
      <c r="ALP12" s="319"/>
      <c r="ALQ12" s="319"/>
      <c r="ALR12" s="319"/>
      <c r="ALS12" s="319"/>
      <c r="ALT12" s="319"/>
      <c r="ALU12" s="319"/>
      <c r="ALV12" s="319"/>
      <c r="ALW12" s="319"/>
      <c r="ALX12" s="319"/>
      <c r="ALY12" s="319"/>
      <c r="ALZ12" s="319"/>
      <c r="AMA12" s="319"/>
      <c r="AMB12" s="319"/>
      <c r="AMC12" s="319"/>
      <c r="AMD12" s="319"/>
      <c r="AME12" s="319"/>
      <c r="AMF12" s="319"/>
      <c r="AMG12" s="319"/>
      <c r="AMH12" s="319"/>
      <c r="AMI12" s="319"/>
      <c r="AMJ12" s="319"/>
      <c r="AMK12" s="319"/>
      <c r="AML12" s="319"/>
      <c r="AMM12" s="319"/>
      <c r="AMN12" s="319"/>
      <c r="AMO12" s="319"/>
      <c r="AMP12" s="319"/>
      <c r="AMQ12" s="319"/>
      <c r="AMR12" s="319"/>
      <c r="AMS12" s="319"/>
      <c r="AMT12" s="319"/>
      <c r="AMU12" s="319"/>
      <c r="AMV12" s="319"/>
      <c r="AMW12" s="319"/>
      <c r="AMX12" s="319"/>
      <c r="AMY12" s="319"/>
      <c r="AMZ12" s="319"/>
      <c r="ANA12" s="319"/>
      <c r="ANB12" s="319"/>
      <c r="ANC12" s="319"/>
      <c r="AND12" s="319"/>
      <c r="ANE12" s="319"/>
      <c r="ANF12" s="319"/>
      <c r="ANG12" s="319"/>
      <c r="ANH12" s="319"/>
      <c r="ANI12" s="319"/>
      <c r="ANJ12" s="319"/>
      <c r="ANK12" s="319"/>
      <c r="ANL12" s="319"/>
      <c r="ANM12" s="319"/>
      <c r="ANN12" s="319"/>
      <c r="ANO12" s="319"/>
      <c r="ANP12" s="319"/>
      <c r="ANQ12" s="319"/>
      <c r="ANR12" s="319"/>
      <c r="ANS12" s="319"/>
      <c r="ANT12" s="319"/>
      <c r="ANU12" s="319"/>
      <c r="ANV12" s="319"/>
      <c r="ANW12" s="319"/>
      <c r="ANX12" s="319"/>
      <c r="ANY12" s="319"/>
      <c r="ANZ12" s="319"/>
      <c r="AOA12" s="319"/>
      <c r="AOB12" s="319"/>
      <c r="AOC12" s="319"/>
      <c r="AOD12" s="319"/>
      <c r="AOE12" s="319"/>
      <c r="AOF12" s="319"/>
      <c r="AOG12" s="319"/>
      <c r="AOH12" s="319"/>
      <c r="AOI12" s="319"/>
      <c r="AOJ12" s="319"/>
      <c r="AOK12" s="319"/>
      <c r="AOL12" s="319"/>
      <c r="AOM12" s="319"/>
      <c r="AON12" s="319"/>
      <c r="AOO12" s="319"/>
      <c r="AOP12" s="319"/>
      <c r="AOQ12" s="319"/>
      <c r="AOR12" s="319"/>
      <c r="AOS12" s="319"/>
      <c r="AOT12" s="319"/>
      <c r="AOU12" s="319"/>
      <c r="AOV12" s="319"/>
      <c r="AOW12" s="319"/>
      <c r="AOX12" s="319"/>
      <c r="AOY12" s="319"/>
      <c r="AOZ12" s="319"/>
      <c r="APA12" s="319"/>
      <c r="APB12" s="319"/>
      <c r="APC12" s="319"/>
      <c r="APD12" s="319"/>
      <c r="APE12" s="319"/>
      <c r="APF12" s="319"/>
      <c r="APG12" s="319"/>
      <c r="APH12" s="319"/>
      <c r="API12" s="319"/>
      <c r="APJ12" s="319"/>
      <c r="APK12" s="319"/>
      <c r="APL12" s="319"/>
      <c r="APM12" s="319"/>
      <c r="APN12" s="319"/>
      <c r="APO12" s="319"/>
      <c r="APP12" s="319"/>
      <c r="APQ12" s="319"/>
      <c r="APR12" s="319"/>
      <c r="APS12" s="319"/>
      <c r="APT12" s="319"/>
      <c r="APU12" s="319"/>
      <c r="APV12" s="319"/>
      <c r="APW12" s="319"/>
      <c r="APX12" s="319"/>
      <c r="APY12" s="319"/>
      <c r="APZ12" s="319"/>
      <c r="AQA12" s="319"/>
      <c r="AQB12" s="319"/>
      <c r="AQC12" s="319"/>
      <c r="AQD12" s="319"/>
      <c r="AQE12" s="319"/>
      <c r="AQF12" s="319"/>
      <c r="AQG12" s="319"/>
      <c r="AQH12" s="319"/>
      <c r="AQI12" s="319"/>
      <c r="AQJ12" s="319"/>
      <c r="AQK12" s="319"/>
      <c r="AQL12" s="319"/>
      <c r="AQM12" s="319"/>
      <c r="AQN12" s="319"/>
      <c r="AQO12" s="319"/>
      <c r="AQP12" s="319"/>
      <c r="AQQ12" s="319"/>
      <c r="AQR12" s="319"/>
      <c r="AQS12" s="319"/>
      <c r="AQT12" s="319"/>
      <c r="AQU12" s="319"/>
      <c r="AQV12" s="319"/>
      <c r="AQW12" s="319"/>
      <c r="AQX12" s="319"/>
      <c r="AQY12" s="319"/>
      <c r="AQZ12" s="319"/>
      <c r="ARA12" s="319"/>
      <c r="ARB12" s="319"/>
      <c r="ARC12" s="319"/>
      <c r="ARD12" s="319"/>
      <c r="ARE12" s="319"/>
      <c r="ARF12" s="319"/>
      <c r="ARG12" s="319"/>
      <c r="ARH12" s="319"/>
      <c r="ARI12" s="319"/>
      <c r="ARJ12" s="319"/>
      <c r="ARK12" s="319"/>
      <c r="ARL12" s="319"/>
      <c r="ARM12" s="319"/>
      <c r="ARN12" s="319"/>
      <c r="ARO12" s="319"/>
      <c r="ARP12" s="319"/>
      <c r="ARQ12" s="319"/>
      <c r="ARR12" s="319"/>
      <c r="ARS12" s="319"/>
      <c r="ART12" s="319"/>
      <c r="ARU12" s="319"/>
      <c r="ARV12" s="319"/>
      <c r="ARW12" s="319"/>
      <c r="ARX12" s="319"/>
      <c r="ARY12" s="319"/>
      <c r="ARZ12" s="319"/>
      <c r="ASA12" s="319"/>
      <c r="ASB12" s="319"/>
      <c r="ASC12" s="319"/>
      <c r="ASD12" s="319"/>
      <c r="ASE12" s="319"/>
      <c r="ASF12" s="319"/>
      <c r="ASG12" s="319"/>
      <c r="ASH12" s="319"/>
      <c r="ASI12" s="319"/>
      <c r="ASJ12" s="319"/>
      <c r="ASK12" s="319"/>
      <c r="ASL12" s="319"/>
      <c r="ASM12" s="319"/>
      <c r="ASN12" s="319"/>
      <c r="ASO12" s="319"/>
      <c r="ASP12" s="319"/>
      <c r="ASQ12" s="319"/>
      <c r="ASR12" s="319"/>
      <c r="ASS12" s="319"/>
      <c r="AST12" s="319"/>
      <c r="ASU12" s="319"/>
      <c r="ASV12" s="319"/>
      <c r="ASW12" s="319"/>
      <c r="ASX12" s="319"/>
      <c r="ASY12" s="319"/>
      <c r="ASZ12" s="319"/>
      <c r="ATA12" s="319"/>
      <c r="ATB12" s="319"/>
      <c r="ATC12" s="319"/>
      <c r="ATD12" s="319"/>
      <c r="ATE12" s="319"/>
      <c r="ATF12" s="319"/>
      <c r="ATG12" s="319"/>
      <c r="ATH12" s="319"/>
      <c r="ATI12" s="319"/>
      <c r="ATJ12" s="319"/>
      <c r="ATK12" s="319"/>
      <c r="ATL12" s="319"/>
      <c r="ATM12" s="319"/>
      <c r="ATN12" s="319"/>
      <c r="ATO12" s="319"/>
      <c r="ATP12" s="319"/>
      <c r="ATQ12" s="319"/>
      <c r="ATR12" s="319"/>
      <c r="ATS12" s="319"/>
      <c r="ATT12" s="319"/>
      <c r="ATU12" s="319"/>
      <c r="ATV12" s="319"/>
      <c r="ATW12" s="319"/>
      <c r="ATX12" s="319"/>
      <c r="ATY12" s="319"/>
      <c r="ATZ12" s="319"/>
      <c r="AUA12" s="319"/>
      <c r="AUB12" s="319"/>
      <c r="AUC12" s="319"/>
      <c r="AUD12" s="319"/>
      <c r="AUE12" s="319"/>
      <c r="AUF12" s="319"/>
      <c r="AUG12" s="319"/>
      <c r="AUH12" s="319"/>
      <c r="AUI12" s="319"/>
      <c r="AUJ12" s="319"/>
      <c r="AUK12" s="319"/>
      <c r="AUL12" s="319"/>
      <c r="AUM12" s="319"/>
      <c r="AUN12" s="319"/>
      <c r="AUO12" s="319"/>
      <c r="AUP12" s="319"/>
      <c r="AUQ12" s="319"/>
      <c r="AUR12" s="319"/>
      <c r="AUS12" s="319"/>
      <c r="AUT12" s="319"/>
      <c r="AUU12" s="319"/>
      <c r="AUV12" s="319"/>
      <c r="AUW12" s="319"/>
      <c r="AUX12" s="319"/>
      <c r="AUY12" s="319"/>
      <c r="AUZ12" s="319"/>
      <c r="AVA12" s="319"/>
      <c r="AVB12" s="319"/>
      <c r="AVC12" s="319"/>
      <c r="AVD12" s="319"/>
      <c r="AVE12" s="319"/>
      <c r="AVF12" s="319"/>
      <c r="AVG12" s="319"/>
      <c r="AVH12" s="319"/>
      <c r="AVI12" s="319"/>
      <c r="AVJ12" s="319"/>
      <c r="AVK12" s="319"/>
      <c r="AVL12" s="319"/>
      <c r="AVM12" s="319"/>
      <c r="AVN12" s="319"/>
      <c r="AVO12" s="319"/>
      <c r="AVP12" s="319"/>
      <c r="AVQ12" s="319"/>
      <c r="AVR12" s="319"/>
      <c r="AVS12" s="319"/>
      <c r="AVT12" s="319"/>
      <c r="AVU12" s="319"/>
      <c r="AVV12" s="319"/>
      <c r="AVW12" s="319"/>
      <c r="AVX12" s="319"/>
      <c r="AVY12" s="319"/>
      <c r="AVZ12" s="319"/>
      <c r="AWA12" s="319"/>
      <c r="AWB12" s="319"/>
      <c r="AWC12" s="319"/>
      <c r="AWD12" s="319"/>
      <c r="AWE12" s="319"/>
      <c r="AWF12" s="319"/>
      <c r="AWG12" s="319"/>
      <c r="AWH12" s="319"/>
      <c r="AWI12" s="319"/>
      <c r="AWJ12" s="319"/>
      <c r="AWK12" s="319"/>
      <c r="AWL12" s="319"/>
      <c r="AWM12" s="319"/>
      <c r="AWN12" s="319"/>
      <c r="AWO12" s="319"/>
      <c r="AWP12" s="319"/>
      <c r="AWQ12" s="319"/>
      <c r="AWR12" s="319"/>
      <c r="AWS12" s="319"/>
      <c r="AWT12" s="319"/>
      <c r="AWU12" s="319"/>
      <c r="AWV12" s="319"/>
      <c r="AWW12" s="319"/>
      <c r="AWX12" s="319"/>
      <c r="AWY12" s="319"/>
      <c r="AWZ12" s="319"/>
      <c r="AXA12" s="319"/>
      <c r="AXB12" s="319"/>
      <c r="AXC12" s="319"/>
      <c r="AXD12" s="319"/>
      <c r="AXE12" s="319"/>
      <c r="AXF12" s="319"/>
      <c r="AXG12" s="319"/>
      <c r="AXH12" s="319"/>
      <c r="AXI12" s="319"/>
      <c r="AXJ12" s="319"/>
      <c r="AXK12" s="319"/>
      <c r="AXL12" s="319"/>
      <c r="AXM12" s="319"/>
      <c r="AXN12" s="319"/>
      <c r="AXO12" s="319"/>
      <c r="AXP12" s="319"/>
      <c r="AXQ12" s="319"/>
      <c r="AXR12" s="319"/>
      <c r="AXS12" s="319"/>
      <c r="AXT12" s="319"/>
      <c r="AXU12" s="319"/>
      <c r="AXV12" s="319"/>
      <c r="AXW12" s="319"/>
      <c r="AXX12" s="319"/>
      <c r="AXY12" s="319"/>
      <c r="AXZ12" s="319"/>
      <c r="AYA12" s="319"/>
      <c r="AYB12" s="319"/>
      <c r="AYC12" s="319"/>
      <c r="AYD12" s="319"/>
      <c r="AYE12" s="319"/>
      <c r="AYF12" s="319"/>
      <c r="AYG12" s="319"/>
      <c r="AYH12" s="319"/>
      <c r="AYI12" s="319"/>
      <c r="AYJ12" s="319"/>
      <c r="AYK12" s="319"/>
      <c r="AYL12" s="319"/>
      <c r="AYM12" s="319"/>
      <c r="AYN12" s="319"/>
      <c r="AYO12" s="319"/>
      <c r="AYP12" s="319"/>
      <c r="AYQ12" s="319"/>
      <c r="AYR12" s="319"/>
      <c r="AYS12" s="319"/>
      <c r="AYT12" s="319"/>
      <c r="AYU12" s="319"/>
      <c r="AYV12" s="319"/>
      <c r="AYW12" s="319"/>
      <c r="AYX12" s="319"/>
      <c r="AYY12" s="319"/>
      <c r="AYZ12" s="319"/>
      <c r="AZA12" s="319"/>
      <c r="AZB12" s="319"/>
      <c r="AZC12" s="319"/>
      <c r="AZD12" s="319"/>
      <c r="AZE12" s="319"/>
      <c r="AZF12" s="319"/>
      <c r="AZG12" s="319"/>
      <c r="AZH12" s="319"/>
      <c r="AZI12" s="319"/>
      <c r="AZJ12" s="319"/>
      <c r="AZK12" s="319"/>
      <c r="AZL12" s="319"/>
      <c r="AZM12" s="319"/>
      <c r="AZN12" s="319"/>
      <c r="AZO12" s="319"/>
      <c r="AZP12" s="319"/>
      <c r="AZQ12" s="319"/>
      <c r="AZR12" s="319"/>
      <c r="AZS12" s="319"/>
      <c r="AZT12" s="319"/>
      <c r="AZU12" s="319"/>
      <c r="AZV12" s="319"/>
      <c r="AZW12" s="319"/>
      <c r="AZX12" s="319"/>
      <c r="AZY12" s="319"/>
      <c r="AZZ12" s="319"/>
      <c r="BAA12" s="319"/>
      <c r="BAB12" s="319"/>
      <c r="BAC12" s="319"/>
      <c r="BAD12" s="319"/>
      <c r="BAE12" s="319"/>
      <c r="BAF12" s="319"/>
      <c r="BAG12" s="319"/>
      <c r="BAH12" s="319"/>
      <c r="BAI12" s="319"/>
      <c r="BAJ12" s="319"/>
      <c r="BAK12" s="319"/>
      <c r="BAL12" s="319"/>
      <c r="BAM12" s="319"/>
      <c r="BAN12" s="319"/>
      <c r="BAO12" s="319"/>
      <c r="BAP12" s="319"/>
      <c r="BAQ12" s="319"/>
      <c r="BAR12" s="319"/>
      <c r="BAS12" s="319"/>
      <c r="BAT12" s="319"/>
      <c r="BAU12" s="319"/>
      <c r="BAV12" s="319"/>
      <c r="BAW12" s="319"/>
      <c r="BAX12" s="319"/>
      <c r="BAY12" s="319"/>
      <c r="BAZ12" s="319"/>
      <c r="BBA12" s="319"/>
      <c r="BBB12" s="319"/>
      <c r="BBC12" s="319"/>
      <c r="BBD12" s="319"/>
      <c r="BBE12" s="319"/>
      <c r="BBF12" s="319"/>
      <c r="BBG12" s="319"/>
      <c r="BBH12" s="319"/>
      <c r="BBI12" s="319"/>
      <c r="BBJ12" s="319"/>
      <c r="BBK12" s="319"/>
      <c r="BBL12" s="319"/>
      <c r="BBM12" s="319"/>
      <c r="BBN12" s="319"/>
      <c r="BBO12" s="319"/>
      <c r="BBP12" s="319"/>
      <c r="BBQ12" s="319"/>
      <c r="BBR12" s="319"/>
      <c r="BBS12" s="319"/>
      <c r="BBT12" s="319"/>
      <c r="BBU12" s="319"/>
      <c r="BBV12" s="319"/>
      <c r="BBW12" s="319"/>
      <c r="BBX12" s="319"/>
      <c r="BBY12" s="319"/>
      <c r="BBZ12" s="319"/>
      <c r="BCA12" s="319"/>
      <c r="BCB12" s="319"/>
      <c r="BCC12" s="319"/>
      <c r="BCD12" s="319"/>
      <c r="BCE12" s="319"/>
      <c r="BCF12" s="319"/>
      <c r="BCG12" s="319"/>
      <c r="BCH12" s="319"/>
      <c r="BCI12" s="319"/>
      <c r="BCJ12" s="319"/>
      <c r="BCK12" s="319"/>
      <c r="BCL12" s="319"/>
      <c r="BCM12" s="319"/>
      <c r="BCN12" s="319"/>
      <c r="BCO12" s="319"/>
      <c r="BCP12" s="319"/>
      <c r="BCQ12" s="319"/>
      <c r="BCR12" s="319"/>
      <c r="BCS12" s="319"/>
      <c r="BCT12" s="319"/>
      <c r="BCU12" s="319"/>
      <c r="BCV12" s="319"/>
      <c r="BCW12" s="319"/>
      <c r="BCX12" s="319"/>
      <c r="BCY12" s="319"/>
      <c r="BCZ12" s="319"/>
      <c r="BDA12" s="319"/>
      <c r="BDB12" s="319"/>
      <c r="BDC12" s="319"/>
      <c r="BDD12" s="319"/>
      <c r="BDE12" s="319"/>
      <c r="BDF12" s="319"/>
      <c r="BDG12" s="319"/>
      <c r="BDH12" s="319"/>
      <c r="BDI12" s="319"/>
      <c r="BDJ12" s="319"/>
      <c r="BDK12" s="319"/>
      <c r="BDL12" s="319"/>
      <c r="BDM12" s="319"/>
      <c r="BDN12" s="319"/>
      <c r="BDO12" s="319"/>
      <c r="BDP12" s="319"/>
      <c r="BDQ12" s="319"/>
      <c r="BDR12" s="319"/>
      <c r="BDS12" s="319"/>
      <c r="BDT12" s="319"/>
      <c r="BDU12" s="319"/>
      <c r="BDV12" s="319"/>
      <c r="BDW12" s="319"/>
      <c r="BDX12" s="319"/>
      <c r="BDY12" s="319"/>
      <c r="BDZ12" s="319"/>
      <c r="BEA12" s="319"/>
      <c r="BEB12" s="319"/>
      <c r="BEC12" s="319"/>
      <c r="BED12" s="319"/>
      <c r="BEE12" s="319"/>
      <c r="BEF12" s="319"/>
      <c r="BEG12" s="319"/>
      <c r="BEH12" s="319"/>
      <c r="BEI12" s="319"/>
      <c r="BEJ12" s="319"/>
      <c r="BEK12" s="319"/>
      <c r="BEL12" s="319"/>
      <c r="BEM12" s="319"/>
      <c r="BEN12" s="319"/>
      <c r="BEO12" s="319"/>
      <c r="BEP12" s="319"/>
      <c r="BEQ12" s="319"/>
      <c r="BER12" s="319"/>
      <c r="BES12" s="319"/>
      <c r="BET12" s="319"/>
      <c r="BEU12" s="319"/>
      <c r="BEV12" s="319"/>
      <c r="BEW12" s="319"/>
      <c r="BEX12" s="319"/>
      <c r="BEY12" s="319"/>
      <c r="BEZ12" s="319"/>
      <c r="BFA12" s="319"/>
      <c r="BFB12" s="319"/>
      <c r="BFC12" s="319"/>
      <c r="BFD12" s="319"/>
      <c r="BFE12" s="319"/>
      <c r="BFF12" s="319"/>
      <c r="BFG12" s="319"/>
      <c r="BFH12" s="319"/>
      <c r="BFI12" s="319"/>
      <c r="BFJ12" s="319"/>
      <c r="BFK12" s="319"/>
      <c r="BFL12" s="319"/>
      <c r="BFM12" s="319"/>
      <c r="BFN12" s="319"/>
      <c r="BFO12" s="319"/>
      <c r="BFP12" s="319"/>
      <c r="BFQ12" s="319"/>
      <c r="BFR12" s="319"/>
      <c r="BFS12" s="319"/>
      <c r="BFT12" s="319"/>
      <c r="BFU12" s="319"/>
      <c r="BFV12" s="319"/>
      <c r="BFW12" s="319"/>
      <c r="BFX12" s="319"/>
      <c r="BFY12" s="319"/>
      <c r="BFZ12" s="319"/>
      <c r="BGA12" s="319"/>
      <c r="BGB12" s="319"/>
      <c r="BGC12" s="319"/>
      <c r="BGD12" s="319"/>
      <c r="BGE12" s="319"/>
      <c r="BGF12" s="319"/>
      <c r="BGG12" s="319"/>
      <c r="BGH12" s="319"/>
      <c r="BGI12" s="319"/>
      <c r="BGJ12" s="319"/>
      <c r="BGK12" s="319"/>
      <c r="BGL12" s="319"/>
      <c r="BGM12" s="319"/>
      <c r="BGN12" s="319"/>
      <c r="BGO12" s="319"/>
      <c r="BGP12" s="319"/>
      <c r="BGQ12" s="319"/>
      <c r="BGR12" s="319"/>
      <c r="BGS12" s="319"/>
      <c r="BGT12" s="319"/>
      <c r="BGU12" s="319"/>
      <c r="BGV12" s="319"/>
      <c r="BGW12" s="319"/>
      <c r="BGX12" s="319"/>
      <c r="BGY12" s="319"/>
      <c r="BGZ12" s="319"/>
      <c r="BHA12" s="319"/>
      <c r="BHB12" s="319"/>
      <c r="BHC12" s="319"/>
      <c r="BHD12" s="319"/>
      <c r="BHE12" s="319"/>
      <c r="BHF12" s="319"/>
      <c r="BHG12" s="319"/>
      <c r="BHH12" s="319"/>
      <c r="BHI12" s="319"/>
      <c r="BHJ12" s="319"/>
      <c r="BHK12" s="319"/>
      <c r="BHL12" s="319"/>
      <c r="BHM12" s="319"/>
      <c r="BHN12" s="319"/>
      <c r="BHO12" s="319"/>
      <c r="BHP12" s="319"/>
      <c r="BHQ12" s="319"/>
      <c r="BHR12" s="319"/>
      <c r="BHS12" s="319"/>
      <c r="BHT12" s="319"/>
      <c r="BHU12" s="319"/>
      <c r="BHV12" s="319"/>
      <c r="BHW12" s="319"/>
      <c r="BHX12" s="319"/>
      <c r="BHY12" s="319"/>
      <c r="BHZ12" s="319"/>
      <c r="BIA12" s="319"/>
      <c r="BIB12" s="319"/>
      <c r="BIC12" s="319"/>
      <c r="BID12" s="319"/>
      <c r="BIE12" s="319"/>
      <c r="BIF12" s="319"/>
      <c r="BIG12" s="319"/>
      <c r="BIH12" s="319"/>
      <c r="BII12" s="319"/>
      <c r="BIJ12" s="319"/>
      <c r="BIK12" s="319"/>
      <c r="BIL12" s="319"/>
      <c r="BIM12" s="319"/>
      <c r="BIN12" s="319"/>
      <c r="BIO12" s="319"/>
      <c r="BIP12" s="319"/>
      <c r="BIQ12" s="319"/>
      <c r="BIR12" s="319"/>
      <c r="BIS12" s="319"/>
      <c r="BIT12" s="319"/>
      <c r="BIU12" s="319"/>
      <c r="BIV12" s="319"/>
      <c r="BIW12" s="319"/>
      <c r="BIX12" s="319"/>
      <c r="BIY12" s="319"/>
      <c r="BIZ12" s="319"/>
      <c r="BJA12" s="319"/>
      <c r="BJB12" s="319"/>
      <c r="BJC12" s="319"/>
      <c r="BJD12" s="319"/>
      <c r="BJE12" s="319"/>
      <c r="BJF12" s="319"/>
      <c r="BJG12" s="319"/>
      <c r="BJH12" s="319"/>
      <c r="BJI12" s="319"/>
      <c r="BJJ12" s="319"/>
      <c r="BJK12" s="319"/>
      <c r="BJL12" s="319"/>
      <c r="BJM12" s="319"/>
      <c r="BJN12" s="319"/>
      <c r="BJO12" s="319"/>
      <c r="BJP12" s="319"/>
      <c r="BJQ12" s="319"/>
      <c r="BJR12" s="319"/>
      <c r="BJS12" s="319"/>
      <c r="BJT12" s="319"/>
      <c r="BJU12" s="319"/>
      <c r="BJV12" s="319"/>
      <c r="BJW12" s="319"/>
      <c r="BJX12" s="319"/>
      <c r="BJY12" s="319"/>
      <c r="BJZ12" s="319"/>
      <c r="BKA12" s="319"/>
      <c r="BKB12" s="319"/>
      <c r="BKC12" s="319"/>
      <c r="BKD12" s="319"/>
      <c r="BKE12" s="319"/>
      <c r="BKF12" s="319"/>
      <c r="BKG12" s="319"/>
      <c r="BKH12" s="319"/>
      <c r="BKI12" s="319"/>
      <c r="BKJ12" s="319"/>
      <c r="BKK12" s="319"/>
      <c r="BKL12" s="319"/>
      <c r="BKM12" s="319"/>
      <c r="BKN12" s="319"/>
      <c r="BKO12" s="319"/>
      <c r="BKP12" s="319"/>
      <c r="BKQ12" s="319"/>
      <c r="BKR12" s="319"/>
      <c r="BKS12" s="319"/>
      <c r="BKT12" s="319"/>
      <c r="BKU12" s="319"/>
      <c r="BKV12" s="319"/>
      <c r="BKW12" s="319"/>
      <c r="BKX12" s="319"/>
      <c r="BKY12" s="319"/>
      <c r="BKZ12" s="319"/>
      <c r="BLA12" s="319"/>
      <c r="BLB12" s="319"/>
      <c r="BLC12" s="319"/>
      <c r="BLD12" s="319"/>
      <c r="BLE12" s="319"/>
      <c r="BLF12" s="319"/>
      <c r="BLG12" s="319"/>
      <c r="BLH12" s="319"/>
      <c r="BLI12" s="319"/>
      <c r="BLJ12" s="319"/>
      <c r="BLK12" s="319"/>
      <c r="BLL12" s="319"/>
      <c r="BLM12" s="319"/>
      <c r="BLN12" s="319"/>
      <c r="BLO12" s="319"/>
      <c r="BLP12" s="319"/>
      <c r="BLQ12" s="319"/>
      <c r="BLR12" s="319"/>
      <c r="BLS12" s="319"/>
      <c r="BLT12" s="319"/>
      <c r="BLU12" s="319"/>
      <c r="BLV12" s="319"/>
      <c r="BLW12" s="319"/>
      <c r="BLX12" s="319"/>
      <c r="BLY12" s="319"/>
      <c r="BLZ12" s="319"/>
      <c r="BMA12" s="319"/>
      <c r="BMB12" s="319"/>
      <c r="BMC12" s="319"/>
      <c r="BMD12" s="319"/>
      <c r="BME12" s="319"/>
      <c r="BMF12" s="319"/>
      <c r="BMG12" s="319"/>
      <c r="BMH12" s="319"/>
      <c r="BMI12" s="319"/>
      <c r="BMJ12" s="319"/>
      <c r="BMK12" s="319"/>
      <c r="BML12" s="319"/>
      <c r="BMM12" s="319"/>
      <c r="BMN12" s="319"/>
      <c r="BMO12" s="319"/>
      <c r="BMP12" s="319"/>
      <c r="BMQ12" s="319"/>
      <c r="BMR12" s="319"/>
      <c r="BMS12" s="319"/>
      <c r="BMT12" s="319"/>
      <c r="BMU12" s="319"/>
      <c r="BMV12" s="319"/>
      <c r="BMW12" s="319"/>
      <c r="BMX12" s="319"/>
      <c r="BMY12" s="319"/>
      <c r="BMZ12" s="319"/>
      <c r="BNA12" s="319"/>
      <c r="BNB12" s="319"/>
      <c r="BNC12" s="319"/>
      <c r="BND12" s="319"/>
      <c r="BNE12" s="319"/>
      <c r="BNF12" s="319"/>
      <c r="BNG12" s="319"/>
      <c r="BNH12" s="319"/>
      <c r="BNI12" s="319"/>
      <c r="BNJ12" s="319"/>
      <c r="BNK12" s="319"/>
      <c r="BNL12" s="319"/>
      <c r="BNM12" s="319"/>
      <c r="BNN12" s="319"/>
      <c r="BNO12" s="319"/>
      <c r="BNP12" s="319"/>
      <c r="BNQ12" s="319"/>
      <c r="BNR12" s="319"/>
      <c r="BNS12" s="319"/>
      <c r="BNT12" s="319"/>
      <c r="BNU12" s="319"/>
      <c r="BNV12" s="319"/>
      <c r="BNW12" s="319"/>
      <c r="BNX12" s="319"/>
      <c r="BNY12" s="319"/>
      <c r="BNZ12" s="319"/>
      <c r="BOA12" s="319"/>
      <c r="BOB12" s="319"/>
      <c r="BOC12" s="319"/>
      <c r="BOD12" s="319"/>
      <c r="BOE12" s="319"/>
      <c r="BOF12" s="319"/>
      <c r="BOG12" s="319"/>
      <c r="BOH12" s="319"/>
      <c r="BOI12" s="319"/>
      <c r="BOJ12" s="319"/>
      <c r="BOK12" s="319"/>
      <c r="BOL12" s="319"/>
      <c r="BOM12" s="319"/>
      <c r="BON12" s="319"/>
      <c r="BOO12" s="319"/>
      <c r="BOP12" s="319"/>
      <c r="BOQ12" s="319"/>
      <c r="BOR12" s="319"/>
      <c r="BOS12" s="319"/>
      <c r="BOT12" s="319"/>
      <c r="BOU12" s="319"/>
      <c r="BOV12" s="319"/>
      <c r="BOW12" s="319"/>
      <c r="BOX12" s="319"/>
      <c r="BOY12" s="319"/>
      <c r="BOZ12" s="319"/>
      <c r="BPA12" s="319"/>
      <c r="BPB12" s="319"/>
      <c r="BPC12" s="319"/>
      <c r="BPD12" s="319"/>
      <c r="BPE12" s="319"/>
      <c r="BPF12" s="319"/>
      <c r="BPG12" s="319"/>
      <c r="BPH12" s="319"/>
      <c r="BPI12" s="319"/>
      <c r="BPJ12" s="319"/>
      <c r="BPK12" s="319"/>
      <c r="BPL12" s="319"/>
      <c r="BPM12" s="319"/>
      <c r="BPN12" s="319"/>
      <c r="BPO12" s="319"/>
      <c r="BPP12" s="319"/>
      <c r="BPQ12" s="319"/>
      <c r="BPR12" s="319"/>
      <c r="BPS12" s="319"/>
      <c r="BPT12" s="319"/>
      <c r="BPU12" s="319"/>
      <c r="BPV12" s="319"/>
      <c r="BPW12" s="319"/>
      <c r="BPX12" s="319"/>
      <c r="BPY12" s="319"/>
      <c r="BPZ12" s="319"/>
      <c r="BQA12" s="319"/>
      <c r="BQB12" s="319"/>
      <c r="BQC12" s="319"/>
      <c r="BQD12" s="319"/>
      <c r="BQE12" s="319"/>
      <c r="BQF12" s="319"/>
      <c r="BQG12" s="319"/>
      <c r="BQH12" s="319"/>
      <c r="BQI12" s="319"/>
      <c r="BQJ12" s="319"/>
      <c r="BQK12" s="319"/>
      <c r="BQL12" s="319"/>
      <c r="BQM12" s="319"/>
      <c r="BQN12" s="319"/>
      <c r="BQO12" s="319"/>
      <c r="BQP12" s="319"/>
      <c r="BQQ12" s="319"/>
      <c r="BQR12" s="319"/>
      <c r="BQS12" s="319"/>
      <c r="BQT12" s="319"/>
      <c r="BQU12" s="319"/>
      <c r="BQV12" s="319"/>
      <c r="BQW12" s="319"/>
      <c r="BQX12" s="319"/>
      <c r="BQY12" s="319"/>
      <c r="BQZ12" s="319"/>
      <c r="BRA12" s="319"/>
      <c r="BRB12" s="319"/>
      <c r="BRC12" s="319"/>
      <c r="BRD12" s="319"/>
      <c r="BRE12" s="319"/>
      <c r="BRF12" s="319"/>
      <c r="BRG12" s="319"/>
      <c r="BRH12" s="319"/>
      <c r="BRI12" s="319"/>
      <c r="BRJ12" s="319"/>
      <c r="BRK12" s="319"/>
      <c r="BRL12" s="319"/>
      <c r="BRM12" s="319"/>
      <c r="BRN12" s="319"/>
      <c r="BRO12" s="319"/>
      <c r="BRP12" s="319"/>
      <c r="BRQ12" s="319"/>
      <c r="BRR12" s="319"/>
      <c r="BRS12" s="319"/>
      <c r="BRT12" s="319"/>
      <c r="BRU12" s="319"/>
      <c r="BRV12" s="319"/>
      <c r="BRW12" s="319"/>
      <c r="BRX12" s="319"/>
      <c r="BRY12" s="319"/>
      <c r="BRZ12" s="319"/>
      <c r="BSA12" s="319"/>
      <c r="BSB12" s="319"/>
      <c r="BSC12" s="319"/>
      <c r="BSD12" s="319"/>
      <c r="BSE12" s="319"/>
      <c r="BSF12" s="319"/>
      <c r="BSG12" s="319"/>
      <c r="BSH12" s="319"/>
      <c r="BSI12" s="319"/>
      <c r="BSJ12" s="319"/>
      <c r="BSK12" s="319"/>
      <c r="BSL12" s="319"/>
      <c r="BSM12" s="319"/>
      <c r="BSN12" s="319"/>
      <c r="BSO12" s="319"/>
      <c r="BSP12" s="319"/>
      <c r="BSQ12" s="319"/>
      <c r="BSR12" s="319"/>
      <c r="BSS12" s="319"/>
      <c r="BST12" s="319"/>
      <c r="BSU12" s="319"/>
      <c r="BSV12" s="319"/>
      <c r="BSW12" s="319"/>
      <c r="BSX12" s="319"/>
      <c r="BSY12" s="319"/>
      <c r="BSZ12" s="319"/>
      <c r="BTA12" s="319"/>
      <c r="BTB12" s="319"/>
      <c r="BTC12" s="319"/>
      <c r="BTD12" s="319"/>
      <c r="BTE12" s="319"/>
      <c r="BTF12" s="319"/>
      <c r="BTG12" s="319"/>
      <c r="BTH12" s="319"/>
      <c r="BTI12" s="319"/>
      <c r="BTJ12" s="319"/>
      <c r="BTK12" s="319"/>
      <c r="BTL12" s="319"/>
      <c r="BTM12" s="319"/>
      <c r="BTN12" s="319"/>
      <c r="BTO12" s="319"/>
      <c r="BTP12" s="319"/>
      <c r="BTQ12" s="319"/>
      <c r="BTR12" s="319"/>
      <c r="BTS12" s="319"/>
      <c r="BTT12" s="319"/>
      <c r="BTU12" s="319"/>
      <c r="BTV12" s="319"/>
      <c r="BTW12" s="319"/>
      <c r="BTX12" s="319"/>
      <c r="BTY12" s="319"/>
      <c r="BTZ12" s="319"/>
      <c r="BUA12" s="319"/>
      <c r="BUB12" s="319"/>
      <c r="BUC12" s="319"/>
      <c r="BUD12" s="319"/>
      <c r="BUE12" s="319"/>
      <c r="BUF12" s="319"/>
      <c r="BUG12" s="319"/>
      <c r="BUH12" s="319"/>
      <c r="BUI12" s="319"/>
      <c r="BUJ12" s="319"/>
      <c r="BUK12" s="319"/>
      <c r="BUL12" s="319"/>
      <c r="BUM12" s="319"/>
      <c r="BUN12" s="319"/>
      <c r="BUO12" s="319"/>
      <c r="BUP12" s="319"/>
      <c r="BUQ12" s="319"/>
      <c r="BUR12" s="319"/>
      <c r="BUS12" s="319"/>
      <c r="BUT12" s="319"/>
      <c r="BUU12" s="319"/>
      <c r="BUV12" s="319"/>
      <c r="BUW12" s="319"/>
      <c r="BUX12" s="319"/>
      <c r="BUY12" s="319"/>
      <c r="BUZ12" s="319"/>
      <c r="BVA12" s="319"/>
      <c r="BVB12" s="319"/>
      <c r="BVC12" s="319"/>
      <c r="BVD12" s="319"/>
      <c r="BVE12" s="319"/>
      <c r="BVF12" s="319"/>
      <c r="BVG12" s="319"/>
      <c r="BVH12" s="319"/>
      <c r="BVI12" s="319"/>
      <c r="BVJ12" s="319"/>
      <c r="BVK12" s="319"/>
      <c r="BVL12" s="319"/>
      <c r="BVM12" s="319"/>
      <c r="BVN12" s="319"/>
      <c r="BVO12" s="319"/>
      <c r="BVP12" s="319"/>
      <c r="BVQ12" s="319"/>
      <c r="BVR12" s="319"/>
      <c r="BVS12" s="319"/>
      <c r="BVT12" s="319"/>
      <c r="BVU12" s="319"/>
      <c r="BVV12" s="319"/>
      <c r="BVW12" s="319"/>
      <c r="BVX12" s="319"/>
      <c r="BVY12" s="319"/>
      <c r="BVZ12" s="319"/>
      <c r="BWA12" s="319"/>
      <c r="BWB12" s="319"/>
      <c r="BWC12" s="319"/>
      <c r="BWD12" s="319"/>
      <c r="BWE12" s="319"/>
      <c r="BWF12" s="319"/>
      <c r="BWG12" s="319"/>
      <c r="BWH12" s="319"/>
      <c r="BWI12" s="319"/>
      <c r="BWJ12" s="319"/>
      <c r="BWK12" s="319"/>
      <c r="BWL12" s="319"/>
      <c r="BWM12" s="319"/>
      <c r="BWN12" s="319"/>
      <c r="BWO12" s="319"/>
      <c r="BWP12" s="319"/>
      <c r="BWQ12" s="319"/>
      <c r="BWR12" s="319"/>
      <c r="BWS12" s="319"/>
      <c r="BWT12" s="319"/>
      <c r="BWU12" s="319"/>
      <c r="BWV12" s="319"/>
      <c r="BWW12" s="319"/>
      <c r="BWX12" s="319"/>
      <c r="BWY12" s="319"/>
      <c r="BWZ12" s="319"/>
      <c r="BXA12" s="319"/>
      <c r="BXB12" s="319"/>
      <c r="BXC12" s="319"/>
      <c r="BXD12" s="319"/>
      <c r="BXE12" s="319"/>
      <c r="BXF12" s="319"/>
      <c r="BXG12" s="319"/>
      <c r="BXH12" s="319"/>
      <c r="BXI12" s="319"/>
      <c r="BXJ12" s="319"/>
      <c r="BXK12" s="319"/>
      <c r="BXL12" s="319"/>
      <c r="BXM12" s="319"/>
      <c r="BXN12" s="319"/>
      <c r="BXO12" s="319"/>
      <c r="BXP12" s="319"/>
      <c r="BXQ12" s="319"/>
      <c r="BXR12" s="319"/>
      <c r="BXS12" s="319"/>
      <c r="BXT12" s="319"/>
      <c r="BXU12" s="319"/>
      <c r="BXV12" s="319"/>
      <c r="BXW12" s="319"/>
      <c r="BXX12" s="319"/>
      <c r="BXY12" s="319"/>
      <c r="BXZ12" s="319"/>
      <c r="BYA12" s="319"/>
      <c r="BYB12" s="319"/>
      <c r="BYC12" s="319"/>
      <c r="BYD12" s="319"/>
      <c r="BYE12" s="319"/>
      <c r="BYF12" s="319"/>
      <c r="BYG12" s="319"/>
      <c r="BYH12" s="319"/>
      <c r="BYI12" s="319"/>
      <c r="BYJ12" s="319"/>
      <c r="BYK12" s="319"/>
      <c r="BYL12" s="319"/>
      <c r="BYM12" s="319"/>
      <c r="BYN12" s="319"/>
      <c r="BYO12" s="319"/>
      <c r="BYP12" s="319"/>
      <c r="BYQ12" s="319"/>
      <c r="BYR12" s="319"/>
      <c r="BYS12" s="319"/>
      <c r="BYT12" s="319"/>
      <c r="BYU12" s="319"/>
      <c r="BYV12" s="319"/>
      <c r="BYW12" s="319"/>
      <c r="BYX12" s="319"/>
      <c r="BYY12" s="319"/>
      <c r="BYZ12" s="319"/>
      <c r="BZA12" s="319"/>
      <c r="BZB12" s="319"/>
      <c r="BZC12" s="319"/>
      <c r="BZD12" s="319"/>
      <c r="BZE12" s="319"/>
      <c r="BZF12" s="319"/>
      <c r="BZG12" s="319"/>
      <c r="BZH12" s="319"/>
      <c r="BZI12" s="319"/>
      <c r="BZJ12" s="319"/>
      <c r="BZK12" s="319"/>
      <c r="BZL12" s="319"/>
      <c r="BZM12" s="319"/>
      <c r="BZN12" s="319"/>
      <c r="BZO12" s="319"/>
      <c r="BZP12" s="319"/>
      <c r="BZQ12" s="319"/>
      <c r="BZR12" s="319"/>
      <c r="BZS12" s="319"/>
      <c r="BZT12" s="319"/>
      <c r="BZU12" s="319"/>
      <c r="BZV12" s="319"/>
      <c r="BZW12" s="319"/>
      <c r="BZX12" s="319"/>
      <c r="BZY12" s="319"/>
      <c r="BZZ12" s="319"/>
      <c r="CAA12" s="319"/>
      <c r="CAB12" s="319"/>
      <c r="CAC12" s="319"/>
      <c r="CAD12" s="319"/>
      <c r="CAE12" s="319"/>
      <c r="CAF12" s="319"/>
      <c r="CAG12" s="319"/>
      <c r="CAH12" s="319"/>
      <c r="CAI12" s="319"/>
      <c r="CAJ12" s="319"/>
      <c r="CAK12" s="319"/>
      <c r="CAL12" s="319"/>
      <c r="CAM12" s="319"/>
      <c r="CAN12" s="319"/>
      <c r="CAO12" s="319"/>
      <c r="CAP12" s="319"/>
      <c r="CAQ12" s="319"/>
      <c r="CAR12" s="319"/>
      <c r="CAS12" s="319"/>
      <c r="CAT12" s="319"/>
      <c r="CAU12" s="319"/>
      <c r="CAV12" s="319"/>
      <c r="CAW12" s="319"/>
      <c r="CAX12" s="319"/>
      <c r="CAY12" s="319"/>
      <c r="CAZ12" s="319"/>
      <c r="CBA12" s="319"/>
      <c r="CBB12" s="319"/>
      <c r="CBC12" s="319"/>
      <c r="CBD12" s="319"/>
      <c r="CBE12" s="319"/>
      <c r="CBF12" s="319"/>
      <c r="CBG12" s="319"/>
      <c r="CBH12" s="319"/>
      <c r="CBI12" s="319"/>
      <c r="CBJ12" s="319"/>
      <c r="CBK12" s="319"/>
      <c r="CBL12" s="319"/>
      <c r="CBM12" s="319"/>
      <c r="CBN12" s="319"/>
      <c r="CBO12" s="319"/>
      <c r="CBP12" s="319"/>
      <c r="CBQ12" s="319"/>
      <c r="CBR12" s="319"/>
      <c r="CBS12" s="319"/>
      <c r="CBT12" s="319"/>
      <c r="CBU12" s="319"/>
      <c r="CBV12" s="319"/>
      <c r="CBW12" s="319"/>
      <c r="CBX12" s="319"/>
      <c r="CBY12" s="319"/>
      <c r="CBZ12" s="319"/>
      <c r="CCA12" s="319"/>
      <c r="CCB12" s="319"/>
      <c r="CCC12" s="319"/>
      <c r="CCD12" s="319"/>
      <c r="CCE12" s="319"/>
      <c r="CCF12" s="319"/>
      <c r="CCG12" s="319"/>
      <c r="CCH12" s="319"/>
      <c r="CCI12" s="319"/>
      <c r="CCJ12" s="319"/>
      <c r="CCK12" s="319"/>
      <c r="CCL12" s="319"/>
      <c r="CCM12" s="319"/>
      <c r="CCN12" s="319"/>
      <c r="CCO12" s="319"/>
      <c r="CCP12" s="319"/>
      <c r="CCQ12" s="319"/>
      <c r="CCR12" s="319"/>
      <c r="CCS12" s="319"/>
      <c r="CCT12" s="319"/>
      <c r="CCU12" s="319"/>
      <c r="CCV12" s="319"/>
      <c r="CCW12" s="319"/>
      <c r="CCX12" s="319"/>
      <c r="CCY12" s="319"/>
      <c r="CCZ12" s="319"/>
      <c r="CDA12" s="319"/>
      <c r="CDB12" s="319"/>
      <c r="CDC12" s="319"/>
      <c r="CDD12" s="319"/>
      <c r="CDE12" s="319"/>
      <c r="CDF12" s="319"/>
      <c r="CDG12" s="319"/>
      <c r="CDH12" s="319"/>
      <c r="CDI12" s="319"/>
      <c r="CDJ12" s="319"/>
      <c r="CDK12" s="319"/>
      <c r="CDL12" s="319"/>
      <c r="CDM12" s="319"/>
      <c r="CDN12" s="319"/>
      <c r="CDO12" s="319"/>
      <c r="CDP12" s="319"/>
      <c r="CDQ12" s="319"/>
      <c r="CDR12" s="319"/>
      <c r="CDS12" s="319"/>
      <c r="CDT12" s="319"/>
      <c r="CDU12" s="319"/>
      <c r="CDV12" s="319"/>
      <c r="CDW12" s="319"/>
      <c r="CDX12" s="319"/>
      <c r="CDY12" s="319"/>
      <c r="CDZ12" s="319"/>
      <c r="CEA12" s="319"/>
      <c r="CEB12" s="319"/>
      <c r="CEC12" s="319"/>
      <c r="CED12" s="319"/>
      <c r="CEE12" s="319"/>
      <c r="CEF12" s="319"/>
      <c r="CEG12" s="319"/>
      <c r="CEH12" s="319"/>
      <c r="CEI12" s="319"/>
      <c r="CEJ12" s="319"/>
      <c r="CEK12" s="319"/>
      <c r="CEL12" s="319"/>
      <c r="CEM12" s="319"/>
      <c r="CEN12" s="319"/>
      <c r="CEO12" s="319"/>
      <c r="CEP12" s="319"/>
      <c r="CEQ12" s="319"/>
      <c r="CER12" s="319"/>
      <c r="CES12" s="319"/>
      <c r="CET12" s="319"/>
      <c r="CEU12" s="319"/>
      <c r="CEV12" s="319"/>
      <c r="CEW12" s="319"/>
      <c r="CEX12" s="319"/>
      <c r="CEY12" s="319"/>
      <c r="CEZ12" s="319"/>
      <c r="CFA12" s="319"/>
      <c r="CFB12" s="319"/>
      <c r="CFC12" s="319"/>
      <c r="CFD12" s="319"/>
      <c r="CFE12" s="319"/>
      <c r="CFF12" s="319"/>
      <c r="CFG12" s="319"/>
      <c r="CFH12" s="319"/>
      <c r="CFI12" s="319"/>
      <c r="CFJ12" s="319"/>
      <c r="CFK12" s="319"/>
      <c r="CFL12" s="319"/>
      <c r="CFM12" s="319"/>
      <c r="CFN12" s="319"/>
      <c r="CFO12" s="319"/>
      <c r="CFP12" s="319"/>
      <c r="CFQ12" s="319"/>
      <c r="CFR12" s="319"/>
      <c r="CFS12" s="319"/>
      <c r="CFT12" s="319"/>
      <c r="CFU12" s="319"/>
      <c r="CFV12" s="319"/>
      <c r="CFW12" s="319"/>
      <c r="CFX12" s="319"/>
      <c r="CFY12" s="319"/>
      <c r="CFZ12" s="319"/>
      <c r="CGA12" s="319"/>
      <c r="CGB12" s="319"/>
      <c r="CGC12" s="319"/>
      <c r="CGD12" s="319"/>
      <c r="CGE12" s="319"/>
      <c r="CGF12" s="319"/>
      <c r="CGG12" s="319"/>
      <c r="CGH12" s="319"/>
      <c r="CGI12" s="319"/>
      <c r="CGJ12" s="319"/>
      <c r="CGK12" s="319"/>
      <c r="CGL12" s="319"/>
      <c r="CGM12" s="319"/>
      <c r="CGN12" s="319"/>
      <c r="CGO12" s="319"/>
      <c r="CGP12" s="319"/>
      <c r="CGQ12" s="319"/>
      <c r="CGR12" s="319"/>
      <c r="CGS12" s="319"/>
      <c r="CGT12" s="319"/>
      <c r="CGU12" s="319"/>
      <c r="CGV12" s="319"/>
      <c r="CGW12" s="319"/>
      <c r="CGX12" s="319"/>
      <c r="CGY12" s="319"/>
      <c r="CGZ12" s="319"/>
      <c r="CHA12" s="319"/>
      <c r="CHB12" s="319"/>
      <c r="CHC12" s="319"/>
      <c r="CHD12" s="319"/>
      <c r="CHE12" s="319"/>
      <c r="CHF12" s="319"/>
      <c r="CHG12" s="319"/>
      <c r="CHH12" s="319"/>
      <c r="CHI12" s="319"/>
      <c r="CHJ12" s="319"/>
      <c r="CHK12" s="319"/>
      <c r="CHL12" s="319"/>
      <c r="CHM12" s="319"/>
      <c r="CHN12" s="319"/>
      <c r="CHO12" s="319"/>
      <c r="CHP12" s="319"/>
      <c r="CHQ12" s="319"/>
      <c r="CHR12" s="319"/>
      <c r="CHS12" s="319"/>
      <c r="CHT12" s="319"/>
      <c r="CHU12" s="319"/>
      <c r="CHV12" s="319"/>
      <c r="CHW12" s="319"/>
      <c r="CHX12" s="319"/>
      <c r="CHY12" s="319"/>
      <c r="CHZ12" s="319"/>
      <c r="CIA12" s="319"/>
      <c r="CIB12" s="319"/>
      <c r="CIC12" s="319"/>
      <c r="CID12" s="319"/>
      <c r="CIE12" s="319"/>
      <c r="CIF12" s="319"/>
      <c r="CIG12" s="319"/>
      <c r="CIH12" s="319"/>
      <c r="CII12" s="319"/>
      <c r="CIJ12" s="319"/>
      <c r="CIK12" s="319"/>
      <c r="CIL12" s="319"/>
      <c r="CIM12" s="319"/>
      <c r="CIN12" s="319"/>
      <c r="CIO12" s="319"/>
      <c r="CIP12" s="319"/>
      <c r="CIQ12" s="319"/>
      <c r="CIR12" s="319"/>
      <c r="CIS12" s="319"/>
      <c r="CIT12" s="319"/>
      <c r="CIU12" s="319"/>
      <c r="CIV12" s="319"/>
      <c r="CIW12" s="319"/>
      <c r="CIX12" s="319"/>
      <c r="CIY12" s="319"/>
      <c r="CIZ12" s="319"/>
      <c r="CJA12" s="319"/>
      <c r="CJB12" s="319"/>
      <c r="CJC12" s="319"/>
      <c r="CJD12" s="319"/>
      <c r="CJE12" s="319"/>
      <c r="CJF12" s="319"/>
      <c r="CJG12" s="319"/>
      <c r="CJH12" s="319"/>
      <c r="CJI12" s="319"/>
      <c r="CJJ12" s="319"/>
      <c r="CJK12" s="319"/>
      <c r="CJL12" s="319"/>
      <c r="CJM12" s="319"/>
      <c r="CJN12" s="319"/>
      <c r="CJO12" s="319"/>
      <c r="CJP12" s="319"/>
      <c r="CJQ12" s="319"/>
      <c r="CJR12" s="319"/>
      <c r="CJS12" s="319"/>
      <c r="CJT12" s="319"/>
      <c r="CJU12" s="319"/>
      <c r="CJV12" s="319"/>
      <c r="CJW12" s="319"/>
      <c r="CJX12" s="319"/>
      <c r="CJY12" s="319"/>
      <c r="CJZ12" s="319"/>
      <c r="CKA12" s="319"/>
      <c r="CKB12" s="319"/>
      <c r="CKC12" s="319"/>
      <c r="CKD12" s="319"/>
      <c r="CKE12" s="319"/>
      <c r="CKF12" s="319"/>
      <c r="CKG12" s="319"/>
      <c r="CKH12" s="319"/>
      <c r="CKI12" s="319"/>
      <c r="CKJ12" s="319"/>
      <c r="CKK12" s="319"/>
      <c r="CKL12" s="319"/>
      <c r="CKM12" s="319"/>
      <c r="CKN12" s="319"/>
      <c r="CKO12" s="319"/>
      <c r="CKP12" s="319"/>
      <c r="CKQ12" s="319"/>
      <c r="CKR12" s="319"/>
      <c r="CKS12" s="319"/>
      <c r="CKT12" s="319"/>
      <c r="CKU12" s="319"/>
      <c r="CKV12" s="319"/>
      <c r="CKW12" s="319"/>
      <c r="CKX12" s="319"/>
      <c r="CKY12" s="319"/>
      <c r="CKZ12" s="319"/>
      <c r="CLA12" s="319"/>
      <c r="CLB12" s="319"/>
      <c r="CLC12" s="319"/>
      <c r="CLD12" s="319"/>
      <c r="CLE12" s="319"/>
      <c r="CLF12" s="319"/>
      <c r="CLG12" s="319"/>
      <c r="CLH12" s="319"/>
      <c r="CLI12" s="319"/>
      <c r="CLJ12" s="319"/>
      <c r="CLK12" s="319"/>
      <c r="CLL12" s="319"/>
      <c r="CLM12" s="319"/>
      <c r="CLN12" s="319"/>
      <c r="CLO12" s="319"/>
      <c r="CLP12" s="319"/>
      <c r="CLQ12" s="319"/>
      <c r="CLR12" s="319"/>
      <c r="CLS12" s="319"/>
      <c r="CLT12" s="319"/>
      <c r="CLU12" s="319"/>
      <c r="CLV12" s="319"/>
      <c r="CLW12" s="319"/>
      <c r="CLX12" s="319"/>
      <c r="CLY12" s="319"/>
      <c r="CLZ12" s="319"/>
      <c r="CMA12" s="319"/>
      <c r="CMB12" s="319"/>
      <c r="CMC12" s="319"/>
      <c r="CMD12" s="319"/>
      <c r="CME12" s="319"/>
      <c r="CMF12" s="319"/>
      <c r="CMG12" s="319"/>
      <c r="CMH12" s="319"/>
      <c r="CMI12" s="319"/>
      <c r="CMJ12" s="319"/>
      <c r="CMK12" s="319"/>
      <c r="CML12" s="319"/>
      <c r="CMM12" s="319"/>
      <c r="CMN12" s="319"/>
      <c r="CMO12" s="319"/>
      <c r="CMP12" s="319"/>
      <c r="CMQ12" s="319"/>
      <c r="CMR12" s="319"/>
      <c r="CMS12" s="319"/>
      <c r="CMT12" s="319"/>
      <c r="CMU12" s="319"/>
      <c r="CMV12" s="319"/>
      <c r="CMW12" s="319"/>
      <c r="CMX12" s="319"/>
      <c r="CMY12" s="319"/>
      <c r="CMZ12" s="319"/>
      <c r="CNA12" s="319"/>
      <c r="CNB12" s="319"/>
      <c r="CNC12" s="319"/>
      <c r="CND12" s="319"/>
      <c r="CNE12" s="319"/>
      <c r="CNF12" s="319"/>
      <c r="CNG12" s="319"/>
      <c r="CNH12" s="319"/>
      <c r="CNI12" s="319"/>
      <c r="CNJ12" s="319"/>
      <c r="CNK12" s="319"/>
      <c r="CNL12" s="319"/>
      <c r="CNM12" s="319"/>
      <c r="CNN12" s="319"/>
      <c r="CNO12" s="319"/>
      <c r="CNP12" s="319"/>
      <c r="CNQ12" s="319"/>
      <c r="CNR12" s="319"/>
      <c r="CNS12" s="319"/>
      <c r="CNT12" s="319"/>
      <c r="CNU12" s="319"/>
      <c r="CNV12" s="319"/>
      <c r="CNW12" s="319"/>
      <c r="CNX12" s="319"/>
      <c r="CNY12" s="319"/>
      <c r="CNZ12" s="319"/>
      <c r="COA12" s="319"/>
      <c r="COB12" s="319"/>
      <c r="COC12" s="319"/>
      <c r="COD12" s="319"/>
      <c r="COE12" s="319"/>
      <c r="COF12" s="319"/>
      <c r="COG12" s="319"/>
      <c r="COH12" s="319"/>
      <c r="COI12" s="319"/>
      <c r="COJ12" s="319"/>
      <c r="COK12" s="319"/>
      <c r="COL12" s="319"/>
      <c r="COM12" s="319"/>
      <c r="CON12" s="319"/>
      <c r="COO12" s="319"/>
      <c r="COP12" s="319"/>
      <c r="COQ12" s="319"/>
      <c r="COR12" s="319"/>
      <c r="COS12" s="319"/>
      <c r="COT12" s="319"/>
      <c r="COU12" s="319"/>
      <c r="COV12" s="319"/>
      <c r="COW12" s="319"/>
      <c r="COX12" s="319"/>
      <c r="COY12" s="319"/>
      <c r="COZ12" s="319"/>
      <c r="CPA12" s="319"/>
      <c r="CPB12" s="319"/>
      <c r="CPC12" s="319"/>
      <c r="CPD12" s="319"/>
      <c r="CPE12" s="319"/>
      <c r="CPF12" s="319"/>
      <c r="CPG12" s="319"/>
      <c r="CPH12" s="319"/>
      <c r="CPI12" s="319"/>
      <c r="CPJ12" s="319"/>
      <c r="CPK12" s="319"/>
      <c r="CPL12" s="319"/>
      <c r="CPM12" s="319"/>
      <c r="CPN12" s="319"/>
      <c r="CPO12" s="319"/>
      <c r="CPP12" s="319"/>
      <c r="CPQ12" s="319"/>
      <c r="CPR12" s="319"/>
      <c r="CPS12" s="319"/>
      <c r="CPT12" s="319"/>
      <c r="CPU12" s="319"/>
      <c r="CPV12" s="319"/>
      <c r="CPW12" s="319"/>
      <c r="CPX12" s="319"/>
      <c r="CPY12" s="319"/>
      <c r="CPZ12" s="319"/>
      <c r="CQA12" s="319"/>
      <c r="CQB12" s="319"/>
      <c r="CQC12" s="319"/>
      <c r="CQD12" s="319"/>
      <c r="CQE12" s="319"/>
      <c r="CQF12" s="319"/>
      <c r="CQG12" s="319"/>
      <c r="CQH12" s="319"/>
      <c r="CQI12" s="319"/>
      <c r="CQJ12" s="319"/>
      <c r="CQK12" s="319"/>
      <c r="CQL12" s="319"/>
      <c r="CQM12" s="319"/>
      <c r="CQN12" s="319"/>
      <c r="CQO12" s="319"/>
      <c r="CQP12" s="319"/>
      <c r="CQQ12" s="319"/>
      <c r="CQR12" s="319"/>
      <c r="CQS12" s="319"/>
      <c r="CQT12" s="319"/>
      <c r="CQU12" s="319"/>
      <c r="CQV12" s="319"/>
      <c r="CQW12" s="319"/>
      <c r="CQX12" s="319"/>
      <c r="CQY12" s="319"/>
      <c r="CQZ12" s="319"/>
      <c r="CRA12" s="319"/>
      <c r="CRB12" s="319"/>
      <c r="CRC12" s="319"/>
      <c r="CRD12" s="319"/>
      <c r="CRE12" s="319"/>
      <c r="CRF12" s="319"/>
      <c r="CRG12" s="319"/>
      <c r="CRH12" s="319"/>
      <c r="CRI12" s="319"/>
      <c r="CRJ12" s="319"/>
      <c r="CRK12" s="319"/>
      <c r="CRL12" s="319"/>
      <c r="CRM12" s="319"/>
      <c r="CRN12" s="319"/>
      <c r="CRO12" s="319"/>
      <c r="CRP12" s="319"/>
      <c r="CRQ12" s="319"/>
      <c r="CRR12" s="319"/>
      <c r="CRS12" s="319"/>
      <c r="CRT12" s="319"/>
      <c r="CRU12" s="319"/>
      <c r="CRV12" s="319"/>
      <c r="CRW12" s="319"/>
      <c r="CRX12" s="319"/>
      <c r="CRY12" s="319"/>
      <c r="CRZ12" s="319"/>
      <c r="CSA12" s="319"/>
      <c r="CSB12" s="319"/>
      <c r="CSC12" s="319"/>
      <c r="CSD12" s="319"/>
      <c r="CSE12" s="319"/>
      <c r="CSF12" s="319"/>
      <c r="CSG12" s="319"/>
      <c r="CSH12" s="319"/>
      <c r="CSI12" s="319"/>
      <c r="CSJ12" s="319"/>
      <c r="CSK12" s="319"/>
      <c r="CSL12" s="319"/>
      <c r="CSM12" s="319"/>
      <c r="CSN12" s="319"/>
      <c r="CSO12" s="319"/>
      <c r="CSP12" s="319"/>
      <c r="CSQ12" s="319"/>
      <c r="CSR12" s="319"/>
      <c r="CSS12" s="319"/>
      <c r="CST12" s="319"/>
      <c r="CSU12" s="319"/>
      <c r="CSV12" s="319"/>
      <c r="CSW12" s="319"/>
      <c r="CSX12" s="319"/>
      <c r="CSY12" s="319"/>
      <c r="CSZ12" s="319"/>
      <c r="CTA12" s="319"/>
      <c r="CTB12" s="319"/>
      <c r="CTC12" s="319"/>
      <c r="CTD12" s="319"/>
      <c r="CTE12" s="319"/>
      <c r="CTF12" s="319"/>
      <c r="CTG12" s="319"/>
      <c r="CTH12" s="319"/>
      <c r="CTI12" s="319"/>
      <c r="CTJ12" s="319"/>
      <c r="CTK12" s="319"/>
      <c r="CTL12" s="319"/>
      <c r="CTM12" s="319"/>
      <c r="CTN12" s="319"/>
      <c r="CTO12" s="319"/>
      <c r="CTP12" s="319"/>
      <c r="CTQ12" s="319"/>
      <c r="CTR12" s="319"/>
      <c r="CTS12" s="319"/>
      <c r="CTT12" s="319"/>
      <c r="CTU12" s="319"/>
      <c r="CTV12" s="319"/>
      <c r="CTW12" s="319"/>
      <c r="CTX12" s="319"/>
      <c r="CTY12" s="319"/>
      <c r="CTZ12" s="319"/>
      <c r="CUA12" s="319"/>
      <c r="CUB12" s="319"/>
      <c r="CUC12" s="319"/>
      <c r="CUD12" s="319"/>
      <c r="CUE12" s="319"/>
      <c r="CUF12" s="319"/>
      <c r="CUG12" s="319"/>
      <c r="CUH12" s="319"/>
      <c r="CUI12" s="319"/>
      <c r="CUJ12" s="319"/>
      <c r="CUK12" s="319"/>
      <c r="CUL12" s="319"/>
      <c r="CUM12" s="319"/>
      <c r="CUN12" s="319"/>
      <c r="CUO12" s="319"/>
      <c r="CUP12" s="319"/>
      <c r="CUQ12" s="319"/>
      <c r="CUR12" s="319"/>
      <c r="CUS12" s="319"/>
      <c r="CUT12" s="319"/>
      <c r="CUU12" s="319"/>
      <c r="CUV12" s="319"/>
      <c r="CUW12" s="319"/>
      <c r="CUX12" s="319"/>
      <c r="CUY12" s="319"/>
      <c r="CUZ12" s="319"/>
      <c r="CVA12" s="319"/>
      <c r="CVB12" s="319"/>
      <c r="CVC12" s="319"/>
      <c r="CVD12" s="319"/>
      <c r="CVE12" s="319"/>
      <c r="CVF12" s="319"/>
      <c r="CVG12" s="319"/>
      <c r="CVH12" s="319"/>
      <c r="CVI12" s="319"/>
      <c r="CVJ12" s="319"/>
      <c r="CVK12" s="319"/>
      <c r="CVL12" s="319"/>
      <c r="CVM12" s="319"/>
      <c r="CVN12" s="319"/>
      <c r="CVO12" s="319"/>
      <c r="CVP12" s="319"/>
      <c r="CVQ12" s="319"/>
      <c r="CVR12" s="319"/>
      <c r="CVS12" s="319"/>
      <c r="CVT12" s="319"/>
      <c r="CVU12" s="319"/>
      <c r="CVV12" s="319"/>
      <c r="CVW12" s="319"/>
      <c r="CVX12" s="319"/>
      <c r="CVY12" s="319"/>
      <c r="CVZ12" s="319"/>
      <c r="CWA12" s="319"/>
      <c r="CWB12" s="319"/>
      <c r="CWC12" s="319"/>
      <c r="CWD12" s="319"/>
      <c r="CWE12" s="319"/>
      <c r="CWF12" s="319"/>
      <c r="CWG12" s="319"/>
      <c r="CWH12" s="319"/>
      <c r="CWI12" s="319"/>
      <c r="CWJ12" s="319"/>
      <c r="CWK12" s="319"/>
      <c r="CWL12" s="319"/>
      <c r="CWM12" s="319"/>
      <c r="CWN12" s="319"/>
      <c r="CWO12" s="319"/>
      <c r="CWP12" s="319"/>
      <c r="CWQ12" s="319"/>
      <c r="CWR12" s="319"/>
      <c r="CWS12" s="319"/>
      <c r="CWT12" s="319"/>
      <c r="CWU12" s="319"/>
      <c r="CWV12" s="319"/>
      <c r="CWW12" s="319"/>
      <c r="CWX12" s="319"/>
      <c r="CWY12" s="319"/>
      <c r="CWZ12" s="319"/>
      <c r="CXA12" s="319"/>
      <c r="CXB12" s="319"/>
      <c r="CXC12" s="319"/>
      <c r="CXD12" s="319"/>
      <c r="CXE12" s="319"/>
      <c r="CXF12" s="319"/>
      <c r="CXG12" s="319"/>
      <c r="CXH12" s="319"/>
      <c r="CXI12" s="319"/>
      <c r="CXJ12" s="319"/>
      <c r="CXK12" s="319"/>
      <c r="CXL12" s="319"/>
      <c r="CXM12" s="319"/>
      <c r="CXN12" s="319"/>
      <c r="CXO12" s="319"/>
      <c r="CXP12" s="319"/>
      <c r="CXQ12" s="319"/>
      <c r="CXR12" s="319"/>
      <c r="CXS12" s="319"/>
      <c r="CXT12" s="319"/>
      <c r="CXU12" s="319"/>
      <c r="CXV12" s="319"/>
      <c r="CXW12" s="319"/>
      <c r="CXX12" s="319"/>
      <c r="CXY12" s="319"/>
      <c r="CXZ12" s="319"/>
      <c r="CYA12" s="319"/>
      <c r="CYB12" s="319"/>
      <c r="CYC12" s="319"/>
      <c r="CYD12" s="319"/>
      <c r="CYE12" s="319"/>
      <c r="CYF12" s="319"/>
      <c r="CYG12" s="319"/>
      <c r="CYH12" s="319"/>
      <c r="CYI12" s="319"/>
      <c r="CYJ12" s="319"/>
      <c r="CYK12" s="319"/>
      <c r="CYL12" s="319"/>
      <c r="CYM12" s="319"/>
      <c r="CYN12" s="319"/>
      <c r="CYO12" s="319"/>
      <c r="CYP12" s="319"/>
      <c r="CYQ12" s="319"/>
      <c r="CYR12" s="319"/>
      <c r="CYS12" s="319"/>
      <c r="CYT12" s="319"/>
      <c r="CYU12" s="319"/>
      <c r="CYV12" s="319"/>
      <c r="CYW12" s="319"/>
      <c r="CYX12" s="319"/>
      <c r="CYY12" s="319"/>
      <c r="CYZ12" s="319"/>
      <c r="CZA12" s="319"/>
      <c r="CZB12" s="319"/>
      <c r="CZC12" s="319"/>
      <c r="CZD12" s="319"/>
      <c r="CZE12" s="319"/>
      <c r="CZF12" s="319"/>
      <c r="CZG12" s="319"/>
      <c r="CZH12" s="319"/>
      <c r="CZI12" s="319"/>
      <c r="CZJ12" s="319"/>
      <c r="CZK12" s="319"/>
      <c r="CZL12" s="319"/>
      <c r="CZM12" s="319"/>
      <c r="CZN12" s="319"/>
      <c r="CZO12" s="319"/>
      <c r="CZP12" s="319"/>
      <c r="CZQ12" s="319"/>
      <c r="CZR12" s="319"/>
      <c r="CZS12" s="319"/>
      <c r="CZT12" s="319"/>
      <c r="CZU12" s="319"/>
      <c r="CZV12" s="319"/>
      <c r="CZW12" s="319"/>
      <c r="CZX12" s="319"/>
      <c r="CZY12" s="319"/>
      <c r="CZZ12" s="319"/>
      <c r="DAA12" s="319"/>
      <c r="DAB12" s="319"/>
      <c r="DAC12" s="319"/>
      <c r="DAD12" s="319"/>
      <c r="DAE12" s="319"/>
      <c r="DAF12" s="319"/>
      <c r="DAG12" s="319"/>
      <c r="DAH12" s="319"/>
      <c r="DAI12" s="319"/>
      <c r="DAJ12" s="319"/>
      <c r="DAK12" s="319"/>
      <c r="DAL12" s="319"/>
      <c r="DAM12" s="319"/>
      <c r="DAN12" s="319"/>
      <c r="DAO12" s="319"/>
      <c r="DAP12" s="319"/>
      <c r="DAQ12" s="319"/>
      <c r="DAR12" s="319"/>
      <c r="DAS12" s="319"/>
      <c r="DAT12" s="319"/>
      <c r="DAU12" s="319"/>
      <c r="DAV12" s="319"/>
      <c r="DAW12" s="319"/>
      <c r="DAX12" s="319"/>
      <c r="DAY12" s="319"/>
      <c r="DAZ12" s="319"/>
      <c r="DBA12" s="319"/>
      <c r="DBB12" s="319"/>
      <c r="DBC12" s="319"/>
      <c r="DBD12" s="319"/>
      <c r="DBE12" s="319"/>
      <c r="DBF12" s="319"/>
      <c r="DBG12" s="319"/>
      <c r="DBH12" s="319"/>
      <c r="DBI12" s="319"/>
      <c r="DBJ12" s="319"/>
      <c r="DBK12" s="319"/>
      <c r="DBL12" s="319"/>
      <c r="DBM12" s="319"/>
      <c r="DBN12" s="319"/>
      <c r="DBO12" s="319"/>
      <c r="DBP12" s="319"/>
      <c r="DBQ12" s="319"/>
      <c r="DBR12" s="319"/>
      <c r="DBS12" s="319"/>
      <c r="DBT12" s="319"/>
      <c r="DBU12" s="319"/>
      <c r="DBV12" s="319"/>
      <c r="DBW12" s="319"/>
      <c r="DBX12" s="319"/>
      <c r="DBY12" s="319"/>
      <c r="DBZ12" s="319"/>
      <c r="DCA12" s="319"/>
      <c r="DCB12" s="319"/>
      <c r="DCC12" s="319"/>
      <c r="DCD12" s="319"/>
      <c r="DCE12" s="319"/>
      <c r="DCF12" s="319"/>
      <c r="DCG12" s="319"/>
      <c r="DCH12" s="319"/>
      <c r="DCI12" s="319"/>
      <c r="DCJ12" s="319"/>
      <c r="DCK12" s="319"/>
      <c r="DCL12" s="319"/>
      <c r="DCM12" s="319"/>
      <c r="DCN12" s="319"/>
      <c r="DCO12" s="319"/>
      <c r="DCP12" s="319"/>
      <c r="DCQ12" s="319"/>
      <c r="DCR12" s="319"/>
      <c r="DCS12" s="319"/>
      <c r="DCT12" s="319"/>
      <c r="DCU12" s="319"/>
      <c r="DCV12" s="319"/>
      <c r="DCW12" s="319"/>
      <c r="DCX12" s="319"/>
      <c r="DCY12" s="319"/>
      <c r="DCZ12" s="319"/>
      <c r="DDA12" s="319"/>
      <c r="DDB12" s="319"/>
      <c r="DDC12" s="319"/>
      <c r="DDD12" s="319"/>
      <c r="DDE12" s="319"/>
      <c r="DDF12" s="319"/>
      <c r="DDG12" s="319"/>
      <c r="DDH12" s="319"/>
      <c r="DDI12" s="319"/>
      <c r="DDJ12" s="319"/>
      <c r="DDK12" s="319"/>
      <c r="DDL12" s="319"/>
      <c r="DDM12" s="319"/>
      <c r="DDN12" s="319"/>
      <c r="DDO12" s="319"/>
      <c r="DDP12" s="319"/>
      <c r="DDQ12" s="319"/>
      <c r="DDR12" s="319"/>
      <c r="DDS12" s="319"/>
      <c r="DDT12" s="319"/>
      <c r="DDU12" s="319"/>
      <c r="DDV12" s="319"/>
      <c r="DDW12" s="319"/>
      <c r="DDX12" s="319"/>
      <c r="DDY12" s="319"/>
      <c r="DDZ12" s="319"/>
      <c r="DEA12" s="319"/>
      <c r="DEB12" s="319"/>
      <c r="DEC12" s="319"/>
      <c r="DED12" s="319"/>
      <c r="DEE12" s="319"/>
      <c r="DEF12" s="319"/>
      <c r="DEG12" s="319"/>
      <c r="DEH12" s="319"/>
      <c r="DEI12" s="319"/>
      <c r="DEJ12" s="319"/>
      <c r="DEK12" s="319"/>
      <c r="DEL12" s="319"/>
      <c r="DEM12" s="319"/>
      <c r="DEN12" s="319"/>
      <c r="DEO12" s="319"/>
      <c r="DEP12" s="319"/>
      <c r="DEQ12" s="319"/>
      <c r="DER12" s="319"/>
      <c r="DES12" s="319"/>
      <c r="DET12" s="319"/>
      <c r="DEU12" s="319"/>
      <c r="DEV12" s="319"/>
      <c r="DEW12" s="319"/>
      <c r="DEX12" s="319"/>
      <c r="DEY12" s="319"/>
      <c r="DEZ12" s="319"/>
      <c r="DFA12" s="319"/>
      <c r="DFB12" s="319"/>
      <c r="DFC12" s="319"/>
      <c r="DFD12" s="319"/>
      <c r="DFE12" s="319"/>
      <c r="DFF12" s="319"/>
      <c r="DFG12" s="319"/>
      <c r="DFH12" s="319"/>
      <c r="DFI12" s="319"/>
      <c r="DFJ12" s="319"/>
      <c r="DFK12" s="319"/>
      <c r="DFL12" s="319"/>
      <c r="DFM12" s="319"/>
      <c r="DFN12" s="319"/>
      <c r="DFO12" s="319"/>
      <c r="DFP12" s="319"/>
      <c r="DFQ12" s="319"/>
      <c r="DFR12" s="319"/>
      <c r="DFS12" s="319"/>
      <c r="DFT12" s="319"/>
      <c r="DFU12" s="319"/>
      <c r="DFV12" s="319"/>
      <c r="DFW12" s="319"/>
      <c r="DFX12" s="319"/>
      <c r="DFY12" s="319"/>
      <c r="DFZ12" s="319"/>
      <c r="DGA12" s="319"/>
      <c r="DGB12" s="319"/>
      <c r="DGC12" s="319"/>
      <c r="DGD12" s="319"/>
      <c r="DGE12" s="319"/>
      <c r="DGF12" s="319"/>
      <c r="DGG12" s="319"/>
      <c r="DGH12" s="319"/>
      <c r="DGI12" s="319"/>
      <c r="DGJ12" s="319"/>
      <c r="DGK12" s="319"/>
      <c r="DGL12" s="319"/>
      <c r="DGM12" s="319"/>
      <c r="DGN12" s="319"/>
      <c r="DGO12" s="319"/>
      <c r="DGP12" s="319"/>
      <c r="DGQ12" s="319"/>
      <c r="DGR12" s="319"/>
      <c r="DGS12" s="319"/>
      <c r="DGT12" s="319"/>
      <c r="DGU12" s="319"/>
      <c r="DGV12" s="319"/>
      <c r="DGW12" s="319"/>
      <c r="DGX12" s="319"/>
      <c r="DGY12" s="319"/>
      <c r="DGZ12" s="319"/>
      <c r="DHA12" s="319"/>
      <c r="DHB12" s="319"/>
      <c r="DHC12" s="319"/>
      <c r="DHD12" s="319"/>
      <c r="DHE12" s="319"/>
      <c r="DHF12" s="319"/>
      <c r="DHG12" s="319"/>
      <c r="DHH12" s="319"/>
      <c r="DHI12" s="319"/>
      <c r="DHJ12" s="319"/>
      <c r="DHK12" s="319"/>
      <c r="DHL12" s="319"/>
      <c r="DHM12" s="319"/>
      <c r="DHN12" s="319"/>
      <c r="DHO12" s="319"/>
      <c r="DHP12" s="319"/>
      <c r="DHQ12" s="319"/>
      <c r="DHR12" s="319"/>
      <c r="DHS12" s="319"/>
      <c r="DHT12" s="319"/>
      <c r="DHU12" s="319"/>
      <c r="DHV12" s="319"/>
      <c r="DHW12" s="319"/>
      <c r="DHX12" s="319"/>
      <c r="DHY12" s="319"/>
      <c r="DHZ12" s="319"/>
      <c r="DIA12" s="319"/>
      <c r="DIB12" s="319"/>
      <c r="DIC12" s="319"/>
      <c r="DID12" s="319"/>
      <c r="DIE12" s="319"/>
      <c r="DIF12" s="319"/>
      <c r="DIG12" s="319"/>
      <c r="DIH12" s="319"/>
      <c r="DII12" s="319"/>
      <c r="DIJ12" s="319"/>
      <c r="DIK12" s="319"/>
      <c r="DIL12" s="319"/>
      <c r="DIM12" s="319"/>
      <c r="DIN12" s="319"/>
      <c r="DIO12" s="319"/>
      <c r="DIP12" s="319"/>
      <c r="DIQ12" s="319"/>
      <c r="DIR12" s="319"/>
      <c r="DIS12" s="319"/>
      <c r="DIT12" s="319"/>
      <c r="DIU12" s="319"/>
      <c r="DIV12" s="319"/>
      <c r="DIW12" s="319"/>
      <c r="DIX12" s="319"/>
      <c r="DIY12" s="319"/>
      <c r="DIZ12" s="319"/>
      <c r="DJA12" s="319"/>
      <c r="DJB12" s="319"/>
      <c r="DJC12" s="319"/>
      <c r="DJD12" s="319"/>
      <c r="DJE12" s="319"/>
      <c r="DJF12" s="319"/>
      <c r="DJG12" s="319"/>
      <c r="DJH12" s="319"/>
      <c r="DJI12" s="319"/>
      <c r="DJJ12" s="319"/>
      <c r="DJK12" s="319"/>
      <c r="DJL12" s="319"/>
      <c r="DJM12" s="319"/>
      <c r="DJN12" s="319"/>
      <c r="DJO12" s="319"/>
      <c r="DJP12" s="319"/>
      <c r="DJQ12" s="319"/>
      <c r="DJR12" s="319"/>
      <c r="DJS12" s="319"/>
      <c r="DJT12" s="319"/>
      <c r="DJU12" s="319"/>
      <c r="DJV12" s="319"/>
      <c r="DJW12" s="319"/>
      <c r="DJX12" s="319"/>
      <c r="DJY12" s="319"/>
      <c r="DJZ12" s="319"/>
      <c r="DKA12" s="319"/>
      <c r="DKB12" s="319"/>
      <c r="DKC12" s="319"/>
      <c r="DKD12" s="319"/>
      <c r="DKE12" s="319"/>
      <c r="DKF12" s="319"/>
      <c r="DKG12" s="319"/>
      <c r="DKH12" s="319"/>
      <c r="DKI12" s="319"/>
      <c r="DKJ12" s="319"/>
      <c r="DKK12" s="319"/>
      <c r="DKL12" s="319"/>
      <c r="DKM12" s="319"/>
      <c r="DKN12" s="319"/>
      <c r="DKO12" s="319"/>
      <c r="DKP12" s="319"/>
      <c r="DKQ12" s="319"/>
      <c r="DKR12" s="319"/>
      <c r="DKS12" s="319"/>
      <c r="DKT12" s="319"/>
      <c r="DKU12" s="319"/>
      <c r="DKV12" s="319"/>
      <c r="DKW12" s="319"/>
      <c r="DKX12" s="319"/>
      <c r="DKY12" s="319"/>
      <c r="DKZ12" s="319"/>
      <c r="DLA12" s="319"/>
      <c r="DLB12" s="319"/>
      <c r="DLC12" s="319"/>
      <c r="DLD12" s="319"/>
      <c r="DLE12" s="319"/>
      <c r="DLF12" s="319"/>
      <c r="DLG12" s="319"/>
      <c r="DLH12" s="319"/>
      <c r="DLI12" s="319"/>
      <c r="DLJ12" s="319"/>
      <c r="DLK12" s="319"/>
      <c r="DLL12" s="319"/>
      <c r="DLM12" s="319"/>
      <c r="DLN12" s="319"/>
      <c r="DLO12" s="319"/>
      <c r="DLP12" s="319"/>
      <c r="DLQ12" s="319"/>
      <c r="DLR12" s="319"/>
      <c r="DLS12" s="319"/>
      <c r="DLT12" s="319"/>
      <c r="DLU12" s="319"/>
      <c r="DLV12" s="319"/>
      <c r="DLW12" s="319"/>
      <c r="DLX12" s="319"/>
      <c r="DLY12" s="319"/>
      <c r="DLZ12" s="319"/>
      <c r="DMA12" s="319"/>
      <c r="DMB12" s="319"/>
      <c r="DMC12" s="319"/>
      <c r="DMD12" s="319"/>
      <c r="DME12" s="319"/>
      <c r="DMF12" s="319"/>
      <c r="DMG12" s="319"/>
      <c r="DMH12" s="319"/>
      <c r="DMI12" s="319"/>
      <c r="DMJ12" s="319"/>
      <c r="DMK12" s="319"/>
      <c r="DML12" s="319"/>
      <c r="DMM12" s="319"/>
      <c r="DMN12" s="319"/>
      <c r="DMO12" s="319"/>
      <c r="DMP12" s="319"/>
      <c r="DMQ12" s="319"/>
      <c r="DMR12" s="319"/>
      <c r="DMS12" s="319"/>
      <c r="DMT12" s="319"/>
      <c r="DMU12" s="319"/>
      <c r="DMV12" s="319"/>
      <c r="DMW12" s="319"/>
      <c r="DMX12" s="319"/>
      <c r="DMY12" s="319"/>
      <c r="DMZ12" s="319"/>
      <c r="DNA12" s="319"/>
      <c r="DNB12" s="319"/>
      <c r="DNC12" s="319"/>
      <c r="DND12" s="319"/>
      <c r="DNE12" s="319"/>
      <c r="DNF12" s="319"/>
      <c r="DNG12" s="319"/>
      <c r="DNH12" s="319"/>
      <c r="DNI12" s="319"/>
      <c r="DNJ12" s="319"/>
      <c r="DNK12" s="319"/>
      <c r="DNL12" s="319"/>
      <c r="DNM12" s="319"/>
      <c r="DNN12" s="319"/>
      <c r="DNO12" s="319"/>
      <c r="DNP12" s="319"/>
      <c r="DNQ12" s="319"/>
      <c r="DNR12" s="319"/>
      <c r="DNS12" s="319"/>
      <c r="DNT12" s="319"/>
      <c r="DNU12" s="319"/>
      <c r="DNV12" s="319"/>
      <c r="DNW12" s="319"/>
      <c r="DNX12" s="319"/>
      <c r="DNY12" s="319"/>
      <c r="DNZ12" s="319"/>
      <c r="DOA12" s="319"/>
      <c r="DOB12" s="319"/>
      <c r="DOC12" s="319"/>
      <c r="DOD12" s="319"/>
      <c r="DOE12" s="319"/>
      <c r="DOF12" s="319"/>
      <c r="DOG12" s="319"/>
      <c r="DOH12" s="319"/>
      <c r="DOI12" s="319"/>
      <c r="DOJ12" s="319"/>
      <c r="DOK12" s="319"/>
      <c r="DOL12" s="319"/>
      <c r="DOM12" s="319"/>
      <c r="DON12" s="319"/>
      <c r="DOO12" s="319"/>
      <c r="DOP12" s="319"/>
      <c r="DOQ12" s="319"/>
      <c r="DOR12" s="319"/>
      <c r="DOS12" s="319"/>
      <c r="DOT12" s="319"/>
      <c r="DOU12" s="319"/>
      <c r="DOV12" s="319"/>
      <c r="DOW12" s="319"/>
      <c r="DOX12" s="319"/>
      <c r="DOY12" s="319"/>
      <c r="DOZ12" s="319"/>
      <c r="DPA12" s="319"/>
      <c r="DPB12" s="319"/>
      <c r="DPC12" s="319"/>
      <c r="DPD12" s="319"/>
      <c r="DPE12" s="319"/>
      <c r="DPF12" s="319"/>
      <c r="DPG12" s="319"/>
      <c r="DPH12" s="319"/>
      <c r="DPI12" s="319"/>
      <c r="DPJ12" s="319"/>
      <c r="DPK12" s="319"/>
      <c r="DPL12" s="319"/>
      <c r="DPM12" s="319"/>
      <c r="DPN12" s="319"/>
      <c r="DPO12" s="319"/>
      <c r="DPP12" s="319"/>
      <c r="DPQ12" s="319"/>
      <c r="DPR12" s="319"/>
      <c r="DPS12" s="319"/>
      <c r="DPT12" s="319"/>
      <c r="DPU12" s="319"/>
      <c r="DPV12" s="319"/>
      <c r="DPW12" s="319"/>
      <c r="DPX12" s="319"/>
      <c r="DPY12" s="319"/>
      <c r="DPZ12" s="319"/>
      <c r="DQA12" s="319"/>
      <c r="DQB12" s="319"/>
      <c r="DQC12" s="319"/>
      <c r="DQD12" s="319"/>
      <c r="DQE12" s="319"/>
      <c r="DQF12" s="319"/>
      <c r="DQG12" s="319"/>
      <c r="DQH12" s="319"/>
      <c r="DQI12" s="319"/>
      <c r="DQJ12" s="319"/>
      <c r="DQK12" s="319"/>
      <c r="DQL12" s="319"/>
      <c r="DQM12" s="319"/>
      <c r="DQN12" s="319"/>
      <c r="DQO12" s="319"/>
      <c r="DQP12" s="319"/>
      <c r="DQQ12" s="319"/>
      <c r="DQR12" s="319"/>
      <c r="DQS12" s="319"/>
      <c r="DQT12" s="319"/>
      <c r="DQU12" s="319"/>
      <c r="DQV12" s="319"/>
      <c r="DQW12" s="319"/>
      <c r="DQX12" s="319"/>
      <c r="DQY12" s="319"/>
      <c r="DQZ12" s="319"/>
      <c r="DRA12" s="319"/>
      <c r="DRB12" s="319"/>
      <c r="DRC12" s="319"/>
      <c r="DRD12" s="319"/>
      <c r="DRE12" s="319"/>
      <c r="DRF12" s="319"/>
      <c r="DRG12" s="319"/>
      <c r="DRH12" s="319"/>
      <c r="DRI12" s="319"/>
      <c r="DRJ12" s="319"/>
      <c r="DRK12" s="319"/>
      <c r="DRL12" s="319"/>
      <c r="DRM12" s="319"/>
      <c r="DRN12" s="319"/>
      <c r="DRO12" s="319"/>
      <c r="DRP12" s="319"/>
      <c r="DRQ12" s="319"/>
      <c r="DRR12" s="319"/>
      <c r="DRS12" s="319"/>
      <c r="DRT12" s="319"/>
      <c r="DRU12" s="319"/>
      <c r="DRV12" s="319"/>
      <c r="DRW12" s="319"/>
      <c r="DRX12" s="319"/>
      <c r="DRY12" s="319"/>
      <c r="DRZ12" s="319"/>
      <c r="DSA12" s="319"/>
      <c r="DSB12" s="319"/>
      <c r="DSC12" s="319"/>
      <c r="DSD12" s="319"/>
      <c r="DSE12" s="319"/>
      <c r="DSF12" s="319"/>
      <c r="DSG12" s="319"/>
      <c r="DSH12" s="319"/>
      <c r="DSI12" s="319"/>
      <c r="DSJ12" s="319"/>
      <c r="DSK12" s="319"/>
      <c r="DSL12" s="319"/>
      <c r="DSM12" s="319"/>
      <c r="DSN12" s="319"/>
      <c r="DSO12" s="319"/>
      <c r="DSP12" s="319"/>
      <c r="DSQ12" s="319"/>
      <c r="DSR12" s="319"/>
      <c r="DSS12" s="319"/>
      <c r="DST12" s="319"/>
      <c r="DSU12" s="319"/>
      <c r="DSV12" s="319"/>
      <c r="DSW12" s="319"/>
      <c r="DSX12" s="319"/>
      <c r="DSY12" s="319"/>
      <c r="DSZ12" s="319"/>
      <c r="DTA12" s="319"/>
      <c r="DTB12" s="319"/>
      <c r="DTC12" s="319"/>
      <c r="DTD12" s="319"/>
      <c r="DTE12" s="319"/>
      <c r="DTF12" s="319"/>
      <c r="DTG12" s="319"/>
      <c r="DTH12" s="319"/>
      <c r="DTI12" s="319"/>
      <c r="DTJ12" s="319"/>
      <c r="DTK12" s="319"/>
      <c r="DTL12" s="319"/>
      <c r="DTM12" s="319"/>
      <c r="DTN12" s="319"/>
      <c r="DTO12" s="319"/>
      <c r="DTP12" s="319"/>
      <c r="DTQ12" s="319"/>
      <c r="DTR12" s="319"/>
      <c r="DTS12" s="319"/>
      <c r="DTT12" s="319"/>
      <c r="DTU12" s="319"/>
      <c r="DTV12" s="319"/>
      <c r="DTW12" s="319"/>
      <c r="DTX12" s="319"/>
      <c r="DTY12" s="319"/>
      <c r="DTZ12" s="319"/>
      <c r="DUA12" s="319"/>
      <c r="DUB12" s="319"/>
      <c r="DUC12" s="319"/>
      <c r="DUD12" s="319"/>
      <c r="DUE12" s="319"/>
      <c r="DUF12" s="319"/>
      <c r="DUG12" s="319"/>
      <c r="DUH12" s="319"/>
      <c r="DUI12" s="319"/>
      <c r="DUJ12" s="319"/>
      <c r="DUK12" s="319"/>
      <c r="DUL12" s="319"/>
      <c r="DUM12" s="319"/>
      <c r="DUN12" s="319"/>
      <c r="DUO12" s="319"/>
      <c r="DUP12" s="319"/>
      <c r="DUQ12" s="319"/>
      <c r="DUR12" s="319"/>
      <c r="DUS12" s="319"/>
      <c r="DUT12" s="319"/>
      <c r="DUU12" s="319"/>
      <c r="DUV12" s="319"/>
      <c r="DUW12" s="319"/>
      <c r="DUX12" s="319"/>
      <c r="DUY12" s="319"/>
      <c r="DUZ12" s="319"/>
      <c r="DVA12" s="319"/>
      <c r="DVB12" s="319"/>
      <c r="DVC12" s="319"/>
      <c r="DVD12" s="319"/>
      <c r="DVE12" s="319"/>
      <c r="DVF12" s="319"/>
      <c r="DVG12" s="319"/>
      <c r="DVH12" s="319"/>
      <c r="DVI12" s="319"/>
      <c r="DVJ12" s="319"/>
      <c r="DVK12" s="319"/>
      <c r="DVL12" s="319"/>
      <c r="DVM12" s="319"/>
      <c r="DVN12" s="319"/>
      <c r="DVO12" s="319"/>
      <c r="DVP12" s="319"/>
      <c r="DVQ12" s="319"/>
      <c r="DVR12" s="319"/>
      <c r="DVS12" s="319"/>
      <c r="DVT12" s="319"/>
      <c r="DVU12" s="319"/>
      <c r="DVV12" s="319"/>
      <c r="DVW12" s="319"/>
      <c r="DVX12" s="319"/>
      <c r="DVY12" s="319"/>
      <c r="DVZ12" s="319"/>
      <c r="DWA12" s="319"/>
      <c r="DWB12" s="319"/>
      <c r="DWC12" s="319"/>
      <c r="DWD12" s="319"/>
      <c r="DWE12" s="319"/>
      <c r="DWF12" s="319"/>
      <c r="DWG12" s="319"/>
      <c r="DWH12" s="319"/>
      <c r="DWI12" s="319"/>
      <c r="DWJ12" s="319"/>
      <c r="DWK12" s="319"/>
      <c r="DWL12" s="319"/>
      <c r="DWM12" s="319"/>
      <c r="DWN12" s="319"/>
      <c r="DWO12" s="319"/>
      <c r="DWP12" s="319"/>
      <c r="DWQ12" s="319"/>
      <c r="DWR12" s="319"/>
      <c r="DWS12" s="319"/>
      <c r="DWT12" s="319"/>
      <c r="DWU12" s="319"/>
      <c r="DWV12" s="319"/>
      <c r="DWW12" s="319"/>
      <c r="DWX12" s="319"/>
      <c r="DWY12" s="319"/>
      <c r="DWZ12" s="319"/>
      <c r="DXA12" s="319"/>
      <c r="DXB12" s="319"/>
      <c r="DXC12" s="319"/>
      <c r="DXD12" s="319"/>
      <c r="DXE12" s="319"/>
      <c r="DXF12" s="319"/>
      <c r="DXG12" s="319"/>
      <c r="DXH12" s="319"/>
      <c r="DXI12" s="319"/>
      <c r="DXJ12" s="319"/>
      <c r="DXK12" s="319"/>
      <c r="DXL12" s="319"/>
      <c r="DXM12" s="319"/>
      <c r="DXN12" s="319"/>
      <c r="DXO12" s="319"/>
      <c r="DXP12" s="319"/>
      <c r="DXQ12" s="319"/>
      <c r="DXR12" s="319"/>
      <c r="DXS12" s="319"/>
      <c r="DXT12" s="319"/>
      <c r="DXU12" s="319"/>
      <c r="DXV12" s="319"/>
      <c r="DXW12" s="319"/>
      <c r="DXX12" s="319"/>
      <c r="DXY12" s="319"/>
      <c r="DXZ12" s="319"/>
      <c r="DYA12" s="319"/>
      <c r="DYB12" s="319"/>
      <c r="DYC12" s="319"/>
      <c r="DYD12" s="319"/>
      <c r="DYE12" s="319"/>
      <c r="DYF12" s="319"/>
      <c r="DYG12" s="319"/>
      <c r="DYH12" s="319"/>
      <c r="DYI12" s="319"/>
      <c r="DYJ12" s="319"/>
      <c r="DYK12" s="319"/>
      <c r="DYL12" s="319"/>
      <c r="DYM12" s="319"/>
      <c r="DYN12" s="319"/>
      <c r="DYO12" s="319"/>
      <c r="DYP12" s="319"/>
      <c r="DYQ12" s="319"/>
      <c r="DYR12" s="319"/>
      <c r="DYS12" s="319"/>
      <c r="DYT12" s="319"/>
      <c r="DYU12" s="319"/>
      <c r="DYV12" s="319"/>
      <c r="DYW12" s="319"/>
      <c r="DYX12" s="319"/>
      <c r="DYY12" s="319"/>
      <c r="DYZ12" s="319"/>
      <c r="DZA12" s="319"/>
      <c r="DZB12" s="319"/>
      <c r="DZC12" s="319"/>
      <c r="DZD12" s="319"/>
      <c r="DZE12" s="319"/>
      <c r="DZF12" s="319"/>
      <c r="DZG12" s="319"/>
      <c r="DZH12" s="319"/>
      <c r="DZI12" s="319"/>
      <c r="DZJ12" s="319"/>
      <c r="DZK12" s="319"/>
      <c r="DZL12" s="319"/>
      <c r="DZM12" s="319"/>
      <c r="DZN12" s="319"/>
      <c r="DZO12" s="319"/>
      <c r="DZP12" s="319"/>
      <c r="DZQ12" s="319"/>
      <c r="DZR12" s="319"/>
      <c r="DZS12" s="319"/>
      <c r="DZT12" s="319"/>
      <c r="DZU12" s="319"/>
      <c r="DZV12" s="319"/>
      <c r="DZW12" s="319"/>
      <c r="DZX12" s="319"/>
      <c r="DZY12" s="319"/>
      <c r="DZZ12" s="319"/>
      <c r="EAA12" s="319"/>
      <c r="EAB12" s="319"/>
      <c r="EAC12" s="319"/>
      <c r="EAD12" s="319"/>
      <c r="EAE12" s="319"/>
      <c r="EAF12" s="319"/>
      <c r="EAG12" s="319"/>
      <c r="EAH12" s="319"/>
      <c r="EAI12" s="319"/>
      <c r="EAJ12" s="319"/>
      <c r="EAK12" s="319"/>
      <c r="EAL12" s="319"/>
      <c r="EAM12" s="319"/>
      <c r="EAN12" s="319"/>
      <c r="EAO12" s="319"/>
      <c r="EAP12" s="319"/>
      <c r="EAQ12" s="319"/>
      <c r="EAR12" s="319"/>
      <c r="EAS12" s="319"/>
      <c r="EAT12" s="319"/>
      <c r="EAU12" s="319"/>
      <c r="EAV12" s="319"/>
      <c r="EAW12" s="319"/>
      <c r="EAX12" s="319"/>
      <c r="EAY12" s="319"/>
      <c r="EAZ12" s="319"/>
      <c r="EBA12" s="319"/>
      <c r="EBB12" s="319"/>
      <c r="EBC12" s="319"/>
      <c r="EBD12" s="319"/>
      <c r="EBE12" s="319"/>
      <c r="EBF12" s="319"/>
      <c r="EBG12" s="319"/>
      <c r="EBH12" s="319"/>
      <c r="EBI12" s="319"/>
      <c r="EBJ12" s="319"/>
      <c r="EBK12" s="319"/>
      <c r="EBL12" s="319"/>
      <c r="EBM12" s="319"/>
      <c r="EBN12" s="319"/>
      <c r="EBO12" s="319"/>
      <c r="EBP12" s="319"/>
      <c r="EBQ12" s="319"/>
      <c r="EBR12" s="319"/>
      <c r="EBS12" s="319"/>
      <c r="EBT12" s="319"/>
      <c r="EBU12" s="319"/>
      <c r="EBV12" s="319"/>
      <c r="EBW12" s="319"/>
      <c r="EBX12" s="319"/>
      <c r="EBY12" s="319"/>
      <c r="EBZ12" s="319"/>
      <c r="ECA12" s="319"/>
      <c r="ECB12" s="319"/>
      <c r="ECC12" s="319"/>
      <c r="ECD12" s="319"/>
      <c r="ECE12" s="319"/>
      <c r="ECF12" s="319"/>
      <c r="ECG12" s="319"/>
      <c r="ECH12" s="319"/>
      <c r="ECI12" s="319"/>
      <c r="ECJ12" s="319"/>
      <c r="ECK12" s="319"/>
      <c r="ECL12" s="319"/>
      <c r="ECM12" s="319"/>
      <c r="ECN12" s="319"/>
      <c r="ECO12" s="319"/>
      <c r="ECP12" s="319"/>
      <c r="ECQ12" s="319"/>
      <c r="ECR12" s="319"/>
      <c r="ECS12" s="319"/>
      <c r="ECT12" s="319"/>
      <c r="ECU12" s="319"/>
      <c r="ECV12" s="319"/>
      <c r="ECW12" s="319"/>
      <c r="ECX12" s="319"/>
      <c r="ECY12" s="319"/>
      <c r="ECZ12" s="319"/>
      <c r="EDA12" s="319"/>
      <c r="EDB12" s="319"/>
      <c r="EDC12" s="319"/>
      <c r="EDD12" s="319"/>
      <c r="EDE12" s="319"/>
      <c r="EDF12" s="319"/>
      <c r="EDG12" s="319"/>
      <c r="EDH12" s="319"/>
      <c r="EDI12" s="319"/>
      <c r="EDJ12" s="319"/>
      <c r="EDK12" s="319"/>
      <c r="EDL12" s="319"/>
      <c r="EDM12" s="319"/>
      <c r="EDN12" s="319"/>
      <c r="EDO12" s="319"/>
      <c r="EDP12" s="319"/>
      <c r="EDQ12" s="319"/>
      <c r="EDR12" s="319"/>
      <c r="EDS12" s="319"/>
      <c r="EDT12" s="319"/>
      <c r="EDU12" s="319"/>
      <c r="EDV12" s="319"/>
      <c r="EDW12" s="319"/>
      <c r="EDX12" s="319"/>
      <c r="EDY12" s="319"/>
      <c r="EDZ12" s="319"/>
      <c r="EEA12" s="319"/>
      <c r="EEB12" s="319"/>
      <c r="EEC12" s="319"/>
      <c r="EED12" s="319"/>
      <c r="EEE12" s="319"/>
      <c r="EEF12" s="319"/>
      <c r="EEG12" s="319"/>
      <c r="EEH12" s="319"/>
      <c r="EEI12" s="319"/>
      <c r="EEJ12" s="319"/>
      <c r="EEK12" s="319"/>
      <c r="EEL12" s="319"/>
      <c r="EEM12" s="319"/>
      <c r="EEN12" s="319"/>
      <c r="EEO12" s="319"/>
      <c r="EEP12" s="319"/>
      <c r="EEQ12" s="319"/>
      <c r="EER12" s="319"/>
      <c r="EES12" s="319"/>
      <c r="EET12" s="319"/>
      <c r="EEU12" s="319"/>
      <c r="EEV12" s="319"/>
      <c r="EEW12" s="319"/>
      <c r="EEX12" s="319"/>
      <c r="EEY12" s="319"/>
      <c r="EEZ12" s="319"/>
      <c r="EFA12" s="319"/>
      <c r="EFB12" s="319"/>
      <c r="EFC12" s="319"/>
      <c r="EFD12" s="319"/>
      <c r="EFE12" s="319"/>
      <c r="EFF12" s="319"/>
      <c r="EFG12" s="319"/>
      <c r="EFH12" s="319"/>
      <c r="EFI12" s="319"/>
      <c r="EFJ12" s="319"/>
      <c r="EFK12" s="319"/>
      <c r="EFL12" s="319"/>
      <c r="EFM12" s="319"/>
      <c r="EFN12" s="319"/>
      <c r="EFO12" s="319"/>
      <c r="EFP12" s="319"/>
      <c r="EFQ12" s="319"/>
      <c r="EFR12" s="319"/>
      <c r="EFS12" s="319"/>
      <c r="EFT12" s="319"/>
      <c r="EFU12" s="319"/>
      <c r="EFV12" s="319"/>
      <c r="EFW12" s="319"/>
      <c r="EFX12" s="319"/>
      <c r="EFY12" s="319"/>
      <c r="EFZ12" s="319"/>
      <c r="EGA12" s="319"/>
      <c r="EGB12" s="319"/>
      <c r="EGC12" s="319"/>
      <c r="EGD12" s="319"/>
      <c r="EGE12" s="319"/>
      <c r="EGF12" s="319"/>
      <c r="EGG12" s="319"/>
      <c r="EGH12" s="319"/>
      <c r="EGI12" s="319"/>
      <c r="EGJ12" s="319"/>
      <c r="EGK12" s="319"/>
      <c r="EGL12" s="319"/>
      <c r="EGM12" s="319"/>
      <c r="EGN12" s="319"/>
      <c r="EGO12" s="319"/>
      <c r="EGP12" s="319"/>
      <c r="EGQ12" s="319"/>
      <c r="EGR12" s="319"/>
      <c r="EGS12" s="319"/>
      <c r="EGT12" s="319"/>
      <c r="EGU12" s="319"/>
      <c r="EGV12" s="319"/>
      <c r="EGW12" s="319"/>
      <c r="EGX12" s="319"/>
      <c r="EGY12" s="319"/>
      <c r="EGZ12" s="319"/>
      <c r="EHA12" s="319"/>
      <c r="EHB12" s="319"/>
      <c r="EHC12" s="319"/>
      <c r="EHD12" s="319"/>
      <c r="EHE12" s="319"/>
      <c r="EHF12" s="319"/>
      <c r="EHG12" s="319"/>
      <c r="EHH12" s="319"/>
      <c r="EHI12" s="319"/>
      <c r="EHJ12" s="319"/>
      <c r="EHK12" s="319"/>
      <c r="EHL12" s="319"/>
      <c r="EHM12" s="319"/>
      <c r="EHN12" s="319"/>
      <c r="EHO12" s="319"/>
      <c r="EHP12" s="319"/>
      <c r="EHQ12" s="319"/>
      <c r="EHR12" s="319"/>
      <c r="EHS12" s="319"/>
      <c r="EHT12" s="319"/>
      <c r="EHU12" s="319"/>
      <c r="EHV12" s="319"/>
      <c r="EHW12" s="319"/>
      <c r="EHX12" s="319"/>
      <c r="EHY12" s="319"/>
      <c r="EHZ12" s="319"/>
      <c r="EIA12" s="319"/>
      <c r="EIB12" s="319"/>
      <c r="EIC12" s="319"/>
      <c r="EID12" s="319"/>
      <c r="EIE12" s="319"/>
      <c r="EIF12" s="319"/>
      <c r="EIG12" s="319"/>
      <c r="EIH12" s="319"/>
      <c r="EII12" s="319"/>
      <c r="EIJ12" s="319"/>
      <c r="EIK12" s="319"/>
      <c r="EIL12" s="319"/>
      <c r="EIM12" s="319"/>
      <c r="EIN12" s="319"/>
      <c r="EIO12" s="319"/>
      <c r="EIP12" s="319"/>
      <c r="EIQ12" s="319"/>
      <c r="EIR12" s="319"/>
      <c r="EIS12" s="319"/>
      <c r="EIT12" s="319"/>
      <c r="EIU12" s="319"/>
      <c r="EIV12" s="319"/>
      <c r="EIW12" s="319"/>
      <c r="EIX12" s="319"/>
      <c r="EIY12" s="319"/>
      <c r="EIZ12" s="319"/>
      <c r="EJA12" s="319"/>
      <c r="EJB12" s="319"/>
      <c r="EJC12" s="319"/>
      <c r="EJD12" s="319"/>
      <c r="EJE12" s="319"/>
      <c r="EJF12" s="319"/>
      <c r="EJG12" s="319"/>
      <c r="EJH12" s="319"/>
      <c r="EJI12" s="319"/>
      <c r="EJJ12" s="319"/>
      <c r="EJK12" s="319"/>
      <c r="EJL12" s="319"/>
      <c r="EJM12" s="319"/>
      <c r="EJN12" s="319"/>
      <c r="EJO12" s="319"/>
      <c r="EJP12" s="319"/>
      <c r="EJQ12" s="319"/>
      <c r="EJR12" s="319"/>
      <c r="EJS12" s="319"/>
      <c r="EJT12" s="319"/>
      <c r="EJU12" s="319"/>
      <c r="EJV12" s="319"/>
      <c r="EJW12" s="319"/>
      <c r="EJX12" s="319"/>
      <c r="EJY12" s="319"/>
      <c r="EJZ12" s="319"/>
      <c r="EKA12" s="319"/>
      <c r="EKB12" s="319"/>
      <c r="EKC12" s="319"/>
      <c r="EKD12" s="319"/>
      <c r="EKE12" s="319"/>
      <c r="EKF12" s="319"/>
      <c r="EKG12" s="319"/>
      <c r="EKH12" s="319"/>
      <c r="EKI12" s="319"/>
      <c r="EKJ12" s="319"/>
      <c r="EKK12" s="319"/>
      <c r="EKL12" s="319"/>
      <c r="EKM12" s="319"/>
      <c r="EKN12" s="319"/>
      <c r="EKO12" s="319"/>
      <c r="EKP12" s="319"/>
      <c r="EKQ12" s="319"/>
      <c r="EKR12" s="319"/>
      <c r="EKS12" s="319"/>
      <c r="EKT12" s="319"/>
      <c r="EKU12" s="319"/>
      <c r="EKV12" s="319"/>
      <c r="EKW12" s="319"/>
      <c r="EKX12" s="319"/>
      <c r="EKY12" s="319"/>
      <c r="EKZ12" s="319"/>
      <c r="ELA12" s="319"/>
      <c r="ELB12" s="319"/>
      <c r="ELC12" s="319"/>
      <c r="ELD12" s="319"/>
      <c r="ELE12" s="319"/>
      <c r="ELF12" s="319"/>
      <c r="ELG12" s="319"/>
      <c r="ELH12" s="319"/>
      <c r="ELI12" s="319"/>
      <c r="ELJ12" s="319"/>
      <c r="ELK12" s="319"/>
      <c r="ELL12" s="319"/>
      <c r="ELM12" s="319"/>
      <c r="ELN12" s="319"/>
      <c r="ELO12" s="319"/>
      <c r="ELP12" s="319"/>
      <c r="ELQ12" s="319"/>
      <c r="ELR12" s="319"/>
      <c r="ELS12" s="319"/>
      <c r="ELT12" s="319"/>
      <c r="ELU12" s="319"/>
      <c r="ELV12" s="319"/>
      <c r="ELW12" s="319"/>
      <c r="ELX12" s="319"/>
      <c r="ELY12" s="319"/>
      <c r="ELZ12" s="319"/>
      <c r="EMA12" s="319"/>
      <c r="EMB12" s="319"/>
      <c r="EMC12" s="319"/>
      <c r="EMD12" s="319"/>
      <c r="EME12" s="319"/>
      <c r="EMF12" s="319"/>
      <c r="EMG12" s="319"/>
      <c r="EMH12" s="319"/>
      <c r="EMI12" s="319"/>
      <c r="EMJ12" s="319"/>
      <c r="EMK12" s="319"/>
      <c r="EML12" s="319"/>
      <c r="EMM12" s="319"/>
      <c r="EMN12" s="319"/>
      <c r="EMO12" s="319"/>
      <c r="EMP12" s="319"/>
      <c r="EMQ12" s="319"/>
      <c r="EMR12" s="319"/>
      <c r="EMS12" s="319"/>
      <c r="EMT12" s="319"/>
      <c r="EMU12" s="319"/>
      <c r="EMV12" s="319"/>
      <c r="EMW12" s="319"/>
      <c r="EMX12" s="319"/>
      <c r="EMY12" s="319"/>
      <c r="EMZ12" s="319"/>
      <c r="ENA12" s="319"/>
      <c r="ENB12" s="319"/>
      <c r="ENC12" s="319"/>
      <c r="END12" s="319"/>
      <c r="ENE12" s="319"/>
      <c r="ENF12" s="319"/>
      <c r="ENG12" s="319"/>
      <c r="ENH12" s="319"/>
      <c r="ENI12" s="319"/>
      <c r="ENJ12" s="319"/>
      <c r="ENK12" s="319"/>
      <c r="ENL12" s="319"/>
      <c r="ENM12" s="319"/>
      <c r="ENN12" s="319"/>
      <c r="ENO12" s="319"/>
      <c r="ENP12" s="319"/>
      <c r="ENQ12" s="319"/>
      <c r="ENR12" s="319"/>
      <c r="ENS12" s="319"/>
      <c r="ENT12" s="319"/>
      <c r="ENU12" s="319"/>
      <c r="ENV12" s="319"/>
      <c r="ENW12" s="319"/>
      <c r="ENX12" s="319"/>
      <c r="ENY12" s="319"/>
      <c r="ENZ12" s="319"/>
      <c r="EOA12" s="319"/>
      <c r="EOB12" s="319"/>
      <c r="EOC12" s="319"/>
      <c r="EOD12" s="319"/>
      <c r="EOE12" s="319"/>
      <c r="EOF12" s="319"/>
      <c r="EOG12" s="319"/>
      <c r="EOH12" s="319"/>
      <c r="EOI12" s="319"/>
      <c r="EOJ12" s="319"/>
      <c r="EOK12" s="319"/>
      <c r="EOL12" s="319"/>
      <c r="EOM12" s="319"/>
      <c r="EON12" s="319"/>
      <c r="EOO12" s="319"/>
      <c r="EOP12" s="319"/>
      <c r="EOQ12" s="319"/>
      <c r="EOR12" s="319"/>
      <c r="EOS12" s="319"/>
      <c r="EOT12" s="319"/>
      <c r="EOU12" s="319"/>
      <c r="EOV12" s="319"/>
      <c r="EOW12" s="319"/>
      <c r="EOX12" s="319"/>
      <c r="EOY12" s="319"/>
      <c r="EOZ12" s="319"/>
      <c r="EPA12" s="319"/>
      <c r="EPB12" s="319"/>
      <c r="EPC12" s="319"/>
      <c r="EPD12" s="319"/>
      <c r="EPE12" s="319"/>
      <c r="EPF12" s="319"/>
      <c r="EPG12" s="319"/>
      <c r="EPH12" s="319"/>
      <c r="EPI12" s="319"/>
      <c r="EPJ12" s="319"/>
      <c r="EPK12" s="319"/>
      <c r="EPL12" s="319"/>
      <c r="EPM12" s="319"/>
      <c r="EPN12" s="319"/>
      <c r="EPO12" s="319"/>
      <c r="EPP12" s="319"/>
      <c r="EPQ12" s="319"/>
      <c r="EPR12" s="319"/>
      <c r="EPS12" s="319"/>
      <c r="EPT12" s="319"/>
      <c r="EPU12" s="319"/>
      <c r="EPV12" s="319"/>
      <c r="EPW12" s="319"/>
      <c r="EPX12" s="319"/>
      <c r="EPY12" s="319"/>
      <c r="EPZ12" s="319"/>
      <c r="EQA12" s="319"/>
      <c r="EQB12" s="319"/>
      <c r="EQC12" s="319"/>
      <c r="EQD12" s="319"/>
      <c r="EQE12" s="319"/>
      <c r="EQF12" s="319"/>
      <c r="EQG12" s="319"/>
      <c r="EQH12" s="319"/>
      <c r="EQI12" s="319"/>
      <c r="EQJ12" s="319"/>
      <c r="EQK12" s="319"/>
      <c r="EQL12" s="319"/>
      <c r="EQM12" s="319"/>
      <c r="EQN12" s="319"/>
      <c r="EQO12" s="319"/>
      <c r="EQP12" s="319"/>
      <c r="EQQ12" s="319"/>
      <c r="EQR12" s="319"/>
      <c r="EQS12" s="319"/>
      <c r="EQT12" s="319"/>
      <c r="EQU12" s="319"/>
      <c r="EQV12" s="319"/>
      <c r="EQW12" s="319"/>
      <c r="EQX12" s="319"/>
      <c r="EQY12" s="319"/>
      <c r="EQZ12" s="319"/>
      <c r="ERA12" s="319"/>
      <c r="ERB12" s="319"/>
      <c r="ERC12" s="319"/>
      <c r="ERD12" s="319"/>
      <c r="ERE12" s="319"/>
      <c r="ERF12" s="319"/>
      <c r="ERG12" s="319"/>
      <c r="ERH12" s="319"/>
      <c r="ERI12" s="319"/>
      <c r="ERJ12" s="319"/>
      <c r="ERK12" s="319"/>
      <c r="ERL12" s="319"/>
      <c r="ERM12" s="319"/>
      <c r="ERN12" s="319"/>
      <c r="ERO12" s="319"/>
      <c r="ERP12" s="319"/>
      <c r="ERQ12" s="319"/>
      <c r="ERR12" s="319"/>
      <c r="ERS12" s="319"/>
      <c r="ERT12" s="319"/>
      <c r="ERU12" s="319"/>
      <c r="ERV12" s="319"/>
      <c r="ERW12" s="319"/>
      <c r="ERX12" s="319"/>
      <c r="ERY12" s="319"/>
      <c r="ERZ12" s="319"/>
      <c r="ESA12" s="319"/>
      <c r="ESB12" s="319"/>
      <c r="ESC12" s="319"/>
      <c r="ESD12" s="319"/>
      <c r="ESE12" s="319"/>
      <c r="ESF12" s="319"/>
      <c r="ESG12" s="319"/>
      <c r="ESH12" s="319"/>
      <c r="ESI12" s="319"/>
      <c r="ESJ12" s="319"/>
      <c r="ESK12" s="319"/>
      <c r="ESL12" s="319"/>
      <c r="ESM12" s="319"/>
      <c r="ESN12" s="319"/>
      <c r="ESO12" s="319"/>
      <c r="ESP12" s="319"/>
      <c r="ESQ12" s="319"/>
      <c r="ESR12" s="319"/>
      <c r="ESS12" s="319"/>
      <c r="EST12" s="319"/>
      <c r="ESU12" s="319"/>
      <c r="ESV12" s="319"/>
      <c r="ESW12" s="319"/>
      <c r="ESX12" s="319"/>
      <c r="ESY12" s="319"/>
      <c r="ESZ12" s="319"/>
      <c r="ETA12" s="319"/>
      <c r="ETB12" s="319"/>
      <c r="ETC12" s="319"/>
      <c r="ETD12" s="319"/>
      <c r="ETE12" s="319"/>
      <c r="ETF12" s="319"/>
      <c r="ETG12" s="319"/>
      <c r="ETH12" s="319"/>
      <c r="ETI12" s="319"/>
      <c r="ETJ12" s="319"/>
      <c r="ETK12" s="319"/>
      <c r="ETL12" s="319"/>
      <c r="ETM12" s="319"/>
      <c r="ETN12" s="319"/>
      <c r="ETO12" s="319"/>
      <c r="ETP12" s="319"/>
      <c r="ETQ12" s="319"/>
      <c r="ETR12" s="319"/>
      <c r="ETS12" s="319"/>
      <c r="ETT12" s="319"/>
      <c r="ETU12" s="319"/>
      <c r="ETV12" s="319"/>
      <c r="ETW12" s="319"/>
      <c r="ETX12" s="319"/>
      <c r="ETY12" s="319"/>
      <c r="ETZ12" s="319"/>
      <c r="EUA12" s="319"/>
      <c r="EUB12" s="319"/>
      <c r="EUC12" s="319"/>
      <c r="EUD12" s="319"/>
      <c r="EUE12" s="319"/>
      <c r="EUF12" s="319"/>
      <c r="EUG12" s="319"/>
      <c r="EUH12" s="319"/>
      <c r="EUI12" s="319"/>
      <c r="EUJ12" s="319"/>
      <c r="EUK12" s="319"/>
      <c r="EUL12" s="319"/>
      <c r="EUM12" s="319"/>
      <c r="EUN12" s="319"/>
      <c r="EUO12" s="319"/>
      <c r="EUP12" s="319"/>
      <c r="EUQ12" s="319"/>
      <c r="EUR12" s="319"/>
      <c r="EUS12" s="319"/>
      <c r="EUT12" s="319"/>
      <c r="EUU12" s="319"/>
      <c r="EUV12" s="319"/>
      <c r="EUW12" s="319"/>
      <c r="EUX12" s="319"/>
      <c r="EUY12" s="319"/>
      <c r="EUZ12" s="319"/>
      <c r="EVA12" s="319"/>
      <c r="EVB12" s="319"/>
      <c r="EVC12" s="319"/>
      <c r="EVD12" s="319"/>
      <c r="EVE12" s="319"/>
      <c r="EVF12" s="319"/>
      <c r="EVG12" s="319"/>
      <c r="EVH12" s="319"/>
      <c r="EVI12" s="319"/>
      <c r="EVJ12" s="319"/>
      <c r="EVK12" s="319"/>
      <c r="EVL12" s="319"/>
      <c r="EVM12" s="319"/>
      <c r="EVN12" s="319"/>
      <c r="EVO12" s="319"/>
      <c r="EVP12" s="319"/>
      <c r="EVQ12" s="319"/>
      <c r="EVR12" s="319"/>
      <c r="EVS12" s="319"/>
      <c r="EVT12" s="319"/>
      <c r="EVU12" s="319"/>
      <c r="EVV12" s="319"/>
      <c r="EVW12" s="319"/>
      <c r="EVX12" s="319"/>
      <c r="EVY12" s="319"/>
      <c r="EVZ12" s="319"/>
      <c r="EWA12" s="319"/>
      <c r="EWB12" s="319"/>
      <c r="EWC12" s="319"/>
      <c r="EWD12" s="319"/>
      <c r="EWE12" s="319"/>
      <c r="EWF12" s="319"/>
      <c r="EWG12" s="319"/>
      <c r="EWH12" s="319"/>
      <c r="EWI12" s="319"/>
      <c r="EWJ12" s="319"/>
      <c r="EWK12" s="319"/>
      <c r="EWL12" s="319"/>
      <c r="EWM12" s="319"/>
      <c r="EWN12" s="319"/>
      <c r="EWO12" s="319"/>
      <c r="EWP12" s="319"/>
      <c r="EWQ12" s="319"/>
      <c r="EWR12" s="319"/>
      <c r="EWS12" s="319"/>
      <c r="EWT12" s="319"/>
      <c r="EWU12" s="319"/>
      <c r="EWV12" s="319"/>
      <c r="EWW12" s="319"/>
      <c r="EWX12" s="319"/>
      <c r="EWY12" s="319"/>
      <c r="EWZ12" s="319"/>
      <c r="EXA12" s="319"/>
      <c r="EXB12" s="319"/>
      <c r="EXC12" s="319"/>
      <c r="EXD12" s="319"/>
      <c r="EXE12" s="319"/>
      <c r="EXF12" s="319"/>
      <c r="EXG12" s="319"/>
      <c r="EXH12" s="319"/>
      <c r="EXI12" s="319"/>
      <c r="EXJ12" s="319"/>
      <c r="EXK12" s="319"/>
      <c r="EXL12" s="319"/>
      <c r="EXM12" s="319"/>
      <c r="EXN12" s="319"/>
      <c r="EXO12" s="319"/>
      <c r="EXP12" s="319"/>
      <c r="EXQ12" s="319"/>
      <c r="EXR12" s="319"/>
      <c r="EXS12" s="319"/>
      <c r="EXT12" s="319"/>
      <c r="EXU12" s="319"/>
      <c r="EXV12" s="319"/>
      <c r="EXW12" s="319"/>
      <c r="EXX12" s="319"/>
      <c r="EXY12" s="319"/>
      <c r="EXZ12" s="319"/>
      <c r="EYA12" s="319"/>
      <c r="EYB12" s="319"/>
      <c r="EYC12" s="319"/>
      <c r="EYD12" s="319"/>
      <c r="EYE12" s="319"/>
      <c r="EYF12" s="319"/>
      <c r="EYG12" s="319"/>
      <c r="EYH12" s="319"/>
      <c r="EYI12" s="319"/>
      <c r="EYJ12" s="319"/>
      <c r="EYK12" s="319"/>
      <c r="EYL12" s="319"/>
      <c r="EYM12" s="319"/>
      <c r="EYN12" s="319"/>
      <c r="EYO12" s="319"/>
      <c r="EYP12" s="319"/>
      <c r="EYQ12" s="319"/>
      <c r="EYR12" s="319"/>
      <c r="EYS12" s="319"/>
      <c r="EYT12" s="319"/>
      <c r="EYU12" s="319"/>
      <c r="EYV12" s="319"/>
      <c r="EYW12" s="319"/>
      <c r="EYX12" s="319"/>
      <c r="EYY12" s="319"/>
      <c r="EYZ12" s="319"/>
      <c r="EZA12" s="319"/>
      <c r="EZB12" s="319"/>
      <c r="EZC12" s="319"/>
      <c r="EZD12" s="319"/>
      <c r="EZE12" s="319"/>
      <c r="EZF12" s="319"/>
      <c r="EZG12" s="319"/>
      <c r="EZH12" s="319"/>
      <c r="EZI12" s="319"/>
      <c r="EZJ12" s="319"/>
      <c r="EZK12" s="319"/>
      <c r="EZL12" s="319"/>
      <c r="EZM12" s="319"/>
      <c r="EZN12" s="319"/>
      <c r="EZO12" s="319"/>
      <c r="EZP12" s="319"/>
      <c r="EZQ12" s="319"/>
      <c r="EZR12" s="319"/>
      <c r="EZS12" s="319"/>
      <c r="EZT12" s="319"/>
      <c r="EZU12" s="319"/>
      <c r="EZV12" s="319"/>
      <c r="EZW12" s="319"/>
      <c r="EZX12" s="319"/>
      <c r="EZY12" s="319"/>
      <c r="EZZ12" s="319"/>
      <c r="FAA12" s="319"/>
      <c r="FAB12" s="319"/>
      <c r="FAC12" s="319"/>
      <c r="FAD12" s="319"/>
      <c r="FAE12" s="319"/>
      <c r="FAF12" s="319"/>
      <c r="FAG12" s="319"/>
      <c r="FAH12" s="319"/>
      <c r="FAI12" s="319"/>
      <c r="FAJ12" s="319"/>
      <c r="FAK12" s="319"/>
      <c r="FAL12" s="319"/>
      <c r="FAM12" s="319"/>
      <c r="FAN12" s="319"/>
      <c r="FAO12" s="319"/>
      <c r="FAP12" s="319"/>
      <c r="FAQ12" s="319"/>
      <c r="FAR12" s="319"/>
      <c r="FAS12" s="319"/>
      <c r="FAT12" s="319"/>
      <c r="FAU12" s="319"/>
      <c r="FAV12" s="319"/>
      <c r="FAW12" s="319"/>
      <c r="FAX12" s="319"/>
      <c r="FAY12" s="319"/>
      <c r="FAZ12" s="319"/>
      <c r="FBA12" s="319"/>
      <c r="FBB12" s="319"/>
      <c r="FBC12" s="319"/>
      <c r="FBD12" s="319"/>
      <c r="FBE12" s="319"/>
      <c r="FBF12" s="319"/>
      <c r="FBG12" s="319"/>
      <c r="FBH12" s="319"/>
      <c r="FBI12" s="319"/>
      <c r="FBJ12" s="319"/>
      <c r="FBK12" s="319"/>
      <c r="FBL12" s="319"/>
      <c r="FBM12" s="319"/>
      <c r="FBN12" s="319"/>
      <c r="FBO12" s="319"/>
      <c r="FBP12" s="319"/>
      <c r="FBQ12" s="319"/>
      <c r="FBR12" s="319"/>
      <c r="FBS12" s="319"/>
      <c r="FBT12" s="319"/>
      <c r="FBU12" s="319"/>
      <c r="FBV12" s="319"/>
      <c r="FBW12" s="319"/>
      <c r="FBX12" s="319"/>
      <c r="FBY12" s="319"/>
      <c r="FBZ12" s="319"/>
      <c r="FCA12" s="319"/>
      <c r="FCB12" s="319"/>
      <c r="FCC12" s="319"/>
      <c r="FCD12" s="319"/>
      <c r="FCE12" s="319"/>
      <c r="FCF12" s="319"/>
      <c r="FCG12" s="319"/>
      <c r="FCH12" s="319"/>
      <c r="FCI12" s="319"/>
      <c r="FCJ12" s="319"/>
      <c r="FCK12" s="319"/>
      <c r="FCL12" s="319"/>
      <c r="FCM12" s="319"/>
      <c r="FCN12" s="319"/>
      <c r="FCO12" s="319"/>
      <c r="FCP12" s="319"/>
      <c r="FCQ12" s="319"/>
      <c r="FCR12" s="319"/>
      <c r="FCS12" s="319"/>
      <c r="FCT12" s="319"/>
      <c r="FCU12" s="319"/>
      <c r="FCV12" s="319"/>
      <c r="FCW12" s="319"/>
      <c r="FCX12" s="319"/>
      <c r="FCY12" s="319"/>
      <c r="FCZ12" s="319"/>
      <c r="FDA12" s="319"/>
      <c r="FDB12" s="319"/>
      <c r="FDC12" s="319"/>
      <c r="FDD12" s="319"/>
      <c r="FDE12" s="319"/>
      <c r="FDF12" s="319"/>
      <c r="FDG12" s="319"/>
      <c r="FDH12" s="319"/>
      <c r="FDI12" s="319"/>
      <c r="FDJ12" s="319"/>
      <c r="FDK12" s="319"/>
      <c r="FDL12" s="319"/>
      <c r="FDM12" s="319"/>
      <c r="FDN12" s="319"/>
      <c r="FDO12" s="319"/>
      <c r="FDP12" s="319"/>
      <c r="FDQ12" s="319"/>
      <c r="FDR12" s="319"/>
      <c r="FDS12" s="319"/>
      <c r="FDT12" s="319"/>
      <c r="FDU12" s="319"/>
      <c r="FDV12" s="319"/>
      <c r="FDW12" s="319"/>
      <c r="FDX12" s="319"/>
      <c r="FDY12" s="319"/>
      <c r="FDZ12" s="319"/>
      <c r="FEA12" s="319"/>
      <c r="FEB12" s="319"/>
      <c r="FEC12" s="319"/>
      <c r="FED12" s="319"/>
      <c r="FEE12" s="319"/>
      <c r="FEF12" s="319"/>
      <c r="FEG12" s="319"/>
      <c r="FEH12" s="319"/>
      <c r="FEI12" s="319"/>
      <c r="FEJ12" s="319"/>
      <c r="FEK12" s="319"/>
      <c r="FEL12" s="319"/>
      <c r="FEM12" s="319"/>
      <c r="FEN12" s="319"/>
      <c r="FEO12" s="319"/>
      <c r="FEP12" s="319"/>
      <c r="FEQ12" s="319"/>
      <c r="FER12" s="319"/>
      <c r="FES12" s="319"/>
      <c r="FET12" s="319"/>
      <c r="FEU12" s="319"/>
      <c r="FEV12" s="319"/>
      <c r="FEW12" s="319"/>
      <c r="FEX12" s="319"/>
      <c r="FEY12" s="319"/>
      <c r="FEZ12" s="319"/>
      <c r="FFA12" s="319"/>
      <c r="FFB12" s="319"/>
      <c r="FFC12" s="319"/>
      <c r="FFD12" s="319"/>
      <c r="FFE12" s="319"/>
      <c r="FFF12" s="319"/>
      <c r="FFG12" s="319"/>
      <c r="FFH12" s="319"/>
      <c r="FFI12" s="319"/>
      <c r="FFJ12" s="319"/>
      <c r="FFK12" s="319"/>
      <c r="FFL12" s="319"/>
      <c r="FFM12" s="319"/>
      <c r="FFN12" s="319"/>
      <c r="FFO12" s="319"/>
      <c r="FFP12" s="319"/>
      <c r="FFQ12" s="319"/>
      <c r="FFR12" s="319"/>
      <c r="FFS12" s="319"/>
      <c r="FFT12" s="319"/>
      <c r="FFU12" s="319"/>
      <c r="FFV12" s="319"/>
      <c r="FFW12" s="319"/>
      <c r="FFX12" s="319"/>
      <c r="FFY12" s="319"/>
      <c r="FFZ12" s="319"/>
      <c r="FGA12" s="319"/>
      <c r="FGB12" s="319"/>
      <c r="FGC12" s="319"/>
      <c r="FGD12" s="319"/>
      <c r="FGE12" s="319"/>
      <c r="FGF12" s="319"/>
      <c r="FGG12" s="319"/>
      <c r="FGH12" s="319"/>
      <c r="FGI12" s="319"/>
      <c r="FGJ12" s="319"/>
      <c r="FGK12" s="319"/>
      <c r="FGL12" s="319"/>
      <c r="FGM12" s="319"/>
      <c r="FGN12" s="319"/>
      <c r="FGO12" s="319"/>
      <c r="FGP12" s="319"/>
      <c r="FGQ12" s="319"/>
      <c r="FGR12" s="319"/>
      <c r="FGS12" s="319"/>
      <c r="FGT12" s="319"/>
      <c r="FGU12" s="319"/>
      <c r="FGV12" s="319"/>
      <c r="FGW12" s="319"/>
      <c r="FGX12" s="319"/>
      <c r="FGY12" s="319"/>
      <c r="FGZ12" s="319"/>
      <c r="FHA12" s="319"/>
      <c r="FHB12" s="319"/>
      <c r="FHC12" s="319"/>
      <c r="FHD12" s="319"/>
      <c r="FHE12" s="319"/>
      <c r="FHF12" s="319"/>
      <c r="FHG12" s="319"/>
      <c r="FHH12" s="319"/>
      <c r="FHI12" s="319"/>
      <c r="FHJ12" s="319"/>
      <c r="FHK12" s="319"/>
      <c r="FHL12" s="319"/>
      <c r="FHM12" s="319"/>
      <c r="FHN12" s="319"/>
      <c r="FHO12" s="319"/>
      <c r="FHP12" s="319"/>
      <c r="FHQ12" s="319"/>
      <c r="FHR12" s="319"/>
      <c r="FHS12" s="319"/>
      <c r="FHT12" s="319"/>
      <c r="FHU12" s="319"/>
      <c r="FHV12" s="319"/>
      <c r="FHW12" s="319"/>
      <c r="FHX12" s="319"/>
      <c r="FHY12" s="319"/>
      <c r="FHZ12" s="319"/>
      <c r="FIA12" s="319"/>
      <c r="FIB12" s="319"/>
      <c r="FIC12" s="319"/>
      <c r="FID12" s="319"/>
      <c r="FIE12" s="319"/>
      <c r="FIF12" s="319"/>
      <c r="FIG12" s="319"/>
      <c r="FIH12" s="319"/>
      <c r="FII12" s="319"/>
      <c r="FIJ12" s="319"/>
      <c r="FIK12" s="319"/>
      <c r="FIL12" s="319"/>
      <c r="FIM12" s="319"/>
      <c r="FIN12" s="319"/>
      <c r="FIO12" s="319"/>
      <c r="FIP12" s="319"/>
      <c r="FIQ12" s="319"/>
      <c r="FIR12" s="319"/>
      <c r="FIS12" s="319"/>
      <c r="FIT12" s="319"/>
      <c r="FIU12" s="319"/>
      <c r="FIV12" s="319"/>
      <c r="FIW12" s="319"/>
      <c r="FIX12" s="319"/>
      <c r="FIY12" s="319"/>
      <c r="FIZ12" s="319"/>
      <c r="FJA12" s="319"/>
      <c r="FJB12" s="319"/>
      <c r="FJC12" s="319"/>
      <c r="FJD12" s="319"/>
      <c r="FJE12" s="319"/>
      <c r="FJF12" s="319"/>
      <c r="FJG12" s="319"/>
      <c r="FJH12" s="319"/>
      <c r="FJI12" s="319"/>
      <c r="FJJ12" s="319"/>
      <c r="FJK12" s="319"/>
      <c r="FJL12" s="319"/>
      <c r="FJM12" s="319"/>
      <c r="FJN12" s="319"/>
      <c r="FJO12" s="319"/>
      <c r="FJP12" s="319"/>
      <c r="FJQ12" s="319"/>
      <c r="FJR12" s="319"/>
      <c r="FJS12" s="319"/>
      <c r="FJT12" s="319"/>
      <c r="FJU12" s="319"/>
      <c r="FJV12" s="319"/>
      <c r="FJW12" s="319"/>
      <c r="FJX12" s="319"/>
      <c r="FJY12" s="319"/>
      <c r="FJZ12" s="319"/>
      <c r="FKA12" s="319"/>
      <c r="FKB12" s="319"/>
      <c r="FKC12" s="319"/>
      <c r="FKD12" s="319"/>
      <c r="FKE12" s="319"/>
      <c r="FKF12" s="319"/>
      <c r="FKG12" s="319"/>
      <c r="FKH12" s="319"/>
      <c r="FKI12" s="319"/>
      <c r="FKJ12" s="319"/>
      <c r="FKK12" s="319"/>
      <c r="FKL12" s="319"/>
      <c r="FKM12" s="319"/>
      <c r="FKN12" s="319"/>
      <c r="FKO12" s="319"/>
      <c r="FKP12" s="319"/>
      <c r="FKQ12" s="319"/>
      <c r="FKR12" s="319"/>
      <c r="FKS12" s="319"/>
      <c r="FKT12" s="319"/>
      <c r="FKU12" s="319"/>
      <c r="FKV12" s="319"/>
      <c r="FKW12" s="319"/>
      <c r="FKX12" s="319"/>
      <c r="FKY12" s="319"/>
      <c r="FKZ12" s="319"/>
      <c r="FLA12" s="319"/>
      <c r="FLB12" s="319"/>
      <c r="FLC12" s="319"/>
      <c r="FLD12" s="319"/>
      <c r="FLE12" s="319"/>
      <c r="FLF12" s="319"/>
      <c r="FLG12" s="319"/>
      <c r="FLH12" s="319"/>
      <c r="FLI12" s="319"/>
      <c r="FLJ12" s="319"/>
      <c r="FLK12" s="319"/>
      <c r="FLL12" s="319"/>
      <c r="FLM12" s="319"/>
      <c r="FLN12" s="319"/>
      <c r="FLO12" s="319"/>
      <c r="FLP12" s="319"/>
      <c r="FLQ12" s="319"/>
      <c r="FLR12" s="319"/>
      <c r="FLS12" s="319"/>
      <c r="FLT12" s="319"/>
      <c r="FLU12" s="319"/>
      <c r="FLV12" s="319"/>
      <c r="FLW12" s="319"/>
      <c r="FLX12" s="319"/>
      <c r="FLY12" s="319"/>
      <c r="FLZ12" s="319"/>
      <c r="FMA12" s="319"/>
      <c r="FMB12" s="319"/>
      <c r="FMC12" s="319"/>
      <c r="FMD12" s="319"/>
      <c r="FME12" s="319"/>
      <c r="FMF12" s="319"/>
      <c r="FMG12" s="319"/>
      <c r="FMH12" s="319"/>
      <c r="FMI12" s="319"/>
      <c r="FMJ12" s="319"/>
      <c r="FMK12" s="319"/>
      <c r="FML12" s="319"/>
      <c r="FMM12" s="319"/>
      <c r="FMN12" s="319"/>
      <c r="FMO12" s="319"/>
      <c r="FMP12" s="319"/>
      <c r="FMQ12" s="319"/>
      <c r="FMR12" s="319"/>
      <c r="FMS12" s="319"/>
      <c r="FMT12" s="319"/>
      <c r="FMU12" s="319"/>
      <c r="FMV12" s="319"/>
      <c r="FMW12" s="319"/>
      <c r="FMX12" s="319"/>
      <c r="FMY12" s="319"/>
      <c r="FMZ12" s="319"/>
      <c r="FNA12" s="319"/>
      <c r="FNB12" s="319"/>
      <c r="FNC12" s="319"/>
      <c r="FND12" s="319"/>
      <c r="FNE12" s="319"/>
      <c r="FNF12" s="319"/>
      <c r="FNG12" s="319"/>
      <c r="FNH12" s="319"/>
      <c r="FNI12" s="319"/>
      <c r="FNJ12" s="319"/>
      <c r="FNK12" s="319"/>
      <c r="FNL12" s="319"/>
      <c r="FNM12" s="319"/>
      <c r="FNN12" s="319"/>
      <c r="FNO12" s="319"/>
      <c r="FNP12" s="319"/>
      <c r="FNQ12" s="319"/>
      <c r="FNR12" s="319"/>
      <c r="FNS12" s="319"/>
      <c r="FNT12" s="319"/>
      <c r="FNU12" s="319"/>
      <c r="FNV12" s="319"/>
      <c r="FNW12" s="319"/>
      <c r="FNX12" s="319"/>
      <c r="FNY12" s="319"/>
      <c r="FNZ12" s="319"/>
      <c r="FOA12" s="319"/>
      <c r="FOB12" s="319"/>
      <c r="FOC12" s="319"/>
      <c r="FOD12" s="319"/>
      <c r="FOE12" s="319"/>
      <c r="FOF12" s="319"/>
      <c r="FOG12" s="319"/>
      <c r="FOH12" s="319"/>
      <c r="FOI12" s="319"/>
      <c r="FOJ12" s="319"/>
      <c r="FOK12" s="319"/>
      <c r="FOL12" s="319"/>
      <c r="FOM12" s="319"/>
      <c r="FON12" s="319"/>
      <c r="FOO12" s="319"/>
      <c r="FOP12" s="319"/>
      <c r="FOQ12" s="319"/>
      <c r="FOR12" s="319"/>
      <c r="FOS12" s="319"/>
      <c r="FOT12" s="319"/>
      <c r="FOU12" s="319"/>
      <c r="FOV12" s="319"/>
      <c r="FOW12" s="319"/>
      <c r="FOX12" s="319"/>
      <c r="FOY12" s="319"/>
      <c r="FOZ12" s="319"/>
      <c r="FPA12" s="319"/>
      <c r="FPB12" s="319"/>
      <c r="FPC12" s="319"/>
      <c r="FPD12" s="319"/>
      <c r="FPE12" s="319"/>
      <c r="FPF12" s="319"/>
      <c r="FPG12" s="319"/>
      <c r="FPH12" s="319"/>
      <c r="FPI12" s="319"/>
      <c r="FPJ12" s="319"/>
      <c r="FPK12" s="319"/>
      <c r="FPL12" s="319"/>
      <c r="FPM12" s="319"/>
      <c r="FPN12" s="319"/>
      <c r="FPO12" s="319"/>
      <c r="FPP12" s="319"/>
      <c r="FPQ12" s="319"/>
      <c r="FPR12" s="319"/>
      <c r="FPS12" s="319"/>
      <c r="FPT12" s="319"/>
      <c r="FPU12" s="319"/>
      <c r="FPV12" s="319"/>
      <c r="FPW12" s="319"/>
      <c r="FPX12" s="319"/>
      <c r="FPY12" s="319"/>
      <c r="FPZ12" s="319"/>
      <c r="FQA12" s="319"/>
      <c r="FQB12" s="319"/>
      <c r="FQC12" s="319"/>
      <c r="FQD12" s="319"/>
      <c r="FQE12" s="319"/>
      <c r="FQF12" s="319"/>
      <c r="FQG12" s="319"/>
      <c r="FQH12" s="319"/>
      <c r="FQI12" s="319"/>
      <c r="FQJ12" s="319"/>
      <c r="FQK12" s="319"/>
      <c r="FQL12" s="319"/>
      <c r="FQM12" s="319"/>
      <c r="FQN12" s="319"/>
      <c r="FQO12" s="319"/>
      <c r="FQP12" s="319"/>
      <c r="FQQ12" s="319"/>
      <c r="FQR12" s="319"/>
      <c r="FQS12" s="319"/>
      <c r="FQT12" s="319"/>
      <c r="FQU12" s="319"/>
      <c r="FQV12" s="319"/>
      <c r="FQW12" s="319"/>
      <c r="FQX12" s="319"/>
      <c r="FQY12" s="319"/>
      <c r="FQZ12" s="319"/>
      <c r="FRA12" s="319"/>
      <c r="FRB12" s="319"/>
      <c r="FRC12" s="319"/>
      <c r="FRD12" s="319"/>
      <c r="FRE12" s="319"/>
      <c r="FRF12" s="319"/>
      <c r="FRG12" s="319"/>
      <c r="FRH12" s="319"/>
      <c r="FRI12" s="319"/>
      <c r="FRJ12" s="319"/>
      <c r="FRK12" s="319"/>
      <c r="FRL12" s="319"/>
      <c r="FRM12" s="319"/>
      <c r="FRN12" s="319"/>
      <c r="FRO12" s="319"/>
      <c r="FRP12" s="319"/>
      <c r="FRQ12" s="319"/>
      <c r="FRR12" s="319"/>
      <c r="FRS12" s="319"/>
      <c r="FRT12" s="319"/>
      <c r="FRU12" s="319"/>
      <c r="FRV12" s="319"/>
      <c r="FRW12" s="319"/>
      <c r="FRX12" s="319"/>
      <c r="FRY12" s="319"/>
      <c r="FRZ12" s="319"/>
      <c r="FSA12" s="319"/>
      <c r="FSB12" s="319"/>
      <c r="FSC12" s="319"/>
      <c r="FSD12" s="319"/>
      <c r="FSE12" s="319"/>
      <c r="FSF12" s="319"/>
      <c r="FSG12" s="319"/>
      <c r="FSH12" s="319"/>
      <c r="FSI12" s="319"/>
      <c r="FSJ12" s="319"/>
      <c r="FSK12" s="319"/>
      <c r="FSL12" s="319"/>
      <c r="FSM12" s="319"/>
      <c r="FSN12" s="319"/>
      <c r="FSO12" s="319"/>
      <c r="FSP12" s="319"/>
      <c r="FSQ12" s="319"/>
      <c r="FSR12" s="319"/>
      <c r="FSS12" s="319"/>
      <c r="FST12" s="319"/>
      <c r="FSU12" s="319"/>
      <c r="FSV12" s="319"/>
      <c r="FSW12" s="319"/>
      <c r="FSX12" s="319"/>
      <c r="FSY12" s="319"/>
      <c r="FSZ12" s="319"/>
      <c r="FTA12" s="319"/>
      <c r="FTB12" s="319"/>
      <c r="FTC12" s="319"/>
      <c r="FTD12" s="319"/>
      <c r="FTE12" s="319"/>
      <c r="FTF12" s="319"/>
      <c r="FTG12" s="319"/>
      <c r="FTH12" s="319"/>
      <c r="FTI12" s="319"/>
      <c r="FTJ12" s="319"/>
      <c r="FTK12" s="319"/>
      <c r="FTL12" s="319"/>
      <c r="FTM12" s="319"/>
      <c r="FTN12" s="319"/>
      <c r="FTO12" s="319"/>
      <c r="FTP12" s="319"/>
      <c r="FTQ12" s="319"/>
      <c r="FTR12" s="319"/>
      <c r="FTS12" s="319"/>
      <c r="FTT12" s="319"/>
      <c r="FTU12" s="319"/>
      <c r="FTV12" s="319"/>
      <c r="FTW12" s="319"/>
      <c r="FTX12" s="319"/>
      <c r="FTY12" s="319"/>
      <c r="FTZ12" s="319"/>
      <c r="FUA12" s="319"/>
      <c r="FUB12" s="319"/>
      <c r="FUC12" s="319"/>
      <c r="FUD12" s="319"/>
      <c r="FUE12" s="319"/>
      <c r="FUF12" s="319"/>
      <c r="FUG12" s="319"/>
      <c r="FUH12" s="319"/>
      <c r="FUI12" s="319"/>
      <c r="FUJ12" s="319"/>
      <c r="FUK12" s="319"/>
      <c r="FUL12" s="319"/>
      <c r="FUM12" s="319"/>
      <c r="FUN12" s="319"/>
      <c r="FUO12" s="319"/>
      <c r="FUP12" s="319"/>
      <c r="FUQ12" s="319"/>
      <c r="FUR12" s="319"/>
      <c r="FUS12" s="319"/>
      <c r="FUT12" s="319"/>
      <c r="FUU12" s="319"/>
      <c r="FUV12" s="319"/>
      <c r="FUW12" s="319"/>
      <c r="FUX12" s="319"/>
      <c r="FUY12" s="319"/>
      <c r="FUZ12" s="319"/>
      <c r="FVA12" s="319"/>
      <c r="FVB12" s="319"/>
      <c r="FVC12" s="319"/>
      <c r="FVD12" s="319"/>
      <c r="FVE12" s="319"/>
      <c r="FVF12" s="319"/>
      <c r="FVG12" s="319"/>
      <c r="FVH12" s="319"/>
      <c r="FVI12" s="319"/>
      <c r="FVJ12" s="319"/>
      <c r="FVK12" s="319"/>
      <c r="FVL12" s="319"/>
      <c r="FVM12" s="319"/>
      <c r="FVN12" s="319"/>
      <c r="FVO12" s="319"/>
      <c r="FVP12" s="319"/>
      <c r="FVQ12" s="319"/>
      <c r="FVR12" s="319"/>
      <c r="FVS12" s="319"/>
      <c r="FVT12" s="319"/>
      <c r="FVU12" s="319"/>
      <c r="FVV12" s="319"/>
      <c r="FVW12" s="319"/>
      <c r="FVX12" s="319"/>
      <c r="FVY12" s="319"/>
      <c r="FVZ12" s="319"/>
      <c r="FWA12" s="319"/>
      <c r="FWB12" s="319"/>
      <c r="FWC12" s="319"/>
      <c r="FWD12" s="319"/>
      <c r="FWE12" s="319"/>
      <c r="FWF12" s="319"/>
      <c r="FWG12" s="319"/>
      <c r="FWH12" s="319"/>
      <c r="FWI12" s="319"/>
      <c r="FWJ12" s="319"/>
      <c r="FWK12" s="319"/>
      <c r="FWL12" s="319"/>
      <c r="FWM12" s="319"/>
      <c r="FWN12" s="319"/>
      <c r="FWO12" s="319"/>
      <c r="FWP12" s="319"/>
      <c r="FWQ12" s="319"/>
      <c r="FWR12" s="319"/>
      <c r="FWS12" s="319"/>
      <c r="FWT12" s="319"/>
      <c r="FWU12" s="319"/>
      <c r="FWV12" s="319"/>
      <c r="FWW12" s="319"/>
      <c r="FWX12" s="319"/>
      <c r="FWY12" s="319"/>
      <c r="FWZ12" s="319"/>
      <c r="FXA12" s="319"/>
      <c r="FXB12" s="319"/>
      <c r="FXC12" s="319"/>
      <c r="FXD12" s="319"/>
      <c r="FXE12" s="319"/>
      <c r="FXF12" s="319"/>
      <c r="FXG12" s="319"/>
      <c r="FXH12" s="319"/>
      <c r="FXI12" s="319"/>
      <c r="FXJ12" s="319"/>
      <c r="FXK12" s="319"/>
      <c r="FXL12" s="319"/>
      <c r="FXM12" s="319"/>
      <c r="FXN12" s="319"/>
      <c r="FXO12" s="319"/>
      <c r="FXP12" s="319"/>
      <c r="FXQ12" s="319"/>
      <c r="FXR12" s="319"/>
      <c r="FXS12" s="319"/>
      <c r="FXT12" s="319"/>
      <c r="FXU12" s="319"/>
      <c r="FXV12" s="319"/>
      <c r="FXW12" s="319"/>
      <c r="FXX12" s="319"/>
      <c r="FXY12" s="319"/>
      <c r="FXZ12" s="319"/>
      <c r="FYA12" s="319"/>
      <c r="FYB12" s="319"/>
      <c r="FYC12" s="319"/>
      <c r="FYD12" s="319"/>
      <c r="FYE12" s="319"/>
      <c r="FYF12" s="319"/>
      <c r="FYG12" s="319"/>
      <c r="FYH12" s="319"/>
      <c r="FYI12" s="319"/>
      <c r="FYJ12" s="319"/>
      <c r="FYK12" s="319"/>
      <c r="FYL12" s="319"/>
      <c r="FYM12" s="319"/>
      <c r="FYN12" s="319"/>
      <c r="FYO12" s="319"/>
      <c r="FYP12" s="319"/>
      <c r="FYQ12" s="319"/>
      <c r="FYR12" s="319"/>
      <c r="FYS12" s="319"/>
      <c r="FYT12" s="319"/>
      <c r="FYU12" s="319"/>
      <c r="FYV12" s="319"/>
      <c r="FYW12" s="319"/>
      <c r="FYX12" s="319"/>
      <c r="FYY12" s="319"/>
      <c r="FYZ12" s="319"/>
      <c r="FZA12" s="319"/>
      <c r="FZB12" s="319"/>
      <c r="FZC12" s="319"/>
      <c r="FZD12" s="319"/>
      <c r="FZE12" s="319"/>
      <c r="FZF12" s="319"/>
      <c r="FZG12" s="319"/>
      <c r="FZH12" s="319"/>
      <c r="FZI12" s="319"/>
      <c r="FZJ12" s="319"/>
      <c r="FZK12" s="319"/>
      <c r="FZL12" s="319"/>
      <c r="FZM12" s="319"/>
      <c r="FZN12" s="319"/>
      <c r="FZO12" s="319"/>
      <c r="FZP12" s="319"/>
      <c r="FZQ12" s="319"/>
      <c r="FZR12" s="319"/>
      <c r="FZS12" s="319"/>
      <c r="FZT12" s="319"/>
      <c r="FZU12" s="319"/>
      <c r="FZV12" s="319"/>
      <c r="FZW12" s="319"/>
      <c r="FZX12" s="319"/>
      <c r="FZY12" s="319"/>
      <c r="FZZ12" s="319"/>
      <c r="GAA12" s="319"/>
      <c r="GAB12" s="319"/>
      <c r="GAC12" s="319"/>
      <c r="GAD12" s="319"/>
      <c r="GAE12" s="319"/>
      <c r="GAF12" s="319"/>
      <c r="GAG12" s="319"/>
      <c r="GAH12" s="319"/>
      <c r="GAI12" s="319"/>
      <c r="GAJ12" s="319"/>
      <c r="GAK12" s="319"/>
      <c r="GAL12" s="319"/>
      <c r="GAM12" s="319"/>
      <c r="GAN12" s="319"/>
      <c r="GAO12" s="319"/>
      <c r="GAP12" s="319"/>
      <c r="GAQ12" s="319"/>
      <c r="GAR12" s="319"/>
      <c r="GAS12" s="319"/>
      <c r="GAT12" s="319"/>
      <c r="GAU12" s="319"/>
      <c r="GAV12" s="319"/>
      <c r="GAW12" s="319"/>
      <c r="GAX12" s="319"/>
      <c r="GAY12" s="319"/>
      <c r="GAZ12" s="319"/>
      <c r="GBA12" s="319"/>
      <c r="GBB12" s="319"/>
      <c r="GBC12" s="319"/>
      <c r="GBD12" s="319"/>
      <c r="GBE12" s="319"/>
      <c r="GBF12" s="319"/>
      <c r="GBG12" s="319"/>
      <c r="GBH12" s="319"/>
      <c r="GBI12" s="319"/>
      <c r="GBJ12" s="319"/>
      <c r="GBK12" s="319"/>
      <c r="GBL12" s="319"/>
      <c r="GBM12" s="319"/>
      <c r="GBN12" s="319"/>
      <c r="GBO12" s="319"/>
      <c r="GBP12" s="319"/>
      <c r="GBQ12" s="319"/>
      <c r="GBR12" s="319"/>
      <c r="GBS12" s="319"/>
      <c r="GBT12" s="319"/>
      <c r="GBU12" s="319"/>
      <c r="GBV12" s="319"/>
      <c r="GBW12" s="319"/>
      <c r="GBX12" s="319"/>
      <c r="GBY12" s="319"/>
      <c r="GBZ12" s="319"/>
      <c r="GCA12" s="319"/>
      <c r="GCB12" s="319"/>
      <c r="GCC12" s="319"/>
      <c r="GCD12" s="319"/>
      <c r="GCE12" s="319"/>
      <c r="GCF12" s="319"/>
      <c r="GCG12" s="319"/>
      <c r="GCH12" s="319"/>
      <c r="GCI12" s="319"/>
      <c r="GCJ12" s="319"/>
      <c r="GCK12" s="319"/>
      <c r="GCL12" s="319"/>
      <c r="GCM12" s="319"/>
      <c r="GCN12" s="319"/>
      <c r="GCO12" s="319"/>
      <c r="GCP12" s="319"/>
      <c r="GCQ12" s="319"/>
      <c r="GCR12" s="319"/>
      <c r="GCS12" s="319"/>
      <c r="GCT12" s="319"/>
      <c r="GCU12" s="319"/>
      <c r="GCV12" s="319"/>
      <c r="GCW12" s="319"/>
      <c r="GCX12" s="319"/>
      <c r="GCY12" s="319"/>
      <c r="GCZ12" s="319"/>
      <c r="GDA12" s="319"/>
      <c r="GDB12" s="319"/>
      <c r="GDC12" s="319"/>
      <c r="GDD12" s="319"/>
      <c r="GDE12" s="319"/>
      <c r="GDF12" s="319"/>
      <c r="GDG12" s="319"/>
      <c r="GDH12" s="319"/>
      <c r="GDI12" s="319"/>
      <c r="GDJ12" s="319"/>
      <c r="GDK12" s="319"/>
      <c r="GDL12" s="319"/>
      <c r="GDM12" s="319"/>
      <c r="GDN12" s="319"/>
      <c r="GDO12" s="319"/>
      <c r="GDP12" s="319"/>
      <c r="GDQ12" s="319"/>
      <c r="GDR12" s="319"/>
      <c r="GDS12" s="319"/>
      <c r="GDT12" s="319"/>
      <c r="GDU12" s="319"/>
      <c r="GDV12" s="319"/>
      <c r="GDW12" s="319"/>
      <c r="GDX12" s="319"/>
      <c r="GDY12" s="319"/>
      <c r="GDZ12" s="319"/>
      <c r="GEA12" s="319"/>
      <c r="GEB12" s="319"/>
      <c r="GEC12" s="319"/>
      <c r="GED12" s="319"/>
      <c r="GEE12" s="319"/>
      <c r="GEF12" s="319"/>
      <c r="GEG12" s="319"/>
      <c r="GEH12" s="319"/>
      <c r="GEI12" s="319"/>
      <c r="GEJ12" s="319"/>
      <c r="GEK12" s="319"/>
      <c r="GEL12" s="319"/>
      <c r="GEM12" s="319"/>
      <c r="GEN12" s="319"/>
      <c r="GEO12" s="319"/>
      <c r="GEP12" s="319"/>
      <c r="GEQ12" s="319"/>
      <c r="GER12" s="319"/>
      <c r="GES12" s="319"/>
      <c r="GET12" s="319"/>
      <c r="GEU12" s="319"/>
      <c r="GEV12" s="319"/>
      <c r="GEW12" s="319"/>
      <c r="GEX12" s="319"/>
      <c r="GEY12" s="319"/>
      <c r="GEZ12" s="319"/>
      <c r="GFA12" s="319"/>
      <c r="GFB12" s="319"/>
      <c r="GFC12" s="319"/>
      <c r="GFD12" s="319"/>
      <c r="GFE12" s="319"/>
      <c r="GFF12" s="319"/>
      <c r="GFG12" s="319"/>
      <c r="GFH12" s="319"/>
      <c r="GFI12" s="319"/>
      <c r="GFJ12" s="319"/>
      <c r="GFK12" s="319"/>
      <c r="GFL12" s="319"/>
      <c r="GFM12" s="319"/>
      <c r="GFN12" s="319"/>
      <c r="GFO12" s="319"/>
      <c r="GFP12" s="319"/>
      <c r="GFQ12" s="319"/>
      <c r="GFR12" s="319"/>
      <c r="GFS12" s="319"/>
      <c r="GFT12" s="319"/>
      <c r="GFU12" s="319"/>
      <c r="GFV12" s="319"/>
      <c r="GFW12" s="319"/>
      <c r="GFX12" s="319"/>
      <c r="GFY12" s="319"/>
      <c r="GFZ12" s="319"/>
      <c r="GGA12" s="319"/>
      <c r="GGB12" s="319"/>
      <c r="GGC12" s="319"/>
      <c r="GGD12" s="319"/>
      <c r="GGE12" s="319"/>
      <c r="GGF12" s="319"/>
      <c r="GGG12" s="319"/>
      <c r="GGH12" s="319"/>
      <c r="GGI12" s="319"/>
      <c r="GGJ12" s="319"/>
      <c r="GGK12" s="319"/>
      <c r="GGL12" s="319"/>
      <c r="GGM12" s="319"/>
      <c r="GGN12" s="319"/>
      <c r="GGO12" s="319"/>
      <c r="GGP12" s="319"/>
      <c r="GGQ12" s="319"/>
      <c r="GGR12" s="319"/>
      <c r="GGS12" s="319"/>
      <c r="GGT12" s="319"/>
      <c r="GGU12" s="319"/>
      <c r="GGV12" s="319"/>
      <c r="GGW12" s="319"/>
      <c r="GGX12" s="319"/>
      <c r="GGY12" s="319"/>
      <c r="GGZ12" s="319"/>
      <c r="GHA12" s="319"/>
      <c r="GHB12" s="319"/>
      <c r="GHC12" s="319"/>
      <c r="GHD12" s="319"/>
      <c r="GHE12" s="319"/>
      <c r="GHF12" s="319"/>
      <c r="GHG12" s="319"/>
      <c r="GHH12" s="319"/>
      <c r="GHI12" s="319"/>
      <c r="GHJ12" s="319"/>
      <c r="GHK12" s="319"/>
      <c r="GHL12" s="319"/>
      <c r="GHM12" s="319"/>
      <c r="GHN12" s="319"/>
      <c r="GHO12" s="319"/>
      <c r="GHP12" s="319"/>
      <c r="GHQ12" s="319"/>
      <c r="GHR12" s="319"/>
      <c r="GHS12" s="319"/>
      <c r="GHT12" s="319"/>
      <c r="GHU12" s="319"/>
      <c r="GHV12" s="319"/>
      <c r="GHW12" s="319"/>
      <c r="GHX12" s="319"/>
      <c r="GHY12" s="319"/>
      <c r="GHZ12" s="319"/>
      <c r="GIA12" s="319"/>
      <c r="GIB12" s="319"/>
      <c r="GIC12" s="319"/>
      <c r="GID12" s="319"/>
      <c r="GIE12" s="319"/>
      <c r="GIF12" s="319"/>
      <c r="GIG12" s="319"/>
      <c r="GIH12" s="319"/>
      <c r="GII12" s="319"/>
      <c r="GIJ12" s="319"/>
      <c r="GIK12" s="319"/>
      <c r="GIL12" s="319"/>
      <c r="GIM12" s="319"/>
      <c r="GIN12" s="319"/>
      <c r="GIO12" s="319"/>
      <c r="GIP12" s="319"/>
      <c r="GIQ12" s="319"/>
      <c r="GIR12" s="319"/>
      <c r="GIS12" s="319"/>
      <c r="GIT12" s="319"/>
      <c r="GIU12" s="319"/>
      <c r="GIV12" s="319"/>
      <c r="GIW12" s="319"/>
      <c r="GIX12" s="319"/>
      <c r="GIY12" s="319"/>
      <c r="GIZ12" s="319"/>
      <c r="GJA12" s="319"/>
      <c r="GJB12" s="319"/>
      <c r="GJC12" s="319"/>
      <c r="GJD12" s="319"/>
      <c r="GJE12" s="319"/>
      <c r="GJF12" s="319"/>
      <c r="GJG12" s="319"/>
      <c r="GJH12" s="319"/>
      <c r="GJI12" s="319"/>
      <c r="GJJ12" s="319"/>
      <c r="GJK12" s="319"/>
      <c r="GJL12" s="319"/>
      <c r="GJM12" s="319"/>
      <c r="GJN12" s="319"/>
      <c r="GJO12" s="319"/>
      <c r="GJP12" s="319"/>
      <c r="GJQ12" s="319"/>
      <c r="GJR12" s="319"/>
      <c r="GJS12" s="319"/>
      <c r="GJT12" s="319"/>
      <c r="GJU12" s="319"/>
      <c r="GJV12" s="319"/>
      <c r="GJW12" s="319"/>
      <c r="GJX12" s="319"/>
      <c r="GJY12" s="319"/>
      <c r="GJZ12" s="319"/>
      <c r="GKA12" s="319"/>
      <c r="GKB12" s="319"/>
      <c r="GKC12" s="319"/>
      <c r="GKD12" s="319"/>
      <c r="GKE12" s="319"/>
      <c r="GKF12" s="319"/>
      <c r="GKG12" s="319"/>
      <c r="GKH12" s="319"/>
      <c r="GKI12" s="319"/>
      <c r="GKJ12" s="319"/>
      <c r="GKK12" s="319"/>
      <c r="GKL12" s="319"/>
      <c r="GKM12" s="319"/>
      <c r="GKN12" s="319"/>
      <c r="GKO12" s="319"/>
      <c r="GKP12" s="319"/>
      <c r="GKQ12" s="319"/>
      <c r="GKR12" s="319"/>
      <c r="GKS12" s="319"/>
      <c r="GKT12" s="319"/>
      <c r="GKU12" s="319"/>
      <c r="GKV12" s="319"/>
      <c r="GKW12" s="319"/>
      <c r="GKX12" s="319"/>
      <c r="GKY12" s="319"/>
      <c r="GKZ12" s="319"/>
      <c r="GLA12" s="319"/>
      <c r="GLB12" s="319"/>
      <c r="GLC12" s="319"/>
      <c r="GLD12" s="319"/>
      <c r="GLE12" s="319"/>
      <c r="GLF12" s="319"/>
      <c r="GLG12" s="319"/>
      <c r="GLH12" s="319"/>
      <c r="GLI12" s="319"/>
      <c r="GLJ12" s="319"/>
      <c r="GLK12" s="319"/>
      <c r="GLL12" s="319"/>
      <c r="GLM12" s="319"/>
      <c r="GLN12" s="319"/>
      <c r="GLO12" s="319"/>
      <c r="GLP12" s="319"/>
      <c r="GLQ12" s="319"/>
      <c r="GLR12" s="319"/>
      <c r="GLS12" s="319"/>
      <c r="GLT12" s="319"/>
      <c r="GLU12" s="319"/>
      <c r="GLV12" s="319"/>
      <c r="GLW12" s="319"/>
      <c r="GLX12" s="319"/>
      <c r="GLY12" s="319"/>
      <c r="GLZ12" s="319"/>
      <c r="GMA12" s="319"/>
      <c r="GMB12" s="319"/>
      <c r="GMC12" s="319"/>
      <c r="GMD12" s="319"/>
      <c r="GME12" s="319"/>
      <c r="GMF12" s="319"/>
      <c r="GMG12" s="319"/>
      <c r="GMH12" s="319"/>
      <c r="GMI12" s="319"/>
      <c r="GMJ12" s="319"/>
      <c r="GMK12" s="319"/>
      <c r="GML12" s="319"/>
      <c r="GMM12" s="319"/>
      <c r="GMN12" s="319"/>
      <c r="GMO12" s="319"/>
      <c r="GMP12" s="319"/>
      <c r="GMQ12" s="319"/>
      <c r="GMR12" s="319"/>
      <c r="GMS12" s="319"/>
      <c r="GMT12" s="319"/>
      <c r="GMU12" s="319"/>
      <c r="GMV12" s="319"/>
      <c r="GMW12" s="319"/>
      <c r="GMX12" s="319"/>
      <c r="GMY12" s="319"/>
      <c r="GMZ12" s="319"/>
      <c r="GNA12" s="319"/>
      <c r="GNB12" s="319"/>
      <c r="GNC12" s="319"/>
      <c r="GND12" s="319"/>
      <c r="GNE12" s="319"/>
      <c r="GNF12" s="319"/>
      <c r="GNG12" s="319"/>
      <c r="GNH12" s="319"/>
      <c r="GNI12" s="319"/>
      <c r="GNJ12" s="319"/>
      <c r="GNK12" s="319"/>
      <c r="GNL12" s="319"/>
      <c r="GNM12" s="319"/>
      <c r="GNN12" s="319"/>
      <c r="GNO12" s="319"/>
      <c r="GNP12" s="319"/>
      <c r="GNQ12" s="319"/>
      <c r="GNR12" s="319"/>
      <c r="GNS12" s="319"/>
      <c r="GNT12" s="319"/>
      <c r="GNU12" s="319"/>
      <c r="GNV12" s="319"/>
      <c r="GNW12" s="319"/>
      <c r="GNX12" s="319"/>
      <c r="GNY12" s="319"/>
      <c r="GNZ12" s="319"/>
      <c r="GOA12" s="319"/>
      <c r="GOB12" s="319"/>
      <c r="GOC12" s="319"/>
      <c r="GOD12" s="319"/>
      <c r="GOE12" s="319"/>
      <c r="GOF12" s="319"/>
      <c r="GOG12" s="319"/>
      <c r="GOH12" s="319"/>
      <c r="GOI12" s="319"/>
      <c r="GOJ12" s="319"/>
      <c r="GOK12" s="319"/>
      <c r="GOL12" s="319"/>
      <c r="GOM12" s="319"/>
      <c r="GON12" s="319"/>
      <c r="GOO12" s="319"/>
      <c r="GOP12" s="319"/>
      <c r="GOQ12" s="319"/>
      <c r="GOR12" s="319"/>
      <c r="GOS12" s="319"/>
      <c r="GOT12" s="319"/>
      <c r="GOU12" s="319"/>
      <c r="GOV12" s="319"/>
      <c r="GOW12" s="319"/>
      <c r="GOX12" s="319"/>
      <c r="GOY12" s="319"/>
      <c r="GOZ12" s="319"/>
      <c r="GPA12" s="319"/>
      <c r="GPB12" s="319"/>
      <c r="GPC12" s="319"/>
      <c r="GPD12" s="319"/>
      <c r="GPE12" s="319"/>
      <c r="GPF12" s="319"/>
      <c r="GPG12" s="319"/>
      <c r="GPH12" s="319"/>
      <c r="GPI12" s="319"/>
      <c r="GPJ12" s="319"/>
      <c r="GPK12" s="319"/>
      <c r="GPL12" s="319"/>
      <c r="GPM12" s="319"/>
      <c r="GPN12" s="319"/>
      <c r="GPO12" s="319"/>
      <c r="GPP12" s="319"/>
      <c r="GPQ12" s="319"/>
      <c r="GPR12" s="319"/>
      <c r="GPS12" s="319"/>
      <c r="GPT12" s="319"/>
      <c r="GPU12" s="319"/>
      <c r="GPV12" s="319"/>
      <c r="GPW12" s="319"/>
      <c r="GPX12" s="319"/>
      <c r="GPY12" s="319"/>
      <c r="GPZ12" s="319"/>
      <c r="GQA12" s="319"/>
      <c r="GQB12" s="319"/>
      <c r="GQC12" s="319"/>
      <c r="GQD12" s="319"/>
      <c r="GQE12" s="319"/>
      <c r="GQF12" s="319"/>
      <c r="GQG12" s="319"/>
      <c r="GQH12" s="319"/>
      <c r="GQI12" s="319"/>
      <c r="GQJ12" s="319"/>
      <c r="GQK12" s="319"/>
      <c r="GQL12" s="319"/>
      <c r="GQM12" s="319"/>
      <c r="GQN12" s="319"/>
      <c r="GQO12" s="319"/>
      <c r="GQP12" s="319"/>
      <c r="GQQ12" s="319"/>
      <c r="GQR12" s="319"/>
      <c r="GQS12" s="319"/>
      <c r="GQT12" s="319"/>
      <c r="GQU12" s="319"/>
      <c r="GQV12" s="319"/>
      <c r="GQW12" s="319"/>
      <c r="GQX12" s="319"/>
      <c r="GQY12" s="319"/>
      <c r="GQZ12" s="319"/>
      <c r="GRA12" s="319"/>
      <c r="GRB12" s="319"/>
      <c r="GRC12" s="319"/>
      <c r="GRD12" s="319"/>
      <c r="GRE12" s="319"/>
      <c r="GRF12" s="319"/>
      <c r="GRG12" s="319"/>
      <c r="GRH12" s="319"/>
      <c r="GRI12" s="319"/>
      <c r="GRJ12" s="319"/>
      <c r="GRK12" s="319"/>
      <c r="GRL12" s="319"/>
      <c r="GRM12" s="319"/>
      <c r="GRN12" s="319"/>
      <c r="GRO12" s="319"/>
      <c r="GRP12" s="319"/>
      <c r="GRQ12" s="319"/>
      <c r="GRR12" s="319"/>
      <c r="GRS12" s="319"/>
      <c r="GRT12" s="319"/>
      <c r="GRU12" s="319"/>
      <c r="GRV12" s="319"/>
      <c r="GRW12" s="319"/>
      <c r="GRX12" s="319"/>
      <c r="GRY12" s="319"/>
      <c r="GRZ12" s="319"/>
      <c r="GSA12" s="319"/>
      <c r="GSB12" s="319"/>
      <c r="GSC12" s="319"/>
      <c r="GSD12" s="319"/>
      <c r="GSE12" s="319"/>
      <c r="GSF12" s="319"/>
      <c r="GSG12" s="319"/>
      <c r="GSH12" s="319"/>
      <c r="GSI12" s="319"/>
      <c r="GSJ12" s="319"/>
      <c r="GSK12" s="319"/>
      <c r="GSL12" s="319"/>
      <c r="GSM12" s="319"/>
      <c r="GSN12" s="319"/>
      <c r="GSO12" s="319"/>
      <c r="GSP12" s="319"/>
      <c r="GSQ12" s="319"/>
      <c r="GSR12" s="319"/>
      <c r="GSS12" s="319"/>
      <c r="GST12" s="319"/>
      <c r="GSU12" s="319"/>
      <c r="GSV12" s="319"/>
      <c r="GSW12" s="319"/>
      <c r="GSX12" s="319"/>
      <c r="GSY12" s="319"/>
      <c r="GSZ12" s="319"/>
      <c r="GTA12" s="319"/>
      <c r="GTB12" s="319"/>
      <c r="GTC12" s="319"/>
      <c r="GTD12" s="319"/>
      <c r="GTE12" s="319"/>
      <c r="GTF12" s="319"/>
      <c r="GTG12" s="319"/>
      <c r="GTH12" s="319"/>
      <c r="GTI12" s="319"/>
      <c r="GTJ12" s="319"/>
      <c r="GTK12" s="319"/>
      <c r="GTL12" s="319"/>
      <c r="GTM12" s="319"/>
      <c r="GTN12" s="319"/>
      <c r="GTO12" s="319"/>
      <c r="GTP12" s="319"/>
      <c r="GTQ12" s="319"/>
      <c r="GTR12" s="319"/>
      <c r="GTS12" s="319"/>
      <c r="GTT12" s="319"/>
      <c r="GTU12" s="319"/>
      <c r="GTV12" s="319"/>
      <c r="GTW12" s="319"/>
      <c r="GTX12" s="319"/>
      <c r="GTY12" s="319"/>
      <c r="GTZ12" s="319"/>
      <c r="GUA12" s="319"/>
      <c r="GUB12" s="319"/>
      <c r="GUC12" s="319"/>
      <c r="GUD12" s="319"/>
      <c r="GUE12" s="319"/>
      <c r="GUF12" s="319"/>
      <c r="GUG12" s="319"/>
      <c r="GUH12" s="319"/>
      <c r="GUI12" s="319"/>
      <c r="GUJ12" s="319"/>
      <c r="GUK12" s="319"/>
      <c r="GUL12" s="319"/>
      <c r="GUM12" s="319"/>
      <c r="GUN12" s="319"/>
      <c r="GUO12" s="319"/>
      <c r="GUP12" s="319"/>
      <c r="GUQ12" s="319"/>
      <c r="GUR12" s="319"/>
      <c r="GUS12" s="319"/>
      <c r="GUT12" s="319"/>
      <c r="GUU12" s="319"/>
      <c r="GUV12" s="319"/>
      <c r="GUW12" s="319"/>
      <c r="GUX12" s="319"/>
      <c r="GUY12" s="319"/>
      <c r="GUZ12" s="319"/>
      <c r="GVA12" s="319"/>
      <c r="GVB12" s="319"/>
      <c r="GVC12" s="319"/>
      <c r="GVD12" s="319"/>
      <c r="GVE12" s="319"/>
      <c r="GVF12" s="319"/>
      <c r="GVG12" s="319"/>
      <c r="GVH12" s="319"/>
      <c r="GVI12" s="319"/>
      <c r="GVJ12" s="319"/>
      <c r="GVK12" s="319"/>
      <c r="GVL12" s="319"/>
      <c r="GVM12" s="319"/>
      <c r="GVN12" s="319"/>
      <c r="GVO12" s="319"/>
      <c r="GVP12" s="319"/>
      <c r="GVQ12" s="319"/>
      <c r="GVR12" s="319"/>
      <c r="GVS12" s="319"/>
      <c r="GVT12" s="319"/>
      <c r="GVU12" s="319"/>
      <c r="GVV12" s="319"/>
      <c r="GVW12" s="319"/>
      <c r="GVX12" s="319"/>
      <c r="GVY12" s="319"/>
      <c r="GVZ12" s="319"/>
      <c r="GWA12" s="319"/>
      <c r="GWB12" s="319"/>
      <c r="GWC12" s="319"/>
      <c r="GWD12" s="319"/>
      <c r="GWE12" s="319"/>
      <c r="GWF12" s="319"/>
      <c r="GWG12" s="319"/>
      <c r="GWH12" s="319"/>
      <c r="GWI12" s="319"/>
      <c r="GWJ12" s="319"/>
      <c r="GWK12" s="319"/>
      <c r="GWL12" s="319"/>
      <c r="GWM12" s="319"/>
      <c r="GWN12" s="319"/>
      <c r="GWO12" s="319"/>
      <c r="GWP12" s="319"/>
      <c r="GWQ12" s="319"/>
      <c r="GWR12" s="319"/>
      <c r="GWS12" s="319"/>
      <c r="GWT12" s="319"/>
      <c r="GWU12" s="319"/>
      <c r="GWV12" s="319"/>
      <c r="GWW12" s="319"/>
      <c r="GWX12" s="319"/>
      <c r="GWY12" s="319"/>
      <c r="GWZ12" s="319"/>
      <c r="GXA12" s="319"/>
      <c r="GXB12" s="319"/>
      <c r="GXC12" s="319"/>
      <c r="GXD12" s="319"/>
      <c r="GXE12" s="319"/>
      <c r="GXF12" s="319"/>
      <c r="GXG12" s="319"/>
      <c r="GXH12" s="319"/>
      <c r="GXI12" s="319"/>
      <c r="GXJ12" s="319"/>
      <c r="GXK12" s="319"/>
      <c r="GXL12" s="319"/>
      <c r="GXM12" s="319"/>
      <c r="GXN12" s="319"/>
      <c r="GXO12" s="319"/>
      <c r="GXP12" s="319"/>
      <c r="GXQ12" s="319"/>
      <c r="GXR12" s="319"/>
      <c r="GXS12" s="319"/>
      <c r="GXT12" s="319"/>
      <c r="GXU12" s="319"/>
      <c r="GXV12" s="319"/>
      <c r="GXW12" s="319"/>
      <c r="GXX12" s="319"/>
      <c r="GXY12" s="319"/>
      <c r="GXZ12" s="319"/>
      <c r="GYA12" s="319"/>
      <c r="GYB12" s="319"/>
      <c r="GYC12" s="319"/>
      <c r="GYD12" s="319"/>
      <c r="GYE12" s="319"/>
      <c r="GYF12" s="319"/>
      <c r="GYG12" s="319"/>
      <c r="GYH12" s="319"/>
      <c r="GYI12" s="319"/>
      <c r="GYJ12" s="319"/>
      <c r="GYK12" s="319"/>
      <c r="GYL12" s="319"/>
      <c r="GYM12" s="319"/>
      <c r="GYN12" s="319"/>
      <c r="GYO12" s="319"/>
      <c r="GYP12" s="319"/>
      <c r="GYQ12" s="319"/>
      <c r="GYR12" s="319"/>
      <c r="GYS12" s="319"/>
      <c r="GYT12" s="319"/>
      <c r="GYU12" s="319"/>
      <c r="GYV12" s="319"/>
      <c r="GYW12" s="319"/>
      <c r="GYX12" s="319"/>
      <c r="GYY12" s="319"/>
      <c r="GYZ12" s="319"/>
      <c r="GZA12" s="319"/>
      <c r="GZB12" s="319"/>
      <c r="GZC12" s="319"/>
      <c r="GZD12" s="319"/>
      <c r="GZE12" s="319"/>
      <c r="GZF12" s="319"/>
      <c r="GZG12" s="319"/>
      <c r="GZH12" s="319"/>
      <c r="GZI12" s="319"/>
      <c r="GZJ12" s="319"/>
      <c r="GZK12" s="319"/>
      <c r="GZL12" s="319"/>
      <c r="GZM12" s="319"/>
      <c r="GZN12" s="319"/>
      <c r="GZO12" s="319"/>
      <c r="GZP12" s="319"/>
      <c r="GZQ12" s="319"/>
      <c r="GZR12" s="319"/>
      <c r="GZS12" s="319"/>
      <c r="GZT12" s="319"/>
      <c r="GZU12" s="319"/>
      <c r="GZV12" s="319"/>
      <c r="GZW12" s="319"/>
      <c r="GZX12" s="319"/>
      <c r="GZY12" s="319"/>
      <c r="GZZ12" s="319"/>
      <c r="HAA12" s="319"/>
      <c r="HAB12" s="319"/>
      <c r="HAC12" s="319"/>
      <c r="HAD12" s="319"/>
      <c r="HAE12" s="319"/>
      <c r="HAF12" s="319"/>
      <c r="HAG12" s="319"/>
      <c r="HAH12" s="319"/>
      <c r="HAI12" s="319"/>
      <c r="HAJ12" s="319"/>
      <c r="HAK12" s="319"/>
      <c r="HAL12" s="319"/>
      <c r="HAM12" s="319"/>
      <c r="HAN12" s="319"/>
      <c r="HAO12" s="319"/>
      <c r="HAP12" s="319"/>
      <c r="HAQ12" s="319"/>
      <c r="HAR12" s="319"/>
      <c r="HAS12" s="319"/>
      <c r="HAT12" s="319"/>
      <c r="HAU12" s="319"/>
      <c r="HAV12" s="319"/>
      <c r="HAW12" s="319"/>
      <c r="HAX12" s="319"/>
      <c r="HAY12" s="319"/>
      <c r="HAZ12" s="319"/>
      <c r="HBA12" s="319"/>
      <c r="HBB12" s="319"/>
      <c r="HBC12" s="319"/>
      <c r="HBD12" s="319"/>
      <c r="HBE12" s="319"/>
      <c r="HBF12" s="319"/>
      <c r="HBG12" s="319"/>
      <c r="HBH12" s="319"/>
      <c r="HBI12" s="319"/>
      <c r="HBJ12" s="319"/>
      <c r="HBK12" s="319"/>
      <c r="HBL12" s="319"/>
      <c r="HBM12" s="319"/>
      <c r="HBN12" s="319"/>
      <c r="HBO12" s="319"/>
      <c r="HBP12" s="319"/>
      <c r="HBQ12" s="319"/>
      <c r="HBR12" s="319"/>
      <c r="HBS12" s="319"/>
      <c r="HBT12" s="319"/>
      <c r="HBU12" s="319"/>
      <c r="HBV12" s="319"/>
      <c r="HBW12" s="319"/>
      <c r="HBX12" s="319"/>
      <c r="HBY12" s="319"/>
      <c r="HBZ12" s="319"/>
      <c r="HCA12" s="319"/>
      <c r="HCB12" s="319"/>
      <c r="HCC12" s="319"/>
      <c r="HCD12" s="319"/>
      <c r="HCE12" s="319"/>
      <c r="HCF12" s="319"/>
      <c r="HCG12" s="319"/>
      <c r="HCH12" s="319"/>
      <c r="HCI12" s="319"/>
      <c r="HCJ12" s="319"/>
      <c r="HCK12" s="319"/>
      <c r="HCL12" s="319"/>
      <c r="HCM12" s="319"/>
      <c r="HCN12" s="319"/>
      <c r="HCO12" s="319"/>
      <c r="HCP12" s="319"/>
      <c r="HCQ12" s="319"/>
      <c r="HCR12" s="319"/>
      <c r="HCS12" s="319"/>
      <c r="HCT12" s="319"/>
      <c r="HCU12" s="319"/>
      <c r="HCV12" s="319"/>
      <c r="HCW12" s="319"/>
      <c r="HCX12" s="319"/>
      <c r="HCY12" s="319"/>
      <c r="HCZ12" s="319"/>
      <c r="HDA12" s="319"/>
      <c r="HDB12" s="319"/>
      <c r="HDC12" s="319"/>
      <c r="HDD12" s="319"/>
      <c r="HDE12" s="319"/>
      <c r="HDF12" s="319"/>
      <c r="HDG12" s="319"/>
      <c r="HDH12" s="319"/>
      <c r="HDI12" s="319"/>
      <c r="HDJ12" s="319"/>
      <c r="HDK12" s="319"/>
      <c r="HDL12" s="319"/>
      <c r="HDM12" s="319"/>
      <c r="HDN12" s="319"/>
      <c r="HDO12" s="319"/>
      <c r="HDP12" s="319"/>
      <c r="HDQ12" s="319"/>
      <c r="HDR12" s="319"/>
      <c r="HDS12" s="319"/>
      <c r="HDT12" s="319"/>
      <c r="HDU12" s="319"/>
      <c r="HDV12" s="319"/>
      <c r="HDW12" s="319"/>
      <c r="HDX12" s="319"/>
      <c r="HDY12" s="319"/>
      <c r="HDZ12" s="319"/>
      <c r="HEA12" s="319"/>
      <c r="HEB12" s="319"/>
      <c r="HEC12" s="319"/>
      <c r="HED12" s="319"/>
      <c r="HEE12" s="319"/>
      <c r="HEF12" s="319"/>
      <c r="HEG12" s="319"/>
      <c r="HEH12" s="319"/>
      <c r="HEI12" s="319"/>
      <c r="HEJ12" s="319"/>
      <c r="HEK12" s="319"/>
      <c r="HEL12" s="319"/>
      <c r="HEM12" s="319"/>
      <c r="HEN12" s="319"/>
      <c r="HEO12" s="319"/>
      <c r="HEP12" s="319"/>
      <c r="HEQ12" s="319"/>
      <c r="HER12" s="319"/>
      <c r="HES12" s="319"/>
      <c r="HET12" s="319"/>
      <c r="HEU12" s="319"/>
      <c r="HEV12" s="319"/>
      <c r="HEW12" s="319"/>
      <c r="HEX12" s="319"/>
      <c r="HEY12" s="319"/>
      <c r="HEZ12" s="319"/>
      <c r="HFA12" s="319"/>
      <c r="HFB12" s="319"/>
      <c r="HFC12" s="319"/>
      <c r="HFD12" s="319"/>
      <c r="HFE12" s="319"/>
      <c r="HFF12" s="319"/>
      <c r="HFG12" s="319"/>
      <c r="HFH12" s="319"/>
      <c r="HFI12" s="319"/>
      <c r="HFJ12" s="319"/>
      <c r="HFK12" s="319"/>
      <c r="HFL12" s="319"/>
      <c r="HFM12" s="319"/>
      <c r="HFN12" s="319"/>
      <c r="HFO12" s="319"/>
      <c r="HFP12" s="319"/>
      <c r="HFQ12" s="319"/>
      <c r="HFR12" s="319"/>
      <c r="HFS12" s="319"/>
      <c r="HFT12" s="319"/>
      <c r="HFU12" s="319"/>
      <c r="HFV12" s="319"/>
      <c r="HFW12" s="319"/>
      <c r="HFX12" s="319"/>
      <c r="HFY12" s="319"/>
      <c r="HFZ12" s="319"/>
      <c r="HGA12" s="319"/>
      <c r="HGB12" s="319"/>
      <c r="HGC12" s="319"/>
      <c r="HGD12" s="319"/>
      <c r="HGE12" s="319"/>
      <c r="HGF12" s="319"/>
      <c r="HGG12" s="319"/>
      <c r="HGH12" s="319"/>
      <c r="HGI12" s="319"/>
      <c r="HGJ12" s="319"/>
      <c r="HGK12" s="319"/>
      <c r="HGL12" s="319"/>
      <c r="HGM12" s="319"/>
      <c r="HGN12" s="319"/>
      <c r="HGO12" s="319"/>
      <c r="HGP12" s="319"/>
      <c r="HGQ12" s="319"/>
      <c r="HGR12" s="319"/>
      <c r="HGS12" s="319"/>
      <c r="HGT12" s="319"/>
      <c r="HGU12" s="319"/>
      <c r="HGV12" s="319"/>
      <c r="HGW12" s="319"/>
      <c r="HGX12" s="319"/>
      <c r="HGY12" s="319"/>
      <c r="HGZ12" s="319"/>
      <c r="HHA12" s="319"/>
      <c r="HHB12" s="319"/>
      <c r="HHC12" s="319"/>
      <c r="HHD12" s="319"/>
      <c r="HHE12" s="319"/>
      <c r="HHF12" s="319"/>
      <c r="HHG12" s="319"/>
      <c r="HHH12" s="319"/>
      <c r="HHI12" s="319"/>
      <c r="HHJ12" s="319"/>
      <c r="HHK12" s="319"/>
      <c r="HHL12" s="319"/>
      <c r="HHM12" s="319"/>
      <c r="HHN12" s="319"/>
      <c r="HHO12" s="319"/>
      <c r="HHP12" s="319"/>
      <c r="HHQ12" s="319"/>
      <c r="HHR12" s="319"/>
      <c r="HHS12" s="319"/>
      <c r="HHT12" s="319"/>
      <c r="HHU12" s="319"/>
      <c r="HHV12" s="319"/>
      <c r="HHW12" s="319"/>
      <c r="HHX12" s="319"/>
      <c r="HHY12" s="319"/>
      <c r="HHZ12" s="319"/>
      <c r="HIA12" s="319"/>
      <c r="HIB12" s="319"/>
      <c r="HIC12" s="319"/>
      <c r="HID12" s="319"/>
      <c r="HIE12" s="319"/>
      <c r="HIF12" s="319"/>
      <c r="HIG12" s="319"/>
      <c r="HIH12" s="319"/>
      <c r="HII12" s="319"/>
      <c r="HIJ12" s="319"/>
      <c r="HIK12" s="319"/>
      <c r="HIL12" s="319"/>
      <c r="HIM12" s="319"/>
      <c r="HIN12" s="319"/>
      <c r="HIO12" s="319"/>
      <c r="HIP12" s="319"/>
      <c r="HIQ12" s="319"/>
      <c r="HIR12" s="319"/>
      <c r="HIS12" s="319"/>
      <c r="HIT12" s="319"/>
      <c r="HIU12" s="319"/>
      <c r="HIV12" s="319"/>
      <c r="HIW12" s="319"/>
      <c r="HIX12" s="319"/>
      <c r="HIY12" s="319"/>
      <c r="HIZ12" s="319"/>
      <c r="HJA12" s="319"/>
      <c r="HJB12" s="319"/>
      <c r="HJC12" s="319"/>
      <c r="HJD12" s="319"/>
      <c r="HJE12" s="319"/>
      <c r="HJF12" s="319"/>
      <c r="HJG12" s="319"/>
      <c r="HJH12" s="319"/>
      <c r="HJI12" s="319"/>
      <c r="HJJ12" s="319"/>
      <c r="HJK12" s="319"/>
      <c r="HJL12" s="319"/>
      <c r="HJM12" s="319"/>
      <c r="HJN12" s="319"/>
      <c r="HJO12" s="319"/>
      <c r="HJP12" s="319"/>
      <c r="HJQ12" s="319"/>
      <c r="HJR12" s="319"/>
      <c r="HJS12" s="319"/>
      <c r="HJT12" s="319"/>
      <c r="HJU12" s="319"/>
      <c r="HJV12" s="319"/>
      <c r="HJW12" s="319"/>
      <c r="HJX12" s="319"/>
      <c r="HJY12" s="319"/>
      <c r="HJZ12" s="319"/>
      <c r="HKA12" s="319"/>
      <c r="HKB12" s="319"/>
      <c r="HKC12" s="319"/>
      <c r="HKD12" s="319"/>
      <c r="HKE12" s="319"/>
      <c r="HKF12" s="319"/>
      <c r="HKG12" s="319"/>
      <c r="HKH12" s="319"/>
      <c r="HKI12" s="319"/>
      <c r="HKJ12" s="319"/>
      <c r="HKK12" s="319"/>
      <c r="HKL12" s="319"/>
      <c r="HKM12" s="319"/>
      <c r="HKN12" s="319"/>
      <c r="HKO12" s="319"/>
      <c r="HKP12" s="319"/>
      <c r="HKQ12" s="319"/>
      <c r="HKR12" s="319"/>
      <c r="HKS12" s="319"/>
      <c r="HKT12" s="319"/>
      <c r="HKU12" s="319"/>
      <c r="HKV12" s="319"/>
      <c r="HKW12" s="319"/>
      <c r="HKX12" s="319"/>
      <c r="HKY12" s="319"/>
      <c r="HKZ12" s="319"/>
      <c r="HLA12" s="319"/>
      <c r="HLB12" s="319"/>
      <c r="HLC12" s="319"/>
      <c r="HLD12" s="319"/>
      <c r="HLE12" s="319"/>
      <c r="HLF12" s="319"/>
      <c r="HLG12" s="319"/>
      <c r="HLH12" s="319"/>
      <c r="HLI12" s="319"/>
      <c r="HLJ12" s="319"/>
      <c r="HLK12" s="319"/>
      <c r="HLL12" s="319"/>
      <c r="HLM12" s="319"/>
      <c r="HLN12" s="319"/>
      <c r="HLO12" s="319"/>
      <c r="HLP12" s="319"/>
      <c r="HLQ12" s="319"/>
      <c r="HLR12" s="319"/>
      <c r="HLS12" s="319"/>
      <c r="HLT12" s="319"/>
      <c r="HLU12" s="319"/>
      <c r="HLV12" s="319"/>
      <c r="HLW12" s="319"/>
      <c r="HLX12" s="319"/>
      <c r="HLY12" s="319"/>
      <c r="HLZ12" s="319"/>
      <c r="HMA12" s="319"/>
      <c r="HMB12" s="319"/>
      <c r="HMC12" s="319"/>
      <c r="HMD12" s="319"/>
      <c r="HME12" s="319"/>
      <c r="HMF12" s="319"/>
      <c r="HMG12" s="319"/>
      <c r="HMH12" s="319"/>
      <c r="HMI12" s="319"/>
      <c r="HMJ12" s="319"/>
      <c r="HMK12" s="319"/>
      <c r="HML12" s="319"/>
      <c r="HMM12" s="319"/>
      <c r="HMN12" s="319"/>
      <c r="HMO12" s="319"/>
      <c r="HMP12" s="319"/>
      <c r="HMQ12" s="319"/>
      <c r="HMR12" s="319"/>
      <c r="HMS12" s="319"/>
      <c r="HMT12" s="319"/>
      <c r="HMU12" s="319"/>
      <c r="HMV12" s="319"/>
      <c r="HMW12" s="319"/>
      <c r="HMX12" s="319"/>
      <c r="HMY12" s="319"/>
      <c r="HMZ12" s="319"/>
      <c r="HNA12" s="319"/>
      <c r="HNB12" s="319"/>
      <c r="HNC12" s="319"/>
      <c r="HND12" s="319"/>
      <c r="HNE12" s="319"/>
      <c r="HNF12" s="319"/>
      <c r="HNG12" s="319"/>
      <c r="HNH12" s="319"/>
      <c r="HNI12" s="319"/>
      <c r="HNJ12" s="319"/>
      <c r="HNK12" s="319"/>
      <c r="HNL12" s="319"/>
      <c r="HNM12" s="319"/>
      <c r="HNN12" s="319"/>
      <c r="HNO12" s="319"/>
      <c r="HNP12" s="319"/>
      <c r="HNQ12" s="319"/>
      <c r="HNR12" s="319"/>
      <c r="HNS12" s="319"/>
      <c r="HNT12" s="319"/>
      <c r="HNU12" s="319"/>
      <c r="HNV12" s="319"/>
      <c r="HNW12" s="319"/>
      <c r="HNX12" s="319"/>
      <c r="HNY12" s="319"/>
      <c r="HNZ12" s="319"/>
      <c r="HOA12" s="319"/>
      <c r="HOB12" s="319"/>
      <c r="HOC12" s="319"/>
      <c r="HOD12" s="319"/>
      <c r="HOE12" s="319"/>
      <c r="HOF12" s="319"/>
      <c r="HOG12" s="319"/>
      <c r="HOH12" s="319"/>
      <c r="HOI12" s="319"/>
      <c r="HOJ12" s="319"/>
      <c r="HOK12" s="319"/>
      <c r="HOL12" s="319"/>
      <c r="HOM12" s="319"/>
      <c r="HON12" s="319"/>
      <c r="HOO12" s="319"/>
      <c r="HOP12" s="319"/>
      <c r="HOQ12" s="319"/>
      <c r="HOR12" s="319"/>
      <c r="HOS12" s="319"/>
      <c r="HOT12" s="319"/>
      <c r="HOU12" s="319"/>
      <c r="HOV12" s="319"/>
      <c r="HOW12" s="319"/>
      <c r="HOX12" s="319"/>
      <c r="HOY12" s="319"/>
      <c r="HOZ12" s="319"/>
      <c r="HPA12" s="319"/>
      <c r="HPB12" s="319"/>
      <c r="HPC12" s="319"/>
      <c r="HPD12" s="319"/>
      <c r="HPE12" s="319"/>
      <c r="HPF12" s="319"/>
      <c r="HPG12" s="319"/>
      <c r="HPH12" s="319"/>
      <c r="HPI12" s="319"/>
      <c r="HPJ12" s="319"/>
      <c r="HPK12" s="319"/>
      <c r="HPL12" s="319"/>
      <c r="HPM12" s="319"/>
      <c r="HPN12" s="319"/>
      <c r="HPO12" s="319"/>
      <c r="HPP12" s="319"/>
      <c r="HPQ12" s="319"/>
      <c r="HPR12" s="319"/>
      <c r="HPS12" s="319"/>
      <c r="HPT12" s="319"/>
      <c r="HPU12" s="319"/>
      <c r="HPV12" s="319"/>
      <c r="HPW12" s="319"/>
      <c r="HPX12" s="319"/>
      <c r="HPY12" s="319"/>
      <c r="HPZ12" s="319"/>
      <c r="HQA12" s="319"/>
      <c r="HQB12" s="319"/>
      <c r="HQC12" s="319"/>
      <c r="HQD12" s="319"/>
      <c r="HQE12" s="319"/>
      <c r="HQF12" s="319"/>
      <c r="HQG12" s="319"/>
      <c r="HQH12" s="319"/>
      <c r="HQI12" s="319"/>
      <c r="HQJ12" s="319"/>
      <c r="HQK12" s="319"/>
      <c r="HQL12" s="319"/>
      <c r="HQM12" s="319"/>
      <c r="HQN12" s="319"/>
      <c r="HQO12" s="319"/>
      <c r="HQP12" s="319"/>
      <c r="HQQ12" s="319"/>
      <c r="HQR12" s="319"/>
      <c r="HQS12" s="319"/>
      <c r="HQT12" s="319"/>
      <c r="HQU12" s="319"/>
      <c r="HQV12" s="319"/>
      <c r="HQW12" s="319"/>
      <c r="HQX12" s="319"/>
      <c r="HQY12" s="319"/>
      <c r="HQZ12" s="319"/>
      <c r="HRA12" s="319"/>
      <c r="HRB12" s="319"/>
      <c r="HRC12" s="319"/>
      <c r="HRD12" s="319"/>
      <c r="HRE12" s="319"/>
      <c r="HRF12" s="319"/>
      <c r="HRG12" s="319"/>
      <c r="HRH12" s="319"/>
      <c r="HRI12" s="319"/>
      <c r="HRJ12" s="319"/>
      <c r="HRK12" s="319"/>
      <c r="HRL12" s="319"/>
      <c r="HRM12" s="319"/>
      <c r="HRN12" s="319"/>
      <c r="HRO12" s="319"/>
      <c r="HRP12" s="319"/>
      <c r="HRQ12" s="319"/>
      <c r="HRR12" s="319"/>
      <c r="HRS12" s="319"/>
      <c r="HRT12" s="319"/>
      <c r="HRU12" s="319"/>
      <c r="HRV12" s="319"/>
      <c r="HRW12" s="319"/>
      <c r="HRX12" s="319"/>
      <c r="HRY12" s="319"/>
      <c r="HRZ12" s="319"/>
      <c r="HSA12" s="319"/>
      <c r="HSB12" s="319"/>
      <c r="HSC12" s="319"/>
      <c r="HSD12" s="319"/>
      <c r="HSE12" s="319"/>
      <c r="HSF12" s="319"/>
      <c r="HSG12" s="319"/>
      <c r="HSH12" s="319"/>
      <c r="HSI12" s="319"/>
      <c r="HSJ12" s="319"/>
      <c r="HSK12" s="319"/>
      <c r="HSL12" s="319"/>
      <c r="HSM12" s="319"/>
      <c r="HSN12" s="319"/>
      <c r="HSO12" s="319"/>
      <c r="HSP12" s="319"/>
      <c r="HSQ12" s="319"/>
      <c r="HSR12" s="319"/>
      <c r="HSS12" s="319"/>
      <c r="HST12" s="319"/>
      <c r="HSU12" s="319"/>
      <c r="HSV12" s="319"/>
      <c r="HSW12" s="319"/>
      <c r="HSX12" s="319"/>
      <c r="HSY12" s="319"/>
      <c r="HSZ12" s="319"/>
      <c r="HTA12" s="319"/>
      <c r="HTB12" s="319"/>
      <c r="HTC12" s="319"/>
      <c r="HTD12" s="319"/>
      <c r="HTE12" s="319"/>
      <c r="HTF12" s="319"/>
      <c r="HTG12" s="319"/>
      <c r="HTH12" s="319"/>
      <c r="HTI12" s="319"/>
      <c r="HTJ12" s="319"/>
      <c r="HTK12" s="319"/>
      <c r="HTL12" s="319"/>
      <c r="HTM12" s="319"/>
      <c r="HTN12" s="319"/>
      <c r="HTO12" s="319"/>
      <c r="HTP12" s="319"/>
      <c r="HTQ12" s="319"/>
      <c r="HTR12" s="319"/>
      <c r="HTS12" s="319"/>
      <c r="HTT12" s="319"/>
      <c r="HTU12" s="319"/>
      <c r="HTV12" s="319"/>
      <c r="HTW12" s="319"/>
      <c r="HTX12" s="319"/>
      <c r="HTY12" s="319"/>
      <c r="HTZ12" s="319"/>
      <c r="HUA12" s="319"/>
      <c r="HUB12" s="319"/>
      <c r="HUC12" s="319"/>
      <c r="HUD12" s="319"/>
      <c r="HUE12" s="319"/>
      <c r="HUF12" s="319"/>
      <c r="HUG12" s="319"/>
      <c r="HUH12" s="319"/>
      <c r="HUI12" s="319"/>
      <c r="HUJ12" s="319"/>
      <c r="HUK12" s="319"/>
      <c r="HUL12" s="319"/>
      <c r="HUM12" s="319"/>
      <c r="HUN12" s="319"/>
      <c r="HUO12" s="319"/>
      <c r="HUP12" s="319"/>
      <c r="HUQ12" s="319"/>
      <c r="HUR12" s="319"/>
      <c r="HUS12" s="319"/>
      <c r="HUT12" s="319"/>
      <c r="HUU12" s="319"/>
      <c r="HUV12" s="319"/>
      <c r="HUW12" s="319"/>
      <c r="HUX12" s="319"/>
      <c r="HUY12" s="319"/>
      <c r="HUZ12" s="319"/>
      <c r="HVA12" s="319"/>
      <c r="HVB12" s="319"/>
      <c r="HVC12" s="319"/>
      <c r="HVD12" s="319"/>
      <c r="HVE12" s="319"/>
      <c r="HVF12" s="319"/>
      <c r="HVG12" s="319"/>
      <c r="HVH12" s="319"/>
      <c r="HVI12" s="319"/>
      <c r="HVJ12" s="319"/>
      <c r="HVK12" s="319"/>
      <c r="HVL12" s="319"/>
      <c r="HVM12" s="319"/>
      <c r="HVN12" s="319"/>
      <c r="HVO12" s="319"/>
      <c r="HVP12" s="319"/>
      <c r="HVQ12" s="319"/>
      <c r="HVR12" s="319"/>
      <c r="HVS12" s="319"/>
      <c r="HVT12" s="319"/>
      <c r="HVU12" s="319"/>
      <c r="HVV12" s="319"/>
      <c r="HVW12" s="319"/>
      <c r="HVX12" s="319"/>
      <c r="HVY12" s="319"/>
      <c r="HVZ12" s="319"/>
      <c r="HWA12" s="319"/>
      <c r="HWB12" s="319"/>
      <c r="HWC12" s="319"/>
      <c r="HWD12" s="319"/>
      <c r="HWE12" s="319"/>
      <c r="HWF12" s="319"/>
      <c r="HWG12" s="319"/>
      <c r="HWH12" s="319"/>
      <c r="HWI12" s="319"/>
      <c r="HWJ12" s="319"/>
      <c r="HWK12" s="319"/>
      <c r="HWL12" s="319"/>
      <c r="HWM12" s="319"/>
      <c r="HWN12" s="319"/>
      <c r="HWO12" s="319"/>
      <c r="HWP12" s="319"/>
      <c r="HWQ12" s="319"/>
      <c r="HWR12" s="319"/>
      <c r="HWS12" s="319"/>
      <c r="HWT12" s="319"/>
      <c r="HWU12" s="319"/>
      <c r="HWV12" s="319"/>
      <c r="HWW12" s="319"/>
      <c r="HWX12" s="319"/>
      <c r="HWY12" s="319"/>
      <c r="HWZ12" s="319"/>
      <c r="HXA12" s="319"/>
      <c r="HXB12" s="319"/>
      <c r="HXC12" s="319"/>
      <c r="HXD12" s="319"/>
      <c r="HXE12" s="319"/>
      <c r="HXF12" s="319"/>
      <c r="HXG12" s="319"/>
      <c r="HXH12" s="319"/>
      <c r="HXI12" s="319"/>
      <c r="HXJ12" s="319"/>
      <c r="HXK12" s="319"/>
      <c r="HXL12" s="319"/>
      <c r="HXM12" s="319"/>
      <c r="HXN12" s="319"/>
      <c r="HXO12" s="319"/>
      <c r="HXP12" s="319"/>
      <c r="HXQ12" s="319"/>
      <c r="HXR12" s="319"/>
      <c r="HXS12" s="319"/>
      <c r="HXT12" s="319"/>
      <c r="HXU12" s="319"/>
      <c r="HXV12" s="319"/>
      <c r="HXW12" s="319"/>
      <c r="HXX12" s="319"/>
      <c r="HXY12" s="319"/>
      <c r="HXZ12" s="319"/>
      <c r="HYA12" s="319"/>
      <c r="HYB12" s="319"/>
      <c r="HYC12" s="319"/>
      <c r="HYD12" s="319"/>
      <c r="HYE12" s="319"/>
      <c r="HYF12" s="319"/>
      <c r="HYG12" s="319"/>
      <c r="HYH12" s="319"/>
      <c r="HYI12" s="319"/>
      <c r="HYJ12" s="319"/>
      <c r="HYK12" s="319"/>
      <c r="HYL12" s="319"/>
      <c r="HYM12" s="319"/>
      <c r="HYN12" s="319"/>
      <c r="HYO12" s="319"/>
      <c r="HYP12" s="319"/>
      <c r="HYQ12" s="319"/>
      <c r="HYR12" s="319"/>
      <c r="HYS12" s="319"/>
      <c r="HYT12" s="319"/>
      <c r="HYU12" s="319"/>
      <c r="HYV12" s="319"/>
      <c r="HYW12" s="319"/>
      <c r="HYX12" s="319"/>
      <c r="HYY12" s="319"/>
      <c r="HYZ12" s="319"/>
      <c r="HZA12" s="319"/>
      <c r="HZB12" s="319"/>
      <c r="HZC12" s="319"/>
      <c r="HZD12" s="319"/>
      <c r="HZE12" s="319"/>
      <c r="HZF12" s="319"/>
      <c r="HZG12" s="319"/>
      <c r="HZH12" s="319"/>
      <c r="HZI12" s="319"/>
      <c r="HZJ12" s="319"/>
      <c r="HZK12" s="319"/>
      <c r="HZL12" s="319"/>
      <c r="HZM12" s="319"/>
      <c r="HZN12" s="319"/>
      <c r="HZO12" s="319"/>
      <c r="HZP12" s="319"/>
      <c r="HZQ12" s="319"/>
      <c r="HZR12" s="319"/>
      <c r="HZS12" s="319"/>
      <c r="HZT12" s="319"/>
      <c r="HZU12" s="319"/>
      <c r="HZV12" s="319"/>
      <c r="HZW12" s="319"/>
      <c r="HZX12" s="319"/>
      <c r="HZY12" s="319"/>
      <c r="HZZ12" s="319"/>
      <c r="IAA12" s="319"/>
      <c r="IAB12" s="319"/>
      <c r="IAC12" s="319"/>
      <c r="IAD12" s="319"/>
      <c r="IAE12" s="319"/>
      <c r="IAF12" s="319"/>
      <c r="IAG12" s="319"/>
      <c r="IAH12" s="319"/>
      <c r="IAI12" s="319"/>
      <c r="IAJ12" s="319"/>
      <c r="IAK12" s="319"/>
      <c r="IAL12" s="319"/>
      <c r="IAM12" s="319"/>
      <c r="IAN12" s="319"/>
      <c r="IAO12" s="319"/>
      <c r="IAP12" s="319"/>
      <c r="IAQ12" s="319"/>
      <c r="IAR12" s="319"/>
      <c r="IAS12" s="319"/>
      <c r="IAT12" s="319"/>
      <c r="IAU12" s="319"/>
      <c r="IAV12" s="319"/>
      <c r="IAW12" s="319"/>
      <c r="IAX12" s="319"/>
      <c r="IAY12" s="319"/>
      <c r="IAZ12" s="319"/>
      <c r="IBA12" s="319"/>
      <c r="IBB12" s="319"/>
      <c r="IBC12" s="319"/>
      <c r="IBD12" s="319"/>
      <c r="IBE12" s="319"/>
      <c r="IBF12" s="319"/>
      <c r="IBG12" s="319"/>
      <c r="IBH12" s="319"/>
      <c r="IBI12" s="319"/>
      <c r="IBJ12" s="319"/>
      <c r="IBK12" s="319"/>
      <c r="IBL12" s="319"/>
      <c r="IBM12" s="319"/>
      <c r="IBN12" s="319"/>
      <c r="IBO12" s="319"/>
      <c r="IBP12" s="319"/>
      <c r="IBQ12" s="319"/>
      <c r="IBR12" s="319"/>
      <c r="IBS12" s="319"/>
      <c r="IBT12" s="319"/>
      <c r="IBU12" s="319"/>
      <c r="IBV12" s="319"/>
      <c r="IBW12" s="319"/>
      <c r="IBX12" s="319"/>
      <c r="IBY12" s="319"/>
      <c r="IBZ12" s="319"/>
      <c r="ICA12" s="319"/>
      <c r="ICB12" s="319"/>
      <c r="ICC12" s="319"/>
      <c r="ICD12" s="319"/>
      <c r="ICE12" s="319"/>
      <c r="ICF12" s="319"/>
      <c r="ICG12" s="319"/>
      <c r="ICH12" s="319"/>
      <c r="ICI12" s="319"/>
      <c r="ICJ12" s="319"/>
      <c r="ICK12" s="319"/>
      <c r="ICL12" s="319"/>
      <c r="ICM12" s="319"/>
      <c r="ICN12" s="319"/>
      <c r="ICO12" s="319"/>
      <c r="ICP12" s="319"/>
      <c r="ICQ12" s="319"/>
      <c r="ICR12" s="319"/>
      <c r="ICS12" s="319"/>
      <c r="ICT12" s="319"/>
      <c r="ICU12" s="319"/>
      <c r="ICV12" s="319"/>
      <c r="ICW12" s="319"/>
      <c r="ICX12" s="319"/>
      <c r="ICY12" s="319"/>
      <c r="ICZ12" s="319"/>
      <c r="IDA12" s="319"/>
      <c r="IDB12" s="319"/>
      <c r="IDC12" s="319"/>
      <c r="IDD12" s="319"/>
      <c r="IDE12" s="319"/>
      <c r="IDF12" s="319"/>
      <c r="IDG12" s="319"/>
      <c r="IDH12" s="319"/>
      <c r="IDI12" s="319"/>
      <c r="IDJ12" s="319"/>
      <c r="IDK12" s="319"/>
      <c r="IDL12" s="319"/>
      <c r="IDM12" s="319"/>
      <c r="IDN12" s="319"/>
      <c r="IDO12" s="319"/>
      <c r="IDP12" s="319"/>
      <c r="IDQ12" s="319"/>
      <c r="IDR12" s="319"/>
      <c r="IDS12" s="319"/>
      <c r="IDT12" s="319"/>
      <c r="IDU12" s="319"/>
      <c r="IDV12" s="319"/>
      <c r="IDW12" s="319"/>
      <c r="IDX12" s="319"/>
      <c r="IDY12" s="319"/>
      <c r="IDZ12" s="319"/>
      <c r="IEA12" s="319"/>
      <c r="IEB12" s="319"/>
      <c r="IEC12" s="319"/>
      <c r="IED12" s="319"/>
      <c r="IEE12" s="319"/>
      <c r="IEF12" s="319"/>
      <c r="IEG12" s="319"/>
      <c r="IEH12" s="319"/>
      <c r="IEI12" s="319"/>
      <c r="IEJ12" s="319"/>
      <c r="IEK12" s="319"/>
      <c r="IEL12" s="319"/>
      <c r="IEM12" s="319"/>
      <c r="IEN12" s="319"/>
      <c r="IEO12" s="319"/>
      <c r="IEP12" s="319"/>
      <c r="IEQ12" s="319"/>
      <c r="IER12" s="319"/>
      <c r="IES12" s="319"/>
      <c r="IET12" s="319"/>
      <c r="IEU12" s="319"/>
      <c r="IEV12" s="319"/>
      <c r="IEW12" s="319"/>
      <c r="IEX12" s="319"/>
      <c r="IEY12" s="319"/>
      <c r="IEZ12" s="319"/>
      <c r="IFA12" s="319"/>
      <c r="IFB12" s="319"/>
      <c r="IFC12" s="319"/>
      <c r="IFD12" s="319"/>
      <c r="IFE12" s="319"/>
      <c r="IFF12" s="319"/>
      <c r="IFG12" s="319"/>
      <c r="IFH12" s="319"/>
      <c r="IFI12" s="319"/>
      <c r="IFJ12" s="319"/>
      <c r="IFK12" s="319"/>
      <c r="IFL12" s="319"/>
      <c r="IFM12" s="319"/>
      <c r="IFN12" s="319"/>
      <c r="IFO12" s="319"/>
      <c r="IFP12" s="319"/>
      <c r="IFQ12" s="319"/>
      <c r="IFR12" s="319"/>
      <c r="IFS12" s="319"/>
      <c r="IFT12" s="319"/>
      <c r="IFU12" s="319"/>
      <c r="IFV12" s="319"/>
      <c r="IFW12" s="319"/>
      <c r="IFX12" s="319"/>
      <c r="IFY12" s="319"/>
      <c r="IFZ12" s="319"/>
      <c r="IGA12" s="319"/>
      <c r="IGB12" s="319"/>
      <c r="IGC12" s="319"/>
      <c r="IGD12" s="319"/>
      <c r="IGE12" s="319"/>
      <c r="IGF12" s="319"/>
      <c r="IGG12" s="319"/>
      <c r="IGH12" s="319"/>
      <c r="IGI12" s="319"/>
      <c r="IGJ12" s="319"/>
      <c r="IGK12" s="319"/>
      <c r="IGL12" s="319"/>
      <c r="IGM12" s="319"/>
      <c r="IGN12" s="319"/>
      <c r="IGO12" s="319"/>
      <c r="IGP12" s="319"/>
      <c r="IGQ12" s="319"/>
      <c r="IGR12" s="319"/>
      <c r="IGS12" s="319"/>
      <c r="IGT12" s="319"/>
      <c r="IGU12" s="319"/>
      <c r="IGV12" s="319"/>
      <c r="IGW12" s="319"/>
      <c r="IGX12" s="319"/>
      <c r="IGY12" s="319"/>
      <c r="IGZ12" s="319"/>
      <c r="IHA12" s="319"/>
      <c r="IHB12" s="319"/>
      <c r="IHC12" s="319"/>
      <c r="IHD12" s="319"/>
      <c r="IHE12" s="319"/>
      <c r="IHF12" s="319"/>
      <c r="IHG12" s="319"/>
      <c r="IHH12" s="319"/>
      <c r="IHI12" s="319"/>
      <c r="IHJ12" s="319"/>
      <c r="IHK12" s="319"/>
      <c r="IHL12" s="319"/>
      <c r="IHM12" s="319"/>
      <c r="IHN12" s="319"/>
      <c r="IHO12" s="319"/>
      <c r="IHP12" s="319"/>
      <c r="IHQ12" s="319"/>
      <c r="IHR12" s="319"/>
      <c r="IHS12" s="319"/>
      <c r="IHT12" s="319"/>
      <c r="IHU12" s="319"/>
      <c r="IHV12" s="319"/>
      <c r="IHW12" s="319"/>
      <c r="IHX12" s="319"/>
      <c r="IHY12" s="319"/>
      <c r="IHZ12" s="319"/>
      <c r="IIA12" s="319"/>
      <c r="IIB12" s="319"/>
      <c r="IIC12" s="319"/>
      <c r="IID12" s="319"/>
      <c r="IIE12" s="319"/>
      <c r="IIF12" s="319"/>
      <c r="IIG12" s="319"/>
      <c r="IIH12" s="319"/>
      <c r="III12" s="319"/>
      <c r="IIJ12" s="319"/>
      <c r="IIK12" s="319"/>
      <c r="IIL12" s="319"/>
      <c r="IIM12" s="319"/>
      <c r="IIN12" s="319"/>
      <c r="IIO12" s="319"/>
      <c r="IIP12" s="319"/>
      <c r="IIQ12" s="319"/>
      <c r="IIR12" s="319"/>
      <c r="IIS12" s="319"/>
      <c r="IIT12" s="319"/>
      <c r="IIU12" s="319"/>
      <c r="IIV12" s="319"/>
      <c r="IIW12" s="319"/>
      <c r="IIX12" s="319"/>
      <c r="IIY12" s="319"/>
      <c r="IIZ12" s="319"/>
      <c r="IJA12" s="319"/>
      <c r="IJB12" s="319"/>
      <c r="IJC12" s="319"/>
      <c r="IJD12" s="319"/>
      <c r="IJE12" s="319"/>
      <c r="IJF12" s="319"/>
      <c r="IJG12" s="319"/>
      <c r="IJH12" s="319"/>
      <c r="IJI12" s="319"/>
      <c r="IJJ12" s="319"/>
      <c r="IJK12" s="319"/>
      <c r="IJL12" s="319"/>
      <c r="IJM12" s="319"/>
      <c r="IJN12" s="319"/>
      <c r="IJO12" s="319"/>
      <c r="IJP12" s="319"/>
      <c r="IJQ12" s="319"/>
      <c r="IJR12" s="319"/>
      <c r="IJS12" s="319"/>
      <c r="IJT12" s="319"/>
      <c r="IJU12" s="319"/>
      <c r="IJV12" s="319"/>
      <c r="IJW12" s="319"/>
      <c r="IJX12" s="319"/>
      <c r="IJY12" s="319"/>
      <c r="IJZ12" s="319"/>
      <c r="IKA12" s="319"/>
      <c r="IKB12" s="319"/>
      <c r="IKC12" s="319"/>
      <c r="IKD12" s="319"/>
      <c r="IKE12" s="319"/>
      <c r="IKF12" s="319"/>
      <c r="IKG12" s="319"/>
      <c r="IKH12" s="319"/>
      <c r="IKI12" s="319"/>
      <c r="IKJ12" s="319"/>
      <c r="IKK12" s="319"/>
      <c r="IKL12" s="319"/>
      <c r="IKM12" s="319"/>
      <c r="IKN12" s="319"/>
      <c r="IKO12" s="319"/>
      <c r="IKP12" s="319"/>
      <c r="IKQ12" s="319"/>
      <c r="IKR12" s="319"/>
      <c r="IKS12" s="319"/>
      <c r="IKT12" s="319"/>
      <c r="IKU12" s="319"/>
      <c r="IKV12" s="319"/>
      <c r="IKW12" s="319"/>
      <c r="IKX12" s="319"/>
      <c r="IKY12" s="319"/>
      <c r="IKZ12" s="319"/>
      <c r="ILA12" s="319"/>
      <c r="ILB12" s="319"/>
      <c r="ILC12" s="319"/>
      <c r="ILD12" s="319"/>
      <c r="ILE12" s="319"/>
      <c r="ILF12" s="319"/>
      <c r="ILG12" s="319"/>
      <c r="ILH12" s="319"/>
      <c r="ILI12" s="319"/>
      <c r="ILJ12" s="319"/>
      <c r="ILK12" s="319"/>
      <c r="ILL12" s="319"/>
      <c r="ILM12" s="319"/>
      <c r="ILN12" s="319"/>
      <c r="ILO12" s="319"/>
      <c r="ILP12" s="319"/>
      <c r="ILQ12" s="319"/>
      <c r="ILR12" s="319"/>
      <c r="ILS12" s="319"/>
      <c r="ILT12" s="319"/>
      <c r="ILU12" s="319"/>
      <c r="ILV12" s="319"/>
      <c r="ILW12" s="319"/>
      <c r="ILX12" s="319"/>
      <c r="ILY12" s="319"/>
      <c r="ILZ12" s="319"/>
      <c r="IMA12" s="319"/>
      <c r="IMB12" s="319"/>
      <c r="IMC12" s="319"/>
      <c r="IMD12" s="319"/>
      <c r="IME12" s="319"/>
      <c r="IMF12" s="319"/>
      <c r="IMG12" s="319"/>
      <c r="IMH12" s="319"/>
      <c r="IMI12" s="319"/>
      <c r="IMJ12" s="319"/>
      <c r="IMK12" s="319"/>
      <c r="IML12" s="319"/>
      <c r="IMM12" s="319"/>
      <c r="IMN12" s="319"/>
      <c r="IMO12" s="319"/>
      <c r="IMP12" s="319"/>
      <c r="IMQ12" s="319"/>
      <c r="IMR12" s="319"/>
      <c r="IMS12" s="319"/>
      <c r="IMT12" s="319"/>
      <c r="IMU12" s="319"/>
      <c r="IMV12" s="319"/>
      <c r="IMW12" s="319"/>
      <c r="IMX12" s="319"/>
      <c r="IMY12" s="319"/>
      <c r="IMZ12" s="319"/>
      <c r="INA12" s="319"/>
      <c r="INB12" s="319"/>
      <c r="INC12" s="319"/>
      <c r="IND12" s="319"/>
      <c r="INE12" s="319"/>
      <c r="INF12" s="319"/>
      <c r="ING12" s="319"/>
      <c r="INH12" s="319"/>
      <c r="INI12" s="319"/>
      <c r="INJ12" s="319"/>
      <c r="INK12" s="319"/>
      <c r="INL12" s="319"/>
      <c r="INM12" s="319"/>
      <c r="INN12" s="319"/>
      <c r="INO12" s="319"/>
      <c r="INP12" s="319"/>
      <c r="INQ12" s="319"/>
      <c r="INR12" s="319"/>
      <c r="INS12" s="319"/>
      <c r="INT12" s="319"/>
      <c r="INU12" s="319"/>
      <c r="INV12" s="319"/>
      <c r="INW12" s="319"/>
      <c r="INX12" s="319"/>
      <c r="INY12" s="319"/>
      <c r="INZ12" s="319"/>
      <c r="IOA12" s="319"/>
      <c r="IOB12" s="319"/>
      <c r="IOC12" s="319"/>
      <c r="IOD12" s="319"/>
      <c r="IOE12" s="319"/>
      <c r="IOF12" s="319"/>
      <c r="IOG12" s="319"/>
      <c r="IOH12" s="319"/>
      <c r="IOI12" s="319"/>
      <c r="IOJ12" s="319"/>
      <c r="IOK12" s="319"/>
      <c r="IOL12" s="319"/>
      <c r="IOM12" s="319"/>
      <c r="ION12" s="319"/>
      <c r="IOO12" s="319"/>
      <c r="IOP12" s="319"/>
      <c r="IOQ12" s="319"/>
      <c r="IOR12" s="319"/>
      <c r="IOS12" s="319"/>
      <c r="IOT12" s="319"/>
      <c r="IOU12" s="319"/>
      <c r="IOV12" s="319"/>
      <c r="IOW12" s="319"/>
      <c r="IOX12" s="319"/>
      <c r="IOY12" s="319"/>
      <c r="IOZ12" s="319"/>
      <c r="IPA12" s="319"/>
      <c r="IPB12" s="319"/>
      <c r="IPC12" s="319"/>
      <c r="IPD12" s="319"/>
      <c r="IPE12" s="319"/>
      <c r="IPF12" s="319"/>
      <c r="IPG12" s="319"/>
      <c r="IPH12" s="319"/>
      <c r="IPI12" s="319"/>
      <c r="IPJ12" s="319"/>
      <c r="IPK12" s="319"/>
      <c r="IPL12" s="319"/>
      <c r="IPM12" s="319"/>
      <c r="IPN12" s="319"/>
      <c r="IPO12" s="319"/>
      <c r="IPP12" s="319"/>
      <c r="IPQ12" s="319"/>
      <c r="IPR12" s="319"/>
      <c r="IPS12" s="319"/>
      <c r="IPT12" s="319"/>
      <c r="IPU12" s="319"/>
      <c r="IPV12" s="319"/>
      <c r="IPW12" s="319"/>
      <c r="IPX12" s="319"/>
      <c r="IPY12" s="319"/>
      <c r="IPZ12" s="319"/>
      <c r="IQA12" s="319"/>
      <c r="IQB12" s="319"/>
      <c r="IQC12" s="319"/>
      <c r="IQD12" s="319"/>
      <c r="IQE12" s="319"/>
      <c r="IQF12" s="319"/>
      <c r="IQG12" s="319"/>
      <c r="IQH12" s="319"/>
      <c r="IQI12" s="319"/>
      <c r="IQJ12" s="319"/>
      <c r="IQK12" s="319"/>
      <c r="IQL12" s="319"/>
      <c r="IQM12" s="319"/>
      <c r="IQN12" s="319"/>
      <c r="IQO12" s="319"/>
      <c r="IQP12" s="319"/>
      <c r="IQQ12" s="319"/>
      <c r="IQR12" s="319"/>
      <c r="IQS12" s="319"/>
      <c r="IQT12" s="319"/>
      <c r="IQU12" s="319"/>
      <c r="IQV12" s="319"/>
      <c r="IQW12" s="319"/>
      <c r="IQX12" s="319"/>
      <c r="IQY12" s="319"/>
      <c r="IQZ12" s="319"/>
      <c r="IRA12" s="319"/>
      <c r="IRB12" s="319"/>
      <c r="IRC12" s="319"/>
      <c r="IRD12" s="319"/>
      <c r="IRE12" s="319"/>
      <c r="IRF12" s="319"/>
      <c r="IRG12" s="319"/>
      <c r="IRH12" s="319"/>
      <c r="IRI12" s="319"/>
      <c r="IRJ12" s="319"/>
      <c r="IRK12" s="319"/>
      <c r="IRL12" s="319"/>
      <c r="IRM12" s="319"/>
      <c r="IRN12" s="319"/>
      <c r="IRO12" s="319"/>
      <c r="IRP12" s="319"/>
      <c r="IRQ12" s="319"/>
      <c r="IRR12" s="319"/>
      <c r="IRS12" s="319"/>
      <c r="IRT12" s="319"/>
      <c r="IRU12" s="319"/>
      <c r="IRV12" s="319"/>
      <c r="IRW12" s="319"/>
      <c r="IRX12" s="319"/>
      <c r="IRY12" s="319"/>
      <c r="IRZ12" s="319"/>
      <c r="ISA12" s="319"/>
      <c r="ISB12" s="319"/>
      <c r="ISC12" s="319"/>
      <c r="ISD12" s="319"/>
      <c r="ISE12" s="319"/>
      <c r="ISF12" s="319"/>
      <c r="ISG12" s="319"/>
      <c r="ISH12" s="319"/>
      <c r="ISI12" s="319"/>
      <c r="ISJ12" s="319"/>
      <c r="ISK12" s="319"/>
      <c r="ISL12" s="319"/>
      <c r="ISM12" s="319"/>
      <c r="ISN12" s="319"/>
      <c r="ISO12" s="319"/>
      <c r="ISP12" s="319"/>
      <c r="ISQ12" s="319"/>
      <c r="ISR12" s="319"/>
      <c r="ISS12" s="319"/>
      <c r="IST12" s="319"/>
      <c r="ISU12" s="319"/>
      <c r="ISV12" s="319"/>
      <c r="ISW12" s="319"/>
      <c r="ISX12" s="319"/>
      <c r="ISY12" s="319"/>
      <c r="ISZ12" s="319"/>
      <c r="ITA12" s="319"/>
      <c r="ITB12" s="319"/>
      <c r="ITC12" s="319"/>
      <c r="ITD12" s="319"/>
      <c r="ITE12" s="319"/>
      <c r="ITF12" s="319"/>
      <c r="ITG12" s="319"/>
      <c r="ITH12" s="319"/>
      <c r="ITI12" s="319"/>
      <c r="ITJ12" s="319"/>
      <c r="ITK12" s="319"/>
      <c r="ITL12" s="319"/>
      <c r="ITM12" s="319"/>
      <c r="ITN12" s="319"/>
      <c r="ITO12" s="319"/>
      <c r="ITP12" s="319"/>
      <c r="ITQ12" s="319"/>
      <c r="ITR12" s="319"/>
      <c r="ITS12" s="319"/>
      <c r="ITT12" s="319"/>
      <c r="ITU12" s="319"/>
      <c r="ITV12" s="319"/>
      <c r="ITW12" s="319"/>
      <c r="ITX12" s="319"/>
      <c r="ITY12" s="319"/>
      <c r="ITZ12" s="319"/>
      <c r="IUA12" s="319"/>
      <c r="IUB12" s="319"/>
      <c r="IUC12" s="319"/>
      <c r="IUD12" s="319"/>
      <c r="IUE12" s="319"/>
      <c r="IUF12" s="319"/>
      <c r="IUG12" s="319"/>
      <c r="IUH12" s="319"/>
      <c r="IUI12" s="319"/>
      <c r="IUJ12" s="319"/>
      <c r="IUK12" s="319"/>
      <c r="IUL12" s="319"/>
      <c r="IUM12" s="319"/>
      <c r="IUN12" s="319"/>
      <c r="IUO12" s="319"/>
      <c r="IUP12" s="319"/>
      <c r="IUQ12" s="319"/>
      <c r="IUR12" s="319"/>
      <c r="IUS12" s="319"/>
      <c r="IUT12" s="319"/>
      <c r="IUU12" s="319"/>
      <c r="IUV12" s="319"/>
      <c r="IUW12" s="319"/>
      <c r="IUX12" s="319"/>
      <c r="IUY12" s="319"/>
      <c r="IUZ12" s="319"/>
      <c r="IVA12" s="319"/>
      <c r="IVB12" s="319"/>
      <c r="IVC12" s="319"/>
      <c r="IVD12" s="319"/>
      <c r="IVE12" s="319"/>
      <c r="IVF12" s="319"/>
      <c r="IVG12" s="319"/>
      <c r="IVH12" s="319"/>
      <c r="IVI12" s="319"/>
      <c r="IVJ12" s="319"/>
      <c r="IVK12" s="319"/>
      <c r="IVL12" s="319"/>
      <c r="IVM12" s="319"/>
      <c r="IVN12" s="319"/>
      <c r="IVO12" s="319"/>
      <c r="IVP12" s="319"/>
      <c r="IVQ12" s="319"/>
      <c r="IVR12" s="319"/>
      <c r="IVS12" s="319"/>
      <c r="IVT12" s="319"/>
      <c r="IVU12" s="319"/>
      <c r="IVV12" s="319"/>
      <c r="IVW12" s="319"/>
      <c r="IVX12" s="319"/>
      <c r="IVY12" s="319"/>
      <c r="IVZ12" s="319"/>
      <c r="IWA12" s="319"/>
      <c r="IWB12" s="319"/>
      <c r="IWC12" s="319"/>
      <c r="IWD12" s="319"/>
      <c r="IWE12" s="319"/>
      <c r="IWF12" s="319"/>
      <c r="IWG12" s="319"/>
      <c r="IWH12" s="319"/>
      <c r="IWI12" s="319"/>
      <c r="IWJ12" s="319"/>
      <c r="IWK12" s="319"/>
      <c r="IWL12" s="319"/>
      <c r="IWM12" s="319"/>
      <c r="IWN12" s="319"/>
      <c r="IWO12" s="319"/>
      <c r="IWP12" s="319"/>
      <c r="IWQ12" s="319"/>
      <c r="IWR12" s="319"/>
      <c r="IWS12" s="319"/>
      <c r="IWT12" s="319"/>
      <c r="IWU12" s="319"/>
      <c r="IWV12" s="319"/>
      <c r="IWW12" s="319"/>
      <c r="IWX12" s="319"/>
      <c r="IWY12" s="319"/>
      <c r="IWZ12" s="319"/>
      <c r="IXA12" s="319"/>
      <c r="IXB12" s="319"/>
      <c r="IXC12" s="319"/>
      <c r="IXD12" s="319"/>
      <c r="IXE12" s="319"/>
      <c r="IXF12" s="319"/>
      <c r="IXG12" s="319"/>
      <c r="IXH12" s="319"/>
      <c r="IXI12" s="319"/>
      <c r="IXJ12" s="319"/>
      <c r="IXK12" s="319"/>
      <c r="IXL12" s="319"/>
      <c r="IXM12" s="319"/>
      <c r="IXN12" s="319"/>
      <c r="IXO12" s="319"/>
      <c r="IXP12" s="319"/>
      <c r="IXQ12" s="319"/>
      <c r="IXR12" s="319"/>
      <c r="IXS12" s="319"/>
      <c r="IXT12" s="319"/>
      <c r="IXU12" s="319"/>
      <c r="IXV12" s="319"/>
      <c r="IXW12" s="319"/>
      <c r="IXX12" s="319"/>
      <c r="IXY12" s="319"/>
      <c r="IXZ12" s="319"/>
      <c r="IYA12" s="319"/>
      <c r="IYB12" s="319"/>
      <c r="IYC12" s="319"/>
      <c r="IYD12" s="319"/>
      <c r="IYE12" s="319"/>
      <c r="IYF12" s="319"/>
      <c r="IYG12" s="319"/>
      <c r="IYH12" s="319"/>
      <c r="IYI12" s="319"/>
      <c r="IYJ12" s="319"/>
      <c r="IYK12" s="319"/>
      <c r="IYL12" s="319"/>
      <c r="IYM12" s="319"/>
      <c r="IYN12" s="319"/>
      <c r="IYO12" s="319"/>
      <c r="IYP12" s="319"/>
      <c r="IYQ12" s="319"/>
      <c r="IYR12" s="319"/>
      <c r="IYS12" s="319"/>
      <c r="IYT12" s="319"/>
      <c r="IYU12" s="319"/>
      <c r="IYV12" s="319"/>
      <c r="IYW12" s="319"/>
      <c r="IYX12" s="319"/>
      <c r="IYY12" s="319"/>
      <c r="IYZ12" s="319"/>
      <c r="IZA12" s="319"/>
      <c r="IZB12" s="319"/>
      <c r="IZC12" s="319"/>
      <c r="IZD12" s="319"/>
      <c r="IZE12" s="319"/>
      <c r="IZF12" s="319"/>
      <c r="IZG12" s="319"/>
      <c r="IZH12" s="319"/>
      <c r="IZI12" s="319"/>
      <c r="IZJ12" s="319"/>
      <c r="IZK12" s="319"/>
      <c r="IZL12" s="319"/>
      <c r="IZM12" s="319"/>
      <c r="IZN12" s="319"/>
      <c r="IZO12" s="319"/>
      <c r="IZP12" s="319"/>
      <c r="IZQ12" s="319"/>
      <c r="IZR12" s="319"/>
      <c r="IZS12" s="319"/>
      <c r="IZT12" s="319"/>
      <c r="IZU12" s="319"/>
      <c r="IZV12" s="319"/>
      <c r="IZW12" s="319"/>
      <c r="IZX12" s="319"/>
      <c r="IZY12" s="319"/>
      <c r="IZZ12" s="319"/>
      <c r="JAA12" s="319"/>
      <c r="JAB12" s="319"/>
      <c r="JAC12" s="319"/>
      <c r="JAD12" s="319"/>
      <c r="JAE12" s="319"/>
      <c r="JAF12" s="319"/>
      <c r="JAG12" s="319"/>
      <c r="JAH12" s="319"/>
      <c r="JAI12" s="319"/>
      <c r="JAJ12" s="319"/>
      <c r="JAK12" s="319"/>
      <c r="JAL12" s="319"/>
      <c r="JAM12" s="319"/>
      <c r="JAN12" s="319"/>
      <c r="JAO12" s="319"/>
      <c r="JAP12" s="319"/>
      <c r="JAQ12" s="319"/>
      <c r="JAR12" s="319"/>
      <c r="JAS12" s="319"/>
      <c r="JAT12" s="319"/>
      <c r="JAU12" s="319"/>
      <c r="JAV12" s="319"/>
      <c r="JAW12" s="319"/>
      <c r="JAX12" s="319"/>
      <c r="JAY12" s="319"/>
      <c r="JAZ12" s="319"/>
      <c r="JBA12" s="319"/>
      <c r="JBB12" s="319"/>
      <c r="JBC12" s="319"/>
      <c r="JBD12" s="319"/>
      <c r="JBE12" s="319"/>
      <c r="JBF12" s="319"/>
      <c r="JBG12" s="319"/>
      <c r="JBH12" s="319"/>
      <c r="JBI12" s="319"/>
      <c r="JBJ12" s="319"/>
      <c r="JBK12" s="319"/>
      <c r="JBL12" s="319"/>
      <c r="JBM12" s="319"/>
      <c r="JBN12" s="319"/>
      <c r="JBO12" s="319"/>
      <c r="JBP12" s="319"/>
      <c r="JBQ12" s="319"/>
      <c r="JBR12" s="319"/>
      <c r="JBS12" s="319"/>
      <c r="JBT12" s="319"/>
      <c r="JBU12" s="319"/>
      <c r="JBV12" s="319"/>
      <c r="JBW12" s="319"/>
      <c r="JBX12" s="319"/>
      <c r="JBY12" s="319"/>
      <c r="JBZ12" s="319"/>
      <c r="JCA12" s="319"/>
      <c r="JCB12" s="319"/>
      <c r="JCC12" s="319"/>
      <c r="JCD12" s="319"/>
      <c r="JCE12" s="319"/>
      <c r="JCF12" s="319"/>
      <c r="JCG12" s="319"/>
      <c r="JCH12" s="319"/>
      <c r="JCI12" s="319"/>
      <c r="JCJ12" s="319"/>
      <c r="JCK12" s="319"/>
      <c r="JCL12" s="319"/>
      <c r="JCM12" s="319"/>
      <c r="JCN12" s="319"/>
      <c r="JCO12" s="319"/>
      <c r="JCP12" s="319"/>
      <c r="JCQ12" s="319"/>
      <c r="JCR12" s="319"/>
      <c r="JCS12" s="319"/>
      <c r="JCT12" s="319"/>
      <c r="JCU12" s="319"/>
      <c r="JCV12" s="319"/>
      <c r="JCW12" s="319"/>
      <c r="JCX12" s="319"/>
      <c r="JCY12" s="319"/>
      <c r="JCZ12" s="319"/>
      <c r="JDA12" s="319"/>
      <c r="JDB12" s="319"/>
      <c r="JDC12" s="319"/>
      <c r="JDD12" s="319"/>
      <c r="JDE12" s="319"/>
      <c r="JDF12" s="319"/>
      <c r="JDG12" s="319"/>
      <c r="JDH12" s="319"/>
      <c r="JDI12" s="319"/>
      <c r="JDJ12" s="319"/>
      <c r="JDK12" s="319"/>
      <c r="JDL12" s="319"/>
      <c r="JDM12" s="319"/>
      <c r="JDN12" s="319"/>
      <c r="JDO12" s="319"/>
      <c r="JDP12" s="319"/>
      <c r="JDQ12" s="319"/>
      <c r="JDR12" s="319"/>
      <c r="JDS12" s="319"/>
      <c r="JDT12" s="319"/>
      <c r="JDU12" s="319"/>
      <c r="JDV12" s="319"/>
      <c r="JDW12" s="319"/>
      <c r="JDX12" s="319"/>
      <c r="JDY12" s="319"/>
      <c r="JDZ12" s="319"/>
      <c r="JEA12" s="319"/>
      <c r="JEB12" s="319"/>
      <c r="JEC12" s="319"/>
      <c r="JED12" s="319"/>
      <c r="JEE12" s="319"/>
      <c r="JEF12" s="319"/>
      <c r="JEG12" s="319"/>
      <c r="JEH12" s="319"/>
      <c r="JEI12" s="319"/>
      <c r="JEJ12" s="319"/>
      <c r="JEK12" s="319"/>
      <c r="JEL12" s="319"/>
      <c r="JEM12" s="319"/>
      <c r="JEN12" s="319"/>
      <c r="JEO12" s="319"/>
      <c r="JEP12" s="319"/>
      <c r="JEQ12" s="319"/>
      <c r="JER12" s="319"/>
      <c r="JES12" s="319"/>
      <c r="JET12" s="319"/>
      <c r="JEU12" s="319"/>
      <c r="JEV12" s="319"/>
      <c r="JEW12" s="319"/>
      <c r="JEX12" s="319"/>
      <c r="JEY12" s="319"/>
      <c r="JEZ12" s="319"/>
      <c r="JFA12" s="319"/>
      <c r="JFB12" s="319"/>
      <c r="JFC12" s="319"/>
      <c r="JFD12" s="319"/>
      <c r="JFE12" s="319"/>
      <c r="JFF12" s="319"/>
      <c r="JFG12" s="319"/>
      <c r="JFH12" s="319"/>
      <c r="JFI12" s="319"/>
      <c r="JFJ12" s="319"/>
      <c r="JFK12" s="319"/>
      <c r="JFL12" s="319"/>
      <c r="JFM12" s="319"/>
      <c r="JFN12" s="319"/>
      <c r="JFO12" s="319"/>
      <c r="JFP12" s="319"/>
      <c r="JFQ12" s="319"/>
      <c r="JFR12" s="319"/>
      <c r="JFS12" s="319"/>
      <c r="JFT12" s="319"/>
      <c r="JFU12" s="319"/>
      <c r="JFV12" s="319"/>
      <c r="JFW12" s="319"/>
      <c r="JFX12" s="319"/>
      <c r="JFY12" s="319"/>
      <c r="JFZ12" s="319"/>
      <c r="JGA12" s="319"/>
      <c r="JGB12" s="319"/>
      <c r="JGC12" s="319"/>
      <c r="JGD12" s="319"/>
      <c r="JGE12" s="319"/>
      <c r="JGF12" s="319"/>
      <c r="JGG12" s="319"/>
      <c r="JGH12" s="319"/>
      <c r="JGI12" s="319"/>
      <c r="JGJ12" s="319"/>
      <c r="JGK12" s="319"/>
      <c r="JGL12" s="319"/>
      <c r="JGM12" s="319"/>
      <c r="JGN12" s="319"/>
      <c r="JGO12" s="319"/>
      <c r="JGP12" s="319"/>
      <c r="JGQ12" s="319"/>
      <c r="JGR12" s="319"/>
      <c r="JGS12" s="319"/>
      <c r="JGT12" s="319"/>
      <c r="JGU12" s="319"/>
      <c r="JGV12" s="319"/>
      <c r="JGW12" s="319"/>
      <c r="JGX12" s="319"/>
      <c r="JGY12" s="319"/>
      <c r="JGZ12" s="319"/>
      <c r="JHA12" s="319"/>
      <c r="JHB12" s="319"/>
      <c r="JHC12" s="319"/>
      <c r="JHD12" s="319"/>
      <c r="JHE12" s="319"/>
      <c r="JHF12" s="319"/>
      <c r="JHG12" s="319"/>
      <c r="JHH12" s="319"/>
      <c r="JHI12" s="319"/>
      <c r="JHJ12" s="319"/>
      <c r="JHK12" s="319"/>
      <c r="JHL12" s="319"/>
      <c r="JHM12" s="319"/>
      <c r="JHN12" s="319"/>
      <c r="JHO12" s="319"/>
      <c r="JHP12" s="319"/>
      <c r="JHQ12" s="319"/>
      <c r="JHR12" s="319"/>
      <c r="JHS12" s="319"/>
      <c r="JHT12" s="319"/>
      <c r="JHU12" s="319"/>
      <c r="JHV12" s="319"/>
      <c r="JHW12" s="319"/>
      <c r="JHX12" s="319"/>
      <c r="JHY12" s="319"/>
      <c r="JHZ12" s="319"/>
      <c r="JIA12" s="319"/>
      <c r="JIB12" s="319"/>
      <c r="JIC12" s="319"/>
      <c r="JID12" s="319"/>
      <c r="JIE12" s="319"/>
      <c r="JIF12" s="319"/>
      <c r="JIG12" s="319"/>
      <c r="JIH12" s="319"/>
      <c r="JII12" s="319"/>
      <c r="JIJ12" s="319"/>
      <c r="JIK12" s="319"/>
      <c r="JIL12" s="319"/>
      <c r="JIM12" s="319"/>
      <c r="JIN12" s="319"/>
      <c r="JIO12" s="319"/>
      <c r="JIP12" s="319"/>
      <c r="JIQ12" s="319"/>
      <c r="JIR12" s="319"/>
      <c r="JIS12" s="319"/>
      <c r="JIT12" s="319"/>
      <c r="JIU12" s="319"/>
      <c r="JIV12" s="319"/>
      <c r="JIW12" s="319"/>
      <c r="JIX12" s="319"/>
      <c r="JIY12" s="319"/>
      <c r="JIZ12" s="319"/>
      <c r="JJA12" s="319"/>
      <c r="JJB12" s="319"/>
      <c r="JJC12" s="319"/>
      <c r="JJD12" s="319"/>
      <c r="JJE12" s="319"/>
      <c r="JJF12" s="319"/>
      <c r="JJG12" s="319"/>
      <c r="JJH12" s="319"/>
      <c r="JJI12" s="319"/>
      <c r="JJJ12" s="319"/>
      <c r="JJK12" s="319"/>
      <c r="JJL12" s="319"/>
      <c r="JJM12" s="319"/>
      <c r="JJN12" s="319"/>
      <c r="JJO12" s="319"/>
      <c r="JJP12" s="319"/>
      <c r="JJQ12" s="319"/>
      <c r="JJR12" s="319"/>
      <c r="JJS12" s="319"/>
      <c r="JJT12" s="319"/>
      <c r="JJU12" s="319"/>
      <c r="JJV12" s="319"/>
      <c r="JJW12" s="319"/>
      <c r="JJX12" s="319"/>
      <c r="JJY12" s="319"/>
      <c r="JJZ12" s="319"/>
      <c r="JKA12" s="319"/>
      <c r="JKB12" s="319"/>
      <c r="JKC12" s="319"/>
      <c r="JKD12" s="319"/>
      <c r="JKE12" s="319"/>
      <c r="JKF12" s="319"/>
      <c r="JKG12" s="319"/>
      <c r="JKH12" s="319"/>
      <c r="JKI12" s="319"/>
      <c r="JKJ12" s="319"/>
      <c r="JKK12" s="319"/>
      <c r="JKL12" s="319"/>
      <c r="JKM12" s="319"/>
      <c r="JKN12" s="319"/>
      <c r="JKO12" s="319"/>
      <c r="JKP12" s="319"/>
      <c r="JKQ12" s="319"/>
      <c r="JKR12" s="319"/>
      <c r="JKS12" s="319"/>
      <c r="JKT12" s="319"/>
      <c r="JKU12" s="319"/>
      <c r="JKV12" s="319"/>
      <c r="JKW12" s="319"/>
      <c r="JKX12" s="319"/>
      <c r="JKY12" s="319"/>
      <c r="JKZ12" s="319"/>
      <c r="JLA12" s="319"/>
      <c r="JLB12" s="319"/>
      <c r="JLC12" s="319"/>
      <c r="JLD12" s="319"/>
      <c r="JLE12" s="319"/>
      <c r="JLF12" s="319"/>
      <c r="JLG12" s="319"/>
      <c r="JLH12" s="319"/>
      <c r="JLI12" s="319"/>
      <c r="JLJ12" s="319"/>
      <c r="JLK12" s="319"/>
      <c r="JLL12" s="319"/>
      <c r="JLM12" s="319"/>
      <c r="JLN12" s="319"/>
      <c r="JLO12" s="319"/>
      <c r="JLP12" s="319"/>
      <c r="JLQ12" s="319"/>
      <c r="JLR12" s="319"/>
      <c r="JLS12" s="319"/>
      <c r="JLT12" s="319"/>
      <c r="JLU12" s="319"/>
      <c r="JLV12" s="319"/>
      <c r="JLW12" s="319"/>
      <c r="JLX12" s="319"/>
      <c r="JLY12" s="319"/>
      <c r="JLZ12" s="319"/>
      <c r="JMA12" s="319"/>
      <c r="JMB12" s="319"/>
      <c r="JMC12" s="319"/>
      <c r="JMD12" s="319"/>
      <c r="JME12" s="319"/>
      <c r="JMF12" s="319"/>
      <c r="JMG12" s="319"/>
      <c r="JMH12" s="319"/>
      <c r="JMI12" s="319"/>
      <c r="JMJ12" s="319"/>
      <c r="JMK12" s="319"/>
      <c r="JML12" s="319"/>
      <c r="JMM12" s="319"/>
      <c r="JMN12" s="319"/>
      <c r="JMO12" s="319"/>
      <c r="JMP12" s="319"/>
      <c r="JMQ12" s="319"/>
      <c r="JMR12" s="319"/>
      <c r="JMS12" s="319"/>
      <c r="JMT12" s="319"/>
      <c r="JMU12" s="319"/>
      <c r="JMV12" s="319"/>
      <c r="JMW12" s="319"/>
      <c r="JMX12" s="319"/>
      <c r="JMY12" s="319"/>
      <c r="JMZ12" s="319"/>
      <c r="JNA12" s="319"/>
      <c r="JNB12" s="319"/>
      <c r="JNC12" s="319"/>
      <c r="JND12" s="319"/>
      <c r="JNE12" s="319"/>
      <c r="JNF12" s="319"/>
      <c r="JNG12" s="319"/>
      <c r="JNH12" s="319"/>
      <c r="JNI12" s="319"/>
      <c r="JNJ12" s="319"/>
      <c r="JNK12" s="319"/>
      <c r="JNL12" s="319"/>
      <c r="JNM12" s="319"/>
      <c r="JNN12" s="319"/>
      <c r="JNO12" s="319"/>
      <c r="JNP12" s="319"/>
      <c r="JNQ12" s="319"/>
      <c r="JNR12" s="319"/>
      <c r="JNS12" s="319"/>
      <c r="JNT12" s="319"/>
      <c r="JNU12" s="319"/>
      <c r="JNV12" s="319"/>
      <c r="JNW12" s="319"/>
      <c r="JNX12" s="319"/>
      <c r="JNY12" s="319"/>
      <c r="JNZ12" s="319"/>
      <c r="JOA12" s="319"/>
      <c r="JOB12" s="319"/>
      <c r="JOC12" s="319"/>
      <c r="JOD12" s="319"/>
      <c r="JOE12" s="319"/>
      <c r="JOF12" s="319"/>
      <c r="JOG12" s="319"/>
      <c r="JOH12" s="319"/>
      <c r="JOI12" s="319"/>
      <c r="JOJ12" s="319"/>
      <c r="JOK12" s="319"/>
      <c r="JOL12" s="319"/>
      <c r="JOM12" s="319"/>
      <c r="JON12" s="319"/>
      <c r="JOO12" s="319"/>
      <c r="JOP12" s="319"/>
      <c r="JOQ12" s="319"/>
      <c r="JOR12" s="319"/>
      <c r="JOS12" s="319"/>
      <c r="JOT12" s="319"/>
      <c r="JOU12" s="319"/>
      <c r="JOV12" s="319"/>
      <c r="JOW12" s="319"/>
      <c r="JOX12" s="319"/>
      <c r="JOY12" s="319"/>
      <c r="JOZ12" s="319"/>
      <c r="JPA12" s="319"/>
      <c r="JPB12" s="319"/>
      <c r="JPC12" s="319"/>
      <c r="JPD12" s="319"/>
      <c r="JPE12" s="319"/>
      <c r="JPF12" s="319"/>
      <c r="JPG12" s="319"/>
      <c r="JPH12" s="319"/>
      <c r="JPI12" s="319"/>
      <c r="JPJ12" s="319"/>
      <c r="JPK12" s="319"/>
      <c r="JPL12" s="319"/>
      <c r="JPM12" s="319"/>
      <c r="JPN12" s="319"/>
      <c r="JPO12" s="319"/>
      <c r="JPP12" s="319"/>
      <c r="JPQ12" s="319"/>
      <c r="JPR12" s="319"/>
      <c r="JPS12" s="319"/>
      <c r="JPT12" s="319"/>
      <c r="JPU12" s="319"/>
      <c r="JPV12" s="319"/>
      <c r="JPW12" s="319"/>
      <c r="JPX12" s="319"/>
      <c r="JPY12" s="319"/>
      <c r="JPZ12" s="319"/>
      <c r="JQA12" s="319"/>
      <c r="JQB12" s="319"/>
      <c r="JQC12" s="319"/>
      <c r="JQD12" s="319"/>
      <c r="JQE12" s="319"/>
      <c r="JQF12" s="319"/>
      <c r="JQG12" s="319"/>
      <c r="JQH12" s="319"/>
      <c r="JQI12" s="319"/>
      <c r="JQJ12" s="319"/>
      <c r="JQK12" s="319"/>
      <c r="JQL12" s="319"/>
      <c r="JQM12" s="319"/>
      <c r="JQN12" s="319"/>
      <c r="JQO12" s="319"/>
      <c r="JQP12" s="319"/>
      <c r="JQQ12" s="319"/>
      <c r="JQR12" s="319"/>
      <c r="JQS12" s="319"/>
      <c r="JQT12" s="319"/>
      <c r="JQU12" s="319"/>
      <c r="JQV12" s="319"/>
      <c r="JQW12" s="319"/>
      <c r="JQX12" s="319"/>
      <c r="JQY12" s="319"/>
      <c r="JQZ12" s="319"/>
      <c r="JRA12" s="319"/>
      <c r="JRB12" s="319"/>
      <c r="JRC12" s="319"/>
      <c r="JRD12" s="319"/>
      <c r="JRE12" s="319"/>
      <c r="JRF12" s="319"/>
      <c r="JRG12" s="319"/>
      <c r="JRH12" s="319"/>
      <c r="JRI12" s="319"/>
      <c r="JRJ12" s="319"/>
      <c r="JRK12" s="319"/>
      <c r="JRL12" s="319"/>
      <c r="JRM12" s="319"/>
      <c r="JRN12" s="319"/>
      <c r="JRO12" s="319"/>
      <c r="JRP12" s="319"/>
      <c r="JRQ12" s="319"/>
      <c r="JRR12" s="319"/>
      <c r="JRS12" s="319"/>
      <c r="JRT12" s="319"/>
      <c r="JRU12" s="319"/>
      <c r="JRV12" s="319"/>
      <c r="JRW12" s="319"/>
      <c r="JRX12" s="319"/>
      <c r="JRY12" s="319"/>
      <c r="JRZ12" s="319"/>
      <c r="JSA12" s="319"/>
      <c r="JSB12" s="319"/>
      <c r="JSC12" s="319"/>
      <c r="JSD12" s="319"/>
      <c r="JSE12" s="319"/>
      <c r="JSF12" s="319"/>
      <c r="JSG12" s="319"/>
      <c r="JSH12" s="319"/>
      <c r="JSI12" s="319"/>
      <c r="JSJ12" s="319"/>
      <c r="JSK12" s="319"/>
      <c r="JSL12" s="319"/>
      <c r="JSM12" s="319"/>
      <c r="JSN12" s="319"/>
      <c r="JSO12" s="319"/>
      <c r="JSP12" s="319"/>
      <c r="JSQ12" s="319"/>
      <c r="JSR12" s="319"/>
      <c r="JSS12" s="319"/>
      <c r="JST12" s="319"/>
      <c r="JSU12" s="319"/>
      <c r="JSV12" s="319"/>
      <c r="JSW12" s="319"/>
      <c r="JSX12" s="319"/>
      <c r="JSY12" s="319"/>
      <c r="JSZ12" s="319"/>
      <c r="JTA12" s="319"/>
      <c r="JTB12" s="319"/>
      <c r="JTC12" s="319"/>
      <c r="JTD12" s="319"/>
      <c r="JTE12" s="319"/>
      <c r="JTF12" s="319"/>
      <c r="JTG12" s="319"/>
      <c r="JTH12" s="319"/>
      <c r="JTI12" s="319"/>
      <c r="JTJ12" s="319"/>
      <c r="JTK12" s="319"/>
      <c r="JTL12" s="319"/>
      <c r="JTM12" s="319"/>
      <c r="JTN12" s="319"/>
      <c r="JTO12" s="319"/>
      <c r="JTP12" s="319"/>
      <c r="JTQ12" s="319"/>
      <c r="JTR12" s="319"/>
      <c r="JTS12" s="319"/>
      <c r="JTT12" s="319"/>
      <c r="JTU12" s="319"/>
      <c r="JTV12" s="319"/>
      <c r="JTW12" s="319"/>
      <c r="JTX12" s="319"/>
      <c r="JTY12" s="319"/>
      <c r="JTZ12" s="319"/>
      <c r="JUA12" s="319"/>
      <c r="JUB12" s="319"/>
      <c r="JUC12" s="319"/>
      <c r="JUD12" s="319"/>
      <c r="JUE12" s="319"/>
      <c r="JUF12" s="319"/>
      <c r="JUG12" s="319"/>
      <c r="JUH12" s="319"/>
      <c r="JUI12" s="319"/>
      <c r="JUJ12" s="319"/>
      <c r="JUK12" s="319"/>
      <c r="JUL12" s="319"/>
      <c r="JUM12" s="319"/>
      <c r="JUN12" s="319"/>
      <c r="JUO12" s="319"/>
      <c r="JUP12" s="319"/>
      <c r="JUQ12" s="319"/>
      <c r="JUR12" s="319"/>
      <c r="JUS12" s="319"/>
      <c r="JUT12" s="319"/>
      <c r="JUU12" s="319"/>
      <c r="JUV12" s="319"/>
      <c r="JUW12" s="319"/>
      <c r="JUX12" s="319"/>
      <c r="JUY12" s="319"/>
      <c r="JUZ12" s="319"/>
      <c r="JVA12" s="319"/>
      <c r="JVB12" s="319"/>
      <c r="JVC12" s="319"/>
      <c r="JVD12" s="319"/>
      <c r="JVE12" s="319"/>
      <c r="JVF12" s="319"/>
      <c r="JVG12" s="319"/>
      <c r="JVH12" s="319"/>
      <c r="JVI12" s="319"/>
      <c r="JVJ12" s="319"/>
      <c r="JVK12" s="319"/>
      <c r="JVL12" s="319"/>
      <c r="JVM12" s="319"/>
      <c r="JVN12" s="319"/>
      <c r="JVO12" s="319"/>
      <c r="JVP12" s="319"/>
      <c r="JVQ12" s="319"/>
      <c r="JVR12" s="319"/>
      <c r="JVS12" s="319"/>
      <c r="JVT12" s="319"/>
      <c r="JVU12" s="319"/>
      <c r="JVV12" s="319"/>
      <c r="JVW12" s="319"/>
      <c r="JVX12" s="319"/>
      <c r="JVY12" s="319"/>
      <c r="JVZ12" s="319"/>
      <c r="JWA12" s="319"/>
      <c r="JWB12" s="319"/>
      <c r="JWC12" s="319"/>
      <c r="JWD12" s="319"/>
      <c r="JWE12" s="319"/>
      <c r="JWF12" s="319"/>
      <c r="JWG12" s="319"/>
      <c r="JWH12" s="319"/>
      <c r="JWI12" s="319"/>
      <c r="JWJ12" s="319"/>
      <c r="JWK12" s="319"/>
      <c r="JWL12" s="319"/>
      <c r="JWM12" s="319"/>
      <c r="JWN12" s="319"/>
      <c r="JWO12" s="319"/>
      <c r="JWP12" s="319"/>
      <c r="JWQ12" s="319"/>
      <c r="JWR12" s="319"/>
      <c r="JWS12" s="319"/>
      <c r="JWT12" s="319"/>
      <c r="JWU12" s="319"/>
      <c r="JWV12" s="319"/>
      <c r="JWW12" s="319"/>
      <c r="JWX12" s="319"/>
      <c r="JWY12" s="319"/>
      <c r="JWZ12" s="319"/>
      <c r="JXA12" s="319"/>
      <c r="JXB12" s="319"/>
      <c r="JXC12" s="319"/>
      <c r="JXD12" s="319"/>
      <c r="JXE12" s="319"/>
      <c r="JXF12" s="319"/>
      <c r="JXG12" s="319"/>
      <c r="JXH12" s="319"/>
      <c r="JXI12" s="319"/>
      <c r="JXJ12" s="319"/>
      <c r="JXK12" s="319"/>
      <c r="JXL12" s="319"/>
      <c r="JXM12" s="319"/>
      <c r="JXN12" s="319"/>
      <c r="JXO12" s="319"/>
      <c r="JXP12" s="319"/>
      <c r="JXQ12" s="319"/>
      <c r="JXR12" s="319"/>
      <c r="JXS12" s="319"/>
      <c r="JXT12" s="319"/>
      <c r="JXU12" s="319"/>
      <c r="JXV12" s="319"/>
      <c r="JXW12" s="319"/>
      <c r="JXX12" s="319"/>
      <c r="JXY12" s="319"/>
      <c r="JXZ12" s="319"/>
      <c r="JYA12" s="319"/>
      <c r="JYB12" s="319"/>
      <c r="JYC12" s="319"/>
      <c r="JYD12" s="319"/>
      <c r="JYE12" s="319"/>
      <c r="JYF12" s="319"/>
      <c r="JYG12" s="319"/>
      <c r="JYH12" s="319"/>
      <c r="JYI12" s="319"/>
      <c r="JYJ12" s="319"/>
      <c r="JYK12" s="319"/>
      <c r="JYL12" s="319"/>
      <c r="JYM12" s="319"/>
      <c r="JYN12" s="319"/>
      <c r="JYO12" s="319"/>
      <c r="JYP12" s="319"/>
      <c r="JYQ12" s="319"/>
      <c r="JYR12" s="319"/>
      <c r="JYS12" s="319"/>
      <c r="JYT12" s="319"/>
      <c r="JYU12" s="319"/>
      <c r="JYV12" s="319"/>
      <c r="JYW12" s="319"/>
      <c r="JYX12" s="319"/>
      <c r="JYY12" s="319"/>
      <c r="JYZ12" s="319"/>
      <c r="JZA12" s="319"/>
      <c r="JZB12" s="319"/>
      <c r="JZC12" s="319"/>
      <c r="JZD12" s="319"/>
      <c r="JZE12" s="319"/>
      <c r="JZF12" s="319"/>
      <c r="JZG12" s="319"/>
      <c r="JZH12" s="319"/>
      <c r="JZI12" s="319"/>
      <c r="JZJ12" s="319"/>
      <c r="JZK12" s="319"/>
      <c r="JZL12" s="319"/>
      <c r="JZM12" s="319"/>
      <c r="JZN12" s="319"/>
      <c r="JZO12" s="319"/>
      <c r="JZP12" s="319"/>
      <c r="JZQ12" s="319"/>
      <c r="JZR12" s="319"/>
      <c r="JZS12" s="319"/>
      <c r="JZT12" s="319"/>
      <c r="JZU12" s="319"/>
      <c r="JZV12" s="319"/>
      <c r="JZW12" s="319"/>
      <c r="JZX12" s="319"/>
      <c r="JZY12" s="319"/>
      <c r="JZZ12" s="319"/>
      <c r="KAA12" s="319"/>
      <c r="KAB12" s="319"/>
      <c r="KAC12" s="319"/>
      <c r="KAD12" s="319"/>
      <c r="KAE12" s="319"/>
      <c r="KAF12" s="319"/>
      <c r="KAG12" s="319"/>
      <c r="KAH12" s="319"/>
      <c r="KAI12" s="319"/>
      <c r="KAJ12" s="319"/>
      <c r="KAK12" s="319"/>
      <c r="KAL12" s="319"/>
      <c r="KAM12" s="319"/>
      <c r="KAN12" s="319"/>
      <c r="KAO12" s="319"/>
      <c r="KAP12" s="319"/>
      <c r="KAQ12" s="319"/>
      <c r="KAR12" s="319"/>
      <c r="KAS12" s="319"/>
      <c r="KAT12" s="319"/>
      <c r="KAU12" s="319"/>
      <c r="KAV12" s="319"/>
      <c r="KAW12" s="319"/>
      <c r="KAX12" s="319"/>
      <c r="KAY12" s="319"/>
      <c r="KAZ12" s="319"/>
      <c r="KBA12" s="319"/>
      <c r="KBB12" s="319"/>
      <c r="KBC12" s="319"/>
      <c r="KBD12" s="319"/>
      <c r="KBE12" s="319"/>
      <c r="KBF12" s="319"/>
      <c r="KBG12" s="319"/>
      <c r="KBH12" s="319"/>
      <c r="KBI12" s="319"/>
      <c r="KBJ12" s="319"/>
      <c r="KBK12" s="319"/>
      <c r="KBL12" s="319"/>
      <c r="KBM12" s="319"/>
      <c r="KBN12" s="319"/>
      <c r="KBO12" s="319"/>
      <c r="KBP12" s="319"/>
      <c r="KBQ12" s="319"/>
      <c r="KBR12" s="319"/>
      <c r="KBS12" s="319"/>
      <c r="KBT12" s="319"/>
      <c r="KBU12" s="319"/>
      <c r="KBV12" s="319"/>
      <c r="KBW12" s="319"/>
      <c r="KBX12" s="319"/>
      <c r="KBY12" s="319"/>
      <c r="KBZ12" s="319"/>
      <c r="KCA12" s="319"/>
      <c r="KCB12" s="319"/>
      <c r="KCC12" s="319"/>
      <c r="KCD12" s="319"/>
      <c r="KCE12" s="319"/>
      <c r="KCF12" s="319"/>
      <c r="KCG12" s="319"/>
      <c r="KCH12" s="319"/>
      <c r="KCI12" s="319"/>
      <c r="KCJ12" s="319"/>
      <c r="KCK12" s="319"/>
      <c r="KCL12" s="319"/>
      <c r="KCM12" s="319"/>
      <c r="KCN12" s="319"/>
      <c r="KCO12" s="319"/>
      <c r="KCP12" s="319"/>
      <c r="KCQ12" s="319"/>
      <c r="KCR12" s="319"/>
      <c r="KCS12" s="319"/>
      <c r="KCT12" s="319"/>
      <c r="KCU12" s="319"/>
      <c r="KCV12" s="319"/>
      <c r="KCW12" s="319"/>
      <c r="KCX12" s="319"/>
      <c r="KCY12" s="319"/>
      <c r="KCZ12" s="319"/>
      <c r="KDA12" s="319"/>
      <c r="KDB12" s="319"/>
      <c r="KDC12" s="319"/>
      <c r="KDD12" s="319"/>
      <c r="KDE12" s="319"/>
      <c r="KDF12" s="319"/>
      <c r="KDG12" s="319"/>
      <c r="KDH12" s="319"/>
      <c r="KDI12" s="319"/>
      <c r="KDJ12" s="319"/>
      <c r="KDK12" s="319"/>
      <c r="KDL12" s="319"/>
      <c r="KDM12" s="319"/>
      <c r="KDN12" s="319"/>
      <c r="KDO12" s="319"/>
      <c r="KDP12" s="319"/>
      <c r="KDQ12" s="319"/>
      <c r="KDR12" s="319"/>
      <c r="KDS12" s="319"/>
      <c r="KDT12" s="319"/>
      <c r="KDU12" s="319"/>
      <c r="KDV12" s="319"/>
      <c r="KDW12" s="319"/>
      <c r="KDX12" s="319"/>
      <c r="KDY12" s="319"/>
      <c r="KDZ12" s="319"/>
      <c r="KEA12" s="319"/>
      <c r="KEB12" s="319"/>
      <c r="KEC12" s="319"/>
      <c r="KED12" s="319"/>
      <c r="KEE12" s="319"/>
      <c r="KEF12" s="319"/>
      <c r="KEG12" s="319"/>
      <c r="KEH12" s="319"/>
      <c r="KEI12" s="319"/>
      <c r="KEJ12" s="319"/>
      <c r="KEK12" s="319"/>
      <c r="KEL12" s="319"/>
      <c r="KEM12" s="319"/>
      <c r="KEN12" s="319"/>
      <c r="KEO12" s="319"/>
      <c r="KEP12" s="319"/>
      <c r="KEQ12" s="319"/>
      <c r="KER12" s="319"/>
      <c r="KES12" s="319"/>
      <c r="KET12" s="319"/>
      <c r="KEU12" s="319"/>
      <c r="KEV12" s="319"/>
      <c r="KEW12" s="319"/>
      <c r="KEX12" s="319"/>
      <c r="KEY12" s="319"/>
      <c r="KEZ12" s="319"/>
      <c r="KFA12" s="319"/>
      <c r="KFB12" s="319"/>
      <c r="KFC12" s="319"/>
      <c r="KFD12" s="319"/>
      <c r="KFE12" s="319"/>
      <c r="KFF12" s="319"/>
      <c r="KFG12" s="319"/>
      <c r="KFH12" s="319"/>
      <c r="KFI12" s="319"/>
      <c r="KFJ12" s="319"/>
      <c r="KFK12" s="319"/>
      <c r="KFL12" s="319"/>
      <c r="KFM12" s="319"/>
      <c r="KFN12" s="319"/>
      <c r="KFO12" s="319"/>
      <c r="KFP12" s="319"/>
      <c r="KFQ12" s="319"/>
      <c r="KFR12" s="319"/>
      <c r="KFS12" s="319"/>
      <c r="KFT12" s="319"/>
      <c r="KFU12" s="319"/>
      <c r="KFV12" s="319"/>
      <c r="KFW12" s="319"/>
      <c r="KFX12" s="319"/>
      <c r="KFY12" s="319"/>
      <c r="KFZ12" s="319"/>
      <c r="KGA12" s="319"/>
      <c r="KGB12" s="319"/>
      <c r="KGC12" s="319"/>
      <c r="KGD12" s="319"/>
      <c r="KGE12" s="319"/>
      <c r="KGF12" s="319"/>
      <c r="KGG12" s="319"/>
      <c r="KGH12" s="319"/>
      <c r="KGI12" s="319"/>
      <c r="KGJ12" s="319"/>
      <c r="KGK12" s="319"/>
      <c r="KGL12" s="319"/>
      <c r="KGM12" s="319"/>
      <c r="KGN12" s="319"/>
      <c r="KGO12" s="319"/>
      <c r="KGP12" s="319"/>
      <c r="KGQ12" s="319"/>
      <c r="KGR12" s="319"/>
      <c r="KGS12" s="319"/>
      <c r="KGT12" s="319"/>
      <c r="KGU12" s="319"/>
      <c r="KGV12" s="319"/>
      <c r="KGW12" s="319"/>
      <c r="KGX12" s="319"/>
      <c r="KGY12" s="319"/>
      <c r="KGZ12" s="319"/>
      <c r="KHA12" s="319"/>
      <c r="KHB12" s="319"/>
      <c r="KHC12" s="319"/>
      <c r="KHD12" s="319"/>
      <c r="KHE12" s="319"/>
      <c r="KHF12" s="319"/>
      <c r="KHG12" s="319"/>
      <c r="KHH12" s="319"/>
      <c r="KHI12" s="319"/>
      <c r="KHJ12" s="319"/>
      <c r="KHK12" s="319"/>
      <c r="KHL12" s="319"/>
      <c r="KHM12" s="319"/>
      <c r="KHN12" s="319"/>
      <c r="KHO12" s="319"/>
      <c r="KHP12" s="319"/>
      <c r="KHQ12" s="319"/>
      <c r="KHR12" s="319"/>
      <c r="KHS12" s="319"/>
      <c r="KHT12" s="319"/>
      <c r="KHU12" s="319"/>
      <c r="KHV12" s="319"/>
      <c r="KHW12" s="319"/>
      <c r="KHX12" s="319"/>
      <c r="KHY12" s="319"/>
      <c r="KHZ12" s="319"/>
      <c r="KIA12" s="319"/>
      <c r="KIB12" s="319"/>
      <c r="KIC12" s="319"/>
      <c r="KID12" s="319"/>
      <c r="KIE12" s="319"/>
      <c r="KIF12" s="319"/>
      <c r="KIG12" s="319"/>
      <c r="KIH12" s="319"/>
      <c r="KII12" s="319"/>
      <c r="KIJ12" s="319"/>
      <c r="KIK12" s="319"/>
      <c r="KIL12" s="319"/>
      <c r="KIM12" s="319"/>
      <c r="KIN12" s="319"/>
      <c r="KIO12" s="319"/>
      <c r="KIP12" s="319"/>
      <c r="KIQ12" s="319"/>
      <c r="KIR12" s="319"/>
      <c r="KIS12" s="319"/>
      <c r="KIT12" s="319"/>
      <c r="KIU12" s="319"/>
      <c r="KIV12" s="319"/>
      <c r="KIW12" s="319"/>
      <c r="KIX12" s="319"/>
      <c r="KIY12" s="319"/>
      <c r="KIZ12" s="319"/>
      <c r="KJA12" s="319"/>
      <c r="KJB12" s="319"/>
      <c r="KJC12" s="319"/>
      <c r="KJD12" s="319"/>
      <c r="KJE12" s="319"/>
      <c r="KJF12" s="319"/>
      <c r="KJG12" s="319"/>
      <c r="KJH12" s="319"/>
      <c r="KJI12" s="319"/>
      <c r="KJJ12" s="319"/>
      <c r="KJK12" s="319"/>
      <c r="KJL12" s="319"/>
      <c r="KJM12" s="319"/>
      <c r="KJN12" s="319"/>
      <c r="KJO12" s="319"/>
      <c r="KJP12" s="319"/>
      <c r="KJQ12" s="319"/>
      <c r="KJR12" s="319"/>
      <c r="KJS12" s="319"/>
      <c r="KJT12" s="319"/>
      <c r="KJU12" s="319"/>
      <c r="KJV12" s="319"/>
      <c r="KJW12" s="319"/>
      <c r="KJX12" s="319"/>
      <c r="KJY12" s="319"/>
      <c r="KJZ12" s="319"/>
      <c r="KKA12" s="319"/>
      <c r="KKB12" s="319"/>
      <c r="KKC12" s="319"/>
      <c r="KKD12" s="319"/>
      <c r="KKE12" s="319"/>
      <c r="KKF12" s="319"/>
      <c r="KKG12" s="319"/>
      <c r="KKH12" s="319"/>
      <c r="KKI12" s="319"/>
      <c r="KKJ12" s="319"/>
      <c r="KKK12" s="319"/>
      <c r="KKL12" s="319"/>
      <c r="KKM12" s="319"/>
      <c r="KKN12" s="319"/>
      <c r="KKO12" s="319"/>
      <c r="KKP12" s="319"/>
      <c r="KKQ12" s="319"/>
      <c r="KKR12" s="319"/>
      <c r="KKS12" s="319"/>
      <c r="KKT12" s="319"/>
      <c r="KKU12" s="319"/>
      <c r="KKV12" s="319"/>
      <c r="KKW12" s="319"/>
      <c r="KKX12" s="319"/>
      <c r="KKY12" s="319"/>
      <c r="KKZ12" s="319"/>
      <c r="KLA12" s="319"/>
      <c r="KLB12" s="319"/>
      <c r="KLC12" s="319"/>
      <c r="KLD12" s="319"/>
      <c r="KLE12" s="319"/>
      <c r="KLF12" s="319"/>
      <c r="KLG12" s="319"/>
      <c r="KLH12" s="319"/>
      <c r="KLI12" s="319"/>
      <c r="KLJ12" s="319"/>
      <c r="KLK12" s="319"/>
      <c r="KLL12" s="319"/>
      <c r="KLM12" s="319"/>
      <c r="KLN12" s="319"/>
      <c r="KLO12" s="319"/>
      <c r="KLP12" s="319"/>
      <c r="KLQ12" s="319"/>
      <c r="KLR12" s="319"/>
      <c r="KLS12" s="319"/>
      <c r="KLT12" s="319"/>
      <c r="KLU12" s="319"/>
      <c r="KLV12" s="319"/>
      <c r="KLW12" s="319"/>
      <c r="KLX12" s="319"/>
      <c r="KLY12" s="319"/>
      <c r="KLZ12" s="319"/>
      <c r="KMA12" s="319"/>
      <c r="KMB12" s="319"/>
      <c r="KMC12" s="319"/>
      <c r="KMD12" s="319"/>
      <c r="KME12" s="319"/>
      <c r="KMF12" s="319"/>
      <c r="KMG12" s="319"/>
      <c r="KMH12" s="319"/>
      <c r="KMI12" s="319"/>
      <c r="KMJ12" s="319"/>
      <c r="KMK12" s="319"/>
      <c r="KML12" s="319"/>
      <c r="KMM12" s="319"/>
      <c r="KMN12" s="319"/>
      <c r="KMO12" s="319"/>
      <c r="KMP12" s="319"/>
      <c r="KMQ12" s="319"/>
      <c r="KMR12" s="319"/>
      <c r="KMS12" s="319"/>
      <c r="KMT12" s="319"/>
      <c r="KMU12" s="319"/>
      <c r="KMV12" s="319"/>
      <c r="KMW12" s="319"/>
      <c r="KMX12" s="319"/>
      <c r="KMY12" s="319"/>
      <c r="KMZ12" s="319"/>
      <c r="KNA12" s="319"/>
      <c r="KNB12" s="319"/>
      <c r="KNC12" s="319"/>
      <c r="KND12" s="319"/>
      <c r="KNE12" s="319"/>
      <c r="KNF12" s="319"/>
      <c r="KNG12" s="319"/>
      <c r="KNH12" s="319"/>
      <c r="KNI12" s="319"/>
      <c r="KNJ12" s="319"/>
      <c r="KNK12" s="319"/>
      <c r="KNL12" s="319"/>
      <c r="KNM12" s="319"/>
      <c r="KNN12" s="319"/>
      <c r="KNO12" s="319"/>
      <c r="KNP12" s="319"/>
      <c r="KNQ12" s="319"/>
      <c r="KNR12" s="319"/>
      <c r="KNS12" s="319"/>
      <c r="KNT12" s="319"/>
      <c r="KNU12" s="319"/>
      <c r="KNV12" s="319"/>
      <c r="KNW12" s="319"/>
      <c r="KNX12" s="319"/>
      <c r="KNY12" s="319"/>
      <c r="KNZ12" s="319"/>
      <c r="KOA12" s="319"/>
      <c r="KOB12" s="319"/>
      <c r="KOC12" s="319"/>
      <c r="KOD12" s="319"/>
      <c r="KOE12" s="319"/>
      <c r="KOF12" s="319"/>
      <c r="KOG12" s="319"/>
      <c r="KOH12" s="319"/>
      <c r="KOI12" s="319"/>
      <c r="KOJ12" s="319"/>
      <c r="KOK12" s="319"/>
      <c r="KOL12" s="319"/>
      <c r="KOM12" s="319"/>
      <c r="KON12" s="319"/>
      <c r="KOO12" s="319"/>
      <c r="KOP12" s="319"/>
      <c r="KOQ12" s="319"/>
      <c r="KOR12" s="319"/>
      <c r="KOS12" s="319"/>
      <c r="KOT12" s="319"/>
      <c r="KOU12" s="319"/>
      <c r="KOV12" s="319"/>
      <c r="KOW12" s="319"/>
      <c r="KOX12" s="319"/>
      <c r="KOY12" s="319"/>
      <c r="KOZ12" s="319"/>
      <c r="KPA12" s="319"/>
      <c r="KPB12" s="319"/>
      <c r="KPC12" s="319"/>
      <c r="KPD12" s="319"/>
      <c r="KPE12" s="319"/>
      <c r="KPF12" s="319"/>
      <c r="KPG12" s="319"/>
      <c r="KPH12" s="319"/>
      <c r="KPI12" s="319"/>
      <c r="KPJ12" s="319"/>
      <c r="KPK12" s="319"/>
      <c r="KPL12" s="319"/>
      <c r="KPM12" s="319"/>
      <c r="KPN12" s="319"/>
      <c r="KPO12" s="319"/>
      <c r="KPP12" s="319"/>
      <c r="KPQ12" s="319"/>
      <c r="KPR12" s="319"/>
      <c r="KPS12" s="319"/>
      <c r="KPT12" s="319"/>
      <c r="KPU12" s="319"/>
      <c r="KPV12" s="319"/>
      <c r="KPW12" s="319"/>
      <c r="KPX12" s="319"/>
      <c r="KPY12" s="319"/>
      <c r="KPZ12" s="319"/>
      <c r="KQA12" s="319"/>
      <c r="KQB12" s="319"/>
      <c r="KQC12" s="319"/>
      <c r="KQD12" s="319"/>
      <c r="KQE12" s="319"/>
      <c r="KQF12" s="319"/>
      <c r="KQG12" s="319"/>
      <c r="KQH12" s="319"/>
      <c r="KQI12" s="319"/>
      <c r="KQJ12" s="319"/>
      <c r="KQK12" s="319"/>
      <c r="KQL12" s="319"/>
      <c r="KQM12" s="319"/>
      <c r="KQN12" s="319"/>
      <c r="KQO12" s="319"/>
      <c r="KQP12" s="319"/>
      <c r="KQQ12" s="319"/>
      <c r="KQR12" s="319"/>
      <c r="KQS12" s="319"/>
      <c r="KQT12" s="319"/>
      <c r="KQU12" s="319"/>
      <c r="KQV12" s="319"/>
      <c r="KQW12" s="319"/>
      <c r="KQX12" s="319"/>
      <c r="KQY12" s="319"/>
      <c r="KQZ12" s="319"/>
      <c r="KRA12" s="319"/>
      <c r="KRB12" s="319"/>
      <c r="KRC12" s="319"/>
      <c r="KRD12" s="319"/>
      <c r="KRE12" s="319"/>
      <c r="KRF12" s="319"/>
      <c r="KRG12" s="319"/>
      <c r="KRH12" s="319"/>
      <c r="KRI12" s="319"/>
      <c r="KRJ12" s="319"/>
      <c r="KRK12" s="319"/>
      <c r="KRL12" s="319"/>
      <c r="KRM12" s="319"/>
      <c r="KRN12" s="319"/>
      <c r="KRO12" s="319"/>
      <c r="KRP12" s="319"/>
      <c r="KRQ12" s="319"/>
      <c r="KRR12" s="319"/>
      <c r="KRS12" s="319"/>
      <c r="KRT12" s="319"/>
      <c r="KRU12" s="319"/>
      <c r="KRV12" s="319"/>
      <c r="KRW12" s="319"/>
      <c r="KRX12" s="319"/>
      <c r="KRY12" s="319"/>
      <c r="KRZ12" s="319"/>
      <c r="KSA12" s="319"/>
      <c r="KSB12" s="319"/>
      <c r="KSC12" s="319"/>
      <c r="KSD12" s="319"/>
      <c r="KSE12" s="319"/>
      <c r="KSF12" s="319"/>
      <c r="KSG12" s="319"/>
      <c r="KSH12" s="319"/>
      <c r="KSI12" s="319"/>
      <c r="KSJ12" s="319"/>
      <c r="KSK12" s="319"/>
      <c r="KSL12" s="319"/>
      <c r="KSM12" s="319"/>
      <c r="KSN12" s="319"/>
      <c r="KSO12" s="319"/>
      <c r="KSP12" s="319"/>
      <c r="KSQ12" s="319"/>
      <c r="KSR12" s="319"/>
      <c r="KSS12" s="319"/>
      <c r="KST12" s="319"/>
      <c r="KSU12" s="319"/>
      <c r="KSV12" s="319"/>
      <c r="KSW12" s="319"/>
      <c r="KSX12" s="319"/>
      <c r="KSY12" s="319"/>
      <c r="KSZ12" s="319"/>
      <c r="KTA12" s="319"/>
      <c r="KTB12" s="319"/>
      <c r="KTC12" s="319"/>
      <c r="KTD12" s="319"/>
      <c r="KTE12" s="319"/>
      <c r="KTF12" s="319"/>
      <c r="KTG12" s="319"/>
      <c r="KTH12" s="319"/>
      <c r="KTI12" s="319"/>
      <c r="KTJ12" s="319"/>
      <c r="KTK12" s="319"/>
      <c r="KTL12" s="319"/>
      <c r="KTM12" s="319"/>
      <c r="KTN12" s="319"/>
      <c r="KTO12" s="319"/>
      <c r="KTP12" s="319"/>
      <c r="KTQ12" s="319"/>
      <c r="KTR12" s="319"/>
      <c r="KTS12" s="319"/>
      <c r="KTT12" s="319"/>
      <c r="KTU12" s="319"/>
      <c r="KTV12" s="319"/>
      <c r="KTW12" s="319"/>
      <c r="KTX12" s="319"/>
      <c r="KTY12" s="319"/>
      <c r="KTZ12" s="319"/>
      <c r="KUA12" s="319"/>
      <c r="KUB12" s="319"/>
      <c r="KUC12" s="319"/>
      <c r="KUD12" s="319"/>
      <c r="KUE12" s="319"/>
      <c r="KUF12" s="319"/>
      <c r="KUG12" s="319"/>
      <c r="KUH12" s="319"/>
      <c r="KUI12" s="319"/>
      <c r="KUJ12" s="319"/>
      <c r="KUK12" s="319"/>
      <c r="KUL12" s="319"/>
      <c r="KUM12" s="319"/>
      <c r="KUN12" s="319"/>
      <c r="KUO12" s="319"/>
      <c r="KUP12" s="319"/>
      <c r="KUQ12" s="319"/>
      <c r="KUR12" s="319"/>
      <c r="KUS12" s="319"/>
      <c r="KUT12" s="319"/>
      <c r="KUU12" s="319"/>
      <c r="KUV12" s="319"/>
      <c r="KUW12" s="319"/>
      <c r="KUX12" s="319"/>
      <c r="KUY12" s="319"/>
      <c r="KUZ12" s="319"/>
      <c r="KVA12" s="319"/>
      <c r="KVB12" s="319"/>
      <c r="KVC12" s="319"/>
      <c r="KVD12" s="319"/>
      <c r="KVE12" s="319"/>
      <c r="KVF12" s="319"/>
      <c r="KVG12" s="319"/>
      <c r="KVH12" s="319"/>
      <c r="KVI12" s="319"/>
      <c r="KVJ12" s="319"/>
      <c r="KVK12" s="319"/>
      <c r="KVL12" s="319"/>
      <c r="KVM12" s="319"/>
      <c r="KVN12" s="319"/>
      <c r="KVO12" s="319"/>
      <c r="KVP12" s="319"/>
      <c r="KVQ12" s="319"/>
      <c r="KVR12" s="319"/>
      <c r="KVS12" s="319"/>
      <c r="KVT12" s="319"/>
      <c r="KVU12" s="319"/>
      <c r="KVV12" s="319"/>
      <c r="KVW12" s="319"/>
      <c r="KVX12" s="319"/>
      <c r="KVY12" s="319"/>
      <c r="KVZ12" s="319"/>
      <c r="KWA12" s="319"/>
      <c r="KWB12" s="319"/>
      <c r="KWC12" s="319"/>
      <c r="KWD12" s="319"/>
      <c r="KWE12" s="319"/>
      <c r="KWF12" s="319"/>
      <c r="KWG12" s="319"/>
      <c r="KWH12" s="319"/>
      <c r="KWI12" s="319"/>
      <c r="KWJ12" s="319"/>
      <c r="KWK12" s="319"/>
      <c r="KWL12" s="319"/>
      <c r="KWM12" s="319"/>
      <c r="KWN12" s="319"/>
      <c r="KWO12" s="319"/>
      <c r="KWP12" s="319"/>
      <c r="KWQ12" s="319"/>
      <c r="KWR12" s="319"/>
      <c r="KWS12" s="319"/>
      <c r="KWT12" s="319"/>
      <c r="KWU12" s="319"/>
      <c r="KWV12" s="319"/>
      <c r="KWW12" s="319"/>
      <c r="KWX12" s="319"/>
      <c r="KWY12" s="319"/>
      <c r="KWZ12" s="319"/>
      <c r="KXA12" s="319"/>
      <c r="KXB12" s="319"/>
      <c r="KXC12" s="319"/>
      <c r="KXD12" s="319"/>
      <c r="KXE12" s="319"/>
      <c r="KXF12" s="319"/>
      <c r="KXG12" s="319"/>
      <c r="KXH12" s="319"/>
      <c r="KXI12" s="319"/>
      <c r="KXJ12" s="319"/>
      <c r="KXK12" s="319"/>
      <c r="KXL12" s="319"/>
      <c r="KXM12" s="319"/>
      <c r="KXN12" s="319"/>
      <c r="KXO12" s="319"/>
      <c r="KXP12" s="319"/>
      <c r="KXQ12" s="319"/>
      <c r="KXR12" s="319"/>
      <c r="KXS12" s="319"/>
      <c r="KXT12" s="319"/>
      <c r="KXU12" s="319"/>
      <c r="KXV12" s="319"/>
      <c r="KXW12" s="319"/>
      <c r="KXX12" s="319"/>
      <c r="KXY12" s="319"/>
      <c r="KXZ12" s="319"/>
      <c r="KYA12" s="319"/>
      <c r="KYB12" s="319"/>
      <c r="KYC12" s="319"/>
      <c r="KYD12" s="319"/>
      <c r="KYE12" s="319"/>
      <c r="KYF12" s="319"/>
      <c r="KYG12" s="319"/>
      <c r="KYH12" s="319"/>
      <c r="KYI12" s="319"/>
      <c r="KYJ12" s="319"/>
      <c r="KYK12" s="319"/>
      <c r="KYL12" s="319"/>
      <c r="KYM12" s="319"/>
      <c r="KYN12" s="319"/>
      <c r="KYO12" s="319"/>
      <c r="KYP12" s="319"/>
      <c r="KYQ12" s="319"/>
      <c r="KYR12" s="319"/>
      <c r="KYS12" s="319"/>
      <c r="KYT12" s="319"/>
      <c r="KYU12" s="319"/>
      <c r="KYV12" s="319"/>
      <c r="KYW12" s="319"/>
      <c r="KYX12" s="319"/>
      <c r="KYY12" s="319"/>
      <c r="KYZ12" s="319"/>
      <c r="KZA12" s="319"/>
      <c r="KZB12" s="319"/>
      <c r="KZC12" s="319"/>
      <c r="KZD12" s="319"/>
      <c r="KZE12" s="319"/>
      <c r="KZF12" s="319"/>
      <c r="KZG12" s="319"/>
      <c r="KZH12" s="319"/>
      <c r="KZI12" s="319"/>
      <c r="KZJ12" s="319"/>
      <c r="KZK12" s="319"/>
      <c r="KZL12" s="319"/>
      <c r="KZM12" s="319"/>
      <c r="KZN12" s="319"/>
      <c r="KZO12" s="319"/>
      <c r="KZP12" s="319"/>
      <c r="KZQ12" s="319"/>
      <c r="KZR12" s="319"/>
      <c r="KZS12" s="319"/>
      <c r="KZT12" s="319"/>
      <c r="KZU12" s="319"/>
      <c r="KZV12" s="319"/>
      <c r="KZW12" s="319"/>
      <c r="KZX12" s="319"/>
      <c r="KZY12" s="319"/>
      <c r="KZZ12" s="319"/>
      <c r="LAA12" s="319"/>
      <c r="LAB12" s="319"/>
      <c r="LAC12" s="319"/>
      <c r="LAD12" s="319"/>
      <c r="LAE12" s="319"/>
      <c r="LAF12" s="319"/>
      <c r="LAG12" s="319"/>
      <c r="LAH12" s="319"/>
      <c r="LAI12" s="319"/>
      <c r="LAJ12" s="319"/>
      <c r="LAK12" s="319"/>
      <c r="LAL12" s="319"/>
      <c r="LAM12" s="319"/>
      <c r="LAN12" s="319"/>
      <c r="LAO12" s="319"/>
      <c r="LAP12" s="319"/>
      <c r="LAQ12" s="319"/>
      <c r="LAR12" s="319"/>
      <c r="LAS12" s="319"/>
      <c r="LAT12" s="319"/>
      <c r="LAU12" s="319"/>
      <c r="LAV12" s="319"/>
      <c r="LAW12" s="319"/>
      <c r="LAX12" s="319"/>
      <c r="LAY12" s="319"/>
      <c r="LAZ12" s="319"/>
      <c r="LBA12" s="319"/>
      <c r="LBB12" s="319"/>
      <c r="LBC12" s="319"/>
      <c r="LBD12" s="319"/>
      <c r="LBE12" s="319"/>
      <c r="LBF12" s="319"/>
      <c r="LBG12" s="319"/>
      <c r="LBH12" s="319"/>
      <c r="LBI12" s="319"/>
      <c r="LBJ12" s="319"/>
      <c r="LBK12" s="319"/>
      <c r="LBL12" s="319"/>
      <c r="LBM12" s="319"/>
      <c r="LBN12" s="319"/>
      <c r="LBO12" s="319"/>
      <c r="LBP12" s="319"/>
      <c r="LBQ12" s="319"/>
      <c r="LBR12" s="319"/>
      <c r="LBS12" s="319"/>
      <c r="LBT12" s="319"/>
      <c r="LBU12" s="319"/>
      <c r="LBV12" s="319"/>
      <c r="LBW12" s="319"/>
      <c r="LBX12" s="319"/>
      <c r="LBY12" s="319"/>
      <c r="LBZ12" s="319"/>
      <c r="LCA12" s="319"/>
      <c r="LCB12" s="319"/>
      <c r="LCC12" s="319"/>
      <c r="LCD12" s="319"/>
      <c r="LCE12" s="319"/>
      <c r="LCF12" s="319"/>
      <c r="LCG12" s="319"/>
      <c r="LCH12" s="319"/>
      <c r="LCI12" s="319"/>
      <c r="LCJ12" s="319"/>
      <c r="LCK12" s="319"/>
      <c r="LCL12" s="319"/>
      <c r="LCM12" s="319"/>
      <c r="LCN12" s="319"/>
      <c r="LCO12" s="319"/>
      <c r="LCP12" s="319"/>
      <c r="LCQ12" s="319"/>
      <c r="LCR12" s="319"/>
      <c r="LCS12" s="319"/>
      <c r="LCT12" s="319"/>
      <c r="LCU12" s="319"/>
      <c r="LCV12" s="319"/>
      <c r="LCW12" s="319"/>
      <c r="LCX12" s="319"/>
      <c r="LCY12" s="319"/>
      <c r="LCZ12" s="319"/>
      <c r="LDA12" s="319"/>
      <c r="LDB12" s="319"/>
      <c r="LDC12" s="319"/>
      <c r="LDD12" s="319"/>
      <c r="LDE12" s="319"/>
      <c r="LDF12" s="319"/>
      <c r="LDG12" s="319"/>
      <c r="LDH12" s="319"/>
      <c r="LDI12" s="319"/>
      <c r="LDJ12" s="319"/>
      <c r="LDK12" s="319"/>
      <c r="LDL12" s="319"/>
      <c r="LDM12" s="319"/>
      <c r="LDN12" s="319"/>
      <c r="LDO12" s="319"/>
      <c r="LDP12" s="319"/>
      <c r="LDQ12" s="319"/>
      <c r="LDR12" s="319"/>
      <c r="LDS12" s="319"/>
      <c r="LDT12" s="319"/>
      <c r="LDU12" s="319"/>
      <c r="LDV12" s="319"/>
      <c r="LDW12" s="319"/>
      <c r="LDX12" s="319"/>
      <c r="LDY12" s="319"/>
      <c r="LDZ12" s="319"/>
      <c r="LEA12" s="319"/>
      <c r="LEB12" s="319"/>
      <c r="LEC12" s="319"/>
      <c r="LED12" s="319"/>
      <c r="LEE12" s="319"/>
      <c r="LEF12" s="319"/>
      <c r="LEG12" s="319"/>
      <c r="LEH12" s="319"/>
      <c r="LEI12" s="319"/>
      <c r="LEJ12" s="319"/>
      <c r="LEK12" s="319"/>
      <c r="LEL12" s="319"/>
      <c r="LEM12" s="319"/>
      <c r="LEN12" s="319"/>
      <c r="LEO12" s="319"/>
      <c r="LEP12" s="319"/>
      <c r="LEQ12" s="319"/>
      <c r="LER12" s="319"/>
      <c r="LES12" s="319"/>
      <c r="LET12" s="319"/>
      <c r="LEU12" s="319"/>
      <c r="LEV12" s="319"/>
      <c r="LEW12" s="319"/>
      <c r="LEX12" s="319"/>
      <c r="LEY12" s="319"/>
      <c r="LEZ12" s="319"/>
      <c r="LFA12" s="319"/>
      <c r="LFB12" s="319"/>
      <c r="LFC12" s="319"/>
      <c r="LFD12" s="319"/>
      <c r="LFE12" s="319"/>
      <c r="LFF12" s="319"/>
      <c r="LFG12" s="319"/>
      <c r="LFH12" s="319"/>
      <c r="LFI12" s="319"/>
      <c r="LFJ12" s="319"/>
      <c r="LFK12" s="319"/>
      <c r="LFL12" s="319"/>
      <c r="LFM12" s="319"/>
      <c r="LFN12" s="319"/>
      <c r="LFO12" s="319"/>
      <c r="LFP12" s="319"/>
      <c r="LFQ12" s="319"/>
      <c r="LFR12" s="319"/>
      <c r="LFS12" s="319"/>
      <c r="LFT12" s="319"/>
      <c r="LFU12" s="319"/>
      <c r="LFV12" s="319"/>
      <c r="LFW12" s="319"/>
      <c r="LFX12" s="319"/>
      <c r="LFY12" s="319"/>
      <c r="LFZ12" s="319"/>
      <c r="LGA12" s="319"/>
      <c r="LGB12" s="319"/>
      <c r="LGC12" s="319"/>
      <c r="LGD12" s="319"/>
      <c r="LGE12" s="319"/>
      <c r="LGF12" s="319"/>
      <c r="LGG12" s="319"/>
      <c r="LGH12" s="319"/>
      <c r="LGI12" s="319"/>
      <c r="LGJ12" s="319"/>
      <c r="LGK12" s="319"/>
      <c r="LGL12" s="319"/>
      <c r="LGM12" s="319"/>
      <c r="LGN12" s="319"/>
      <c r="LGO12" s="319"/>
      <c r="LGP12" s="319"/>
      <c r="LGQ12" s="319"/>
      <c r="LGR12" s="319"/>
      <c r="LGS12" s="319"/>
      <c r="LGT12" s="319"/>
      <c r="LGU12" s="319"/>
      <c r="LGV12" s="319"/>
      <c r="LGW12" s="319"/>
      <c r="LGX12" s="319"/>
      <c r="LGY12" s="319"/>
      <c r="LGZ12" s="319"/>
      <c r="LHA12" s="319"/>
      <c r="LHB12" s="319"/>
      <c r="LHC12" s="319"/>
      <c r="LHD12" s="319"/>
      <c r="LHE12" s="319"/>
      <c r="LHF12" s="319"/>
      <c r="LHG12" s="319"/>
      <c r="LHH12" s="319"/>
      <c r="LHI12" s="319"/>
      <c r="LHJ12" s="319"/>
      <c r="LHK12" s="319"/>
      <c r="LHL12" s="319"/>
      <c r="LHM12" s="319"/>
      <c r="LHN12" s="319"/>
      <c r="LHO12" s="319"/>
      <c r="LHP12" s="319"/>
      <c r="LHQ12" s="319"/>
      <c r="LHR12" s="319"/>
      <c r="LHS12" s="319"/>
      <c r="LHT12" s="319"/>
      <c r="LHU12" s="319"/>
      <c r="LHV12" s="319"/>
      <c r="LHW12" s="319"/>
      <c r="LHX12" s="319"/>
      <c r="LHY12" s="319"/>
      <c r="LHZ12" s="319"/>
      <c r="LIA12" s="319"/>
      <c r="LIB12" s="319"/>
      <c r="LIC12" s="319"/>
      <c r="LID12" s="319"/>
      <c r="LIE12" s="319"/>
      <c r="LIF12" s="319"/>
      <c r="LIG12" s="319"/>
      <c r="LIH12" s="319"/>
      <c r="LII12" s="319"/>
      <c r="LIJ12" s="319"/>
      <c r="LIK12" s="319"/>
      <c r="LIL12" s="319"/>
      <c r="LIM12" s="319"/>
      <c r="LIN12" s="319"/>
      <c r="LIO12" s="319"/>
      <c r="LIP12" s="319"/>
      <c r="LIQ12" s="319"/>
      <c r="LIR12" s="319"/>
      <c r="LIS12" s="319"/>
      <c r="LIT12" s="319"/>
      <c r="LIU12" s="319"/>
      <c r="LIV12" s="319"/>
      <c r="LIW12" s="319"/>
      <c r="LIX12" s="319"/>
      <c r="LIY12" s="319"/>
      <c r="LIZ12" s="319"/>
      <c r="LJA12" s="319"/>
      <c r="LJB12" s="319"/>
      <c r="LJC12" s="319"/>
      <c r="LJD12" s="319"/>
      <c r="LJE12" s="319"/>
      <c r="LJF12" s="319"/>
      <c r="LJG12" s="319"/>
      <c r="LJH12" s="319"/>
      <c r="LJI12" s="319"/>
      <c r="LJJ12" s="319"/>
      <c r="LJK12" s="319"/>
      <c r="LJL12" s="319"/>
      <c r="LJM12" s="319"/>
      <c r="LJN12" s="319"/>
      <c r="LJO12" s="319"/>
      <c r="LJP12" s="319"/>
      <c r="LJQ12" s="319"/>
      <c r="LJR12" s="319"/>
      <c r="LJS12" s="319"/>
      <c r="LJT12" s="319"/>
      <c r="LJU12" s="319"/>
      <c r="LJV12" s="319"/>
      <c r="LJW12" s="319"/>
      <c r="LJX12" s="319"/>
      <c r="LJY12" s="319"/>
      <c r="LJZ12" s="319"/>
      <c r="LKA12" s="319"/>
      <c r="LKB12" s="319"/>
      <c r="LKC12" s="319"/>
      <c r="LKD12" s="319"/>
      <c r="LKE12" s="319"/>
      <c r="LKF12" s="319"/>
      <c r="LKG12" s="319"/>
      <c r="LKH12" s="319"/>
      <c r="LKI12" s="319"/>
      <c r="LKJ12" s="319"/>
      <c r="LKK12" s="319"/>
      <c r="LKL12" s="319"/>
      <c r="LKM12" s="319"/>
      <c r="LKN12" s="319"/>
      <c r="LKO12" s="319"/>
      <c r="LKP12" s="319"/>
      <c r="LKQ12" s="319"/>
      <c r="LKR12" s="319"/>
      <c r="LKS12" s="319"/>
      <c r="LKT12" s="319"/>
      <c r="LKU12" s="319"/>
      <c r="LKV12" s="319"/>
      <c r="LKW12" s="319"/>
      <c r="LKX12" s="319"/>
      <c r="LKY12" s="319"/>
      <c r="LKZ12" s="319"/>
      <c r="LLA12" s="319"/>
      <c r="LLB12" s="319"/>
      <c r="LLC12" s="319"/>
      <c r="LLD12" s="319"/>
      <c r="LLE12" s="319"/>
      <c r="LLF12" s="319"/>
      <c r="LLG12" s="319"/>
      <c r="LLH12" s="319"/>
      <c r="LLI12" s="319"/>
      <c r="LLJ12" s="319"/>
      <c r="LLK12" s="319"/>
      <c r="LLL12" s="319"/>
      <c r="LLM12" s="319"/>
      <c r="LLN12" s="319"/>
      <c r="LLO12" s="319"/>
      <c r="LLP12" s="319"/>
      <c r="LLQ12" s="319"/>
      <c r="LLR12" s="319"/>
      <c r="LLS12" s="319"/>
      <c r="LLT12" s="319"/>
      <c r="LLU12" s="319"/>
      <c r="LLV12" s="319"/>
      <c r="LLW12" s="319"/>
      <c r="LLX12" s="319"/>
      <c r="LLY12" s="319"/>
      <c r="LLZ12" s="319"/>
      <c r="LMA12" s="319"/>
      <c r="LMB12" s="319"/>
      <c r="LMC12" s="319"/>
      <c r="LMD12" s="319"/>
      <c r="LME12" s="319"/>
      <c r="LMF12" s="319"/>
      <c r="LMG12" s="319"/>
      <c r="LMH12" s="319"/>
      <c r="LMI12" s="319"/>
      <c r="LMJ12" s="319"/>
      <c r="LMK12" s="319"/>
      <c r="LML12" s="319"/>
      <c r="LMM12" s="319"/>
      <c r="LMN12" s="319"/>
      <c r="LMO12" s="319"/>
      <c r="LMP12" s="319"/>
      <c r="LMQ12" s="319"/>
      <c r="LMR12" s="319"/>
      <c r="LMS12" s="319"/>
      <c r="LMT12" s="319"/>
      <c r="LMU12" s="319"/>
      <c r="LMV12" s="319"/>
      <c r="LMW12" s="319"/>
      <c r="LMX12" s="319"/>
      <c r="LMY12" s="319"/>
      <c r="LMZ12" s="319"/>
      <c r="LNA12" s="319"/>
      <c r="LNB12" s="319"/>
      <c r="LNC12" s="319"/>
      <c r="LND12" s="319"/>
      <c r="LNE12" s="319"/>
      <c r="LNF12" s="319"/>
      <c r="LNG12" s="319"/>
      <c r="LNH12" s="319"/>
      <c r="LNI12" s="319"/>
      <c r="LNJ12" s="319"/>
      <c r="LNK12" s="319"/>
      <c r="LNL12" s="319"/>
      <c r="LNM12" s="319"/>
      <c r="LNN12" s="319"/>
      <c r="LNO12" s="319"/>
      <c r="LNP12" s="319"/>
      <c r="LNQ12" s="319"/>
      <c r="LNR12" s="319"/>
      <c r="LNS12" s="319"/>
      <c r="LNT12" s="319"/>
      <c r="LNU12" s="319"/>
      <c r="LNV12" s="319"/>
      <c r="LNW12" s="319"/>
      <c r="LNX12" s="319"/>
      <c r="LNY12" s="319"/>
      <c r="LNZ12" s="319"/>
      <c r="LOA12" s="319"/>
      <c r="LOB12" s="319"/>
      <c r="LOC12" s="319"/>
      <c r="LOD12" s="319"/>
      <c r="LOE12" s="319"/>
      <c r="LOF12" s="319"/>
      <c r="LOG12" s="319"/>
      <c r="LOH12" s="319"/>
      <c r="LOI12" s="319"/>
      <c r="LOJ12" s="319"/>
      <c r="LOK12" s="319"/>
      <c r="LOL12" s="319"/>
      <c r="LOM12" s="319"/>
      <c r="LON12" s="319"/>
      <c r="LOO12" s="319"/>
      <c r="LOP12" s="319"/>
      <c r="LOQ12" s="319"/>
      <c r="LOR12" s="319"/>
      <c r="LOS12" s="319"/>
      <c r="LOT12" s="319"/>
      <c r="LOU12" s="319"/>
      <c r="LOV12" s="319"/>
      <c r="LOW12" s="319"/>
      <c r="LOX12" s="319"/>
      <c r="LOY12" s="319"/>
      <c r="LOZ12" s="319"/>
      <c r="LPA12" s="319"/>
      <c r="LPB12" s="319"/>
      <c r="LPC12" s="319"/>
      <c r="LPD12" s="319"/>
      <c r="LPE12" s="319"/>
      <c r="LPF12" s="319"/>
      <c r="LPG12" s="319"/>
      <c r="LPH12" s="319"/>
      <c r="LPI12" s="319"/>
      <c r="LPJ12" s="319"/>
      <c r="LPK12" s="319"/>
      <c r="LPL12" s="319"/>
      <c r="LPM12" s="319"/>
      <c r="LPN12" s="319"/>
      <c r="LPO12" s="319"/>
      <c r="LPP12" s="319"/>
      <c r="LPQ12" s="319"/>
      <c r="LPR12" s="319"/>
      <c r="LPS12" s="319"/>
      <c r="LPT12" s="319"/>
      <c r="LPU12" s="319"/>
      <c r="LPV12" s="319"/>
      <c r="LPW12" s="319"/>
      <c r="LPX12" s="319"/>
      <c r="LPY12" s="319"/>
      <c r="LPZ12" s="319"/>
      <c r="LQA12" s="319"/>
      <c r="LQB12" s="319"/>
      <c r="LQC12" s="319"/>
      <c r="LQD12" s="319"/>
      <c r="LQE12" s="319"/>
      <c r="LQF12" s="319"/>
      <c r="LQG12" s="319"/>
      <c r="LQH12" s="319"/>
      <c r="LQI12" s="319"/>
      <c r="LQJ12" s="319"/>
      <c r="LQK12" s="319"/>
      <c r="LQL12" s="319"/>
      <c r="LQM12" s="319"/>
      <c r="LQN12" s="319"/>
      <c r="LQO12" s="319"/>
      <c r="LQP12" s="319"/>
      <c r="LQQ12" s="319"/>
      <c r="LQR12" s="319"/>
      <c r="LQS12" s="319"/>
      <c r="LQT12" s="319"/>
      <c r="LQU12" s="319"/>
      <c r="LQV12" s="319"/>
      <c r="LQW12" s="319"/>
      <c r="LQX12" s="319"/>
      <c r="LQY12" s="319"/>
      <c r="LQZ12" s="319"/>
      <c r="LRA12" s="319"/>
      <c r="LRB12" s="319"/>
      <c r="LRC12" s="319"/>
      <c r="LRD12" s="319"/>
      <c r="LRE12" s="319"/>
      <c r="LRF12" s="319"/>
      <c r="LRG12" s="319"/>
      <c r="LRH12" s="319"/>
      <c r="LRI12" s="319"/>
      <c r="LRJ12" s="319"/>
      <c r="LRK12" s="319"/>
      <c r="LRL12" s="319"/>
      <c r="LRM12" s="319"/>
      <c r="LRN12" s="319"/>
      <c r="LRO12" s="319"/>
      <c r="LRP12" s="319"/>
      <c r="LRQ12" s="319"/>
      <c r="LRR12" s="319"/>
      <c r="LRS12" s="319"/>
      <c r="LRT12" s="319"/>
      <c r="LRU12" s="319"/>
      <c r="LRV12" s="319"/>
      <c r="LRW12" s="319"/>
      <c r="LRX12" s="319"/>
      <c r="LRY12" s="319"/>
      <c r="LRZ12" s="319"/>
      <c r="LSA12" s="319"/>
      <c r="LSB12" s="319"/>
      <c r="LSC12" s="319"/>
      <c r="LSD12" s="319"/>
      <c r="LSE12" s="319"/>
      <c r="LSF12" s="319"/>
      <c r="LSG12" s="319"/>
      <c r="LSH12" s="319"/>
      <c r="LSI12" s="319"/>
      <c r="LSJ12" s="319"/>
      <c r="LSK12" s="319"/>
      <c r="LSL12" s="319"/>
      <c r="LSM12" s="319"/>
      <c r="LSN12" s="319"/>
      <c r="LSO12" s="319"/>
      <c r="LSP12" s="319"/>
      <c r="LSQ12" s="319"/>
      <c r="LSR12" s="319"/>
      <c r="LSS12" s="319"/>
      <c r="LST12" s="319"/>
      <c r="LSU12" s="319"/>
      <c r="LSV12" s="319"/>
      <c r="LSW12" s="319"/>
      <c r="LSX12" s="319"/>
      <c r="LSY12" s="319"/>
      <c r="LSZ12" s="319"/>
      <c r="LTA12" s="319"/>
      <c r="LTB12" s="319"/>
      <c r="LTC12" s="319"/>
      <c r="LTD12" s="319"/>
      <c r="LTE12" s="319"/>
      <c r="LTF12" s="319"/>
      <c r="LTG12" s="319"/>
      <c r="LTH12" s="319"/>
      <c r="LTI12" s="319"/>
      <c r="LTJ12" s="319"/>
      <c r="LTK12" s="319"/>
      <c r="LTL12" s="319"/>
      <c r="LTM12" s="319"/>
      <c r="LTN12" s="319"/>
      <c r="LTO12" s="319"/>
      <c r="LTP12" s="319"/>
      <c r="LTQ12" s="319"/>
      <c r="LTR12" s="319"/>
      <c r="LTS12" s="319"/>
      <c r="LTT12" s="319"/>
      <c r="LTU12" s="319"/>
      <c r="LTV12" s="319"/>
      <c r="LTW12" s="319"/>
      <c r="LTX12" s="319"/>
      <c r="LTY12" s="319"/>
      <c r="LTZ12" s="319"/>
      <c r="LUA12" s="319"/>
      <c r="LUB12" s="319"/>
      <c r="LUC12" s="319"/>
      <c r="LUD12" s="319"/>
      <c r="LUE12" s="319"/>
      <c r="LUF12" s="319"/>
      <c r="LUG12" s="319"/>
      <c r="LUH12" s="319"/>
      <c r="LUI12" s="319"/>
      <c r="LUJ12" s="319"/>
      <c r="LUK12" s="319"/>
      <c r="LUL12" s="319"/>
      <c r="LUM12" s="319"/>
      <c r="LUN12" s="319"/>
      <c r="LUO12" s="319"/>
      <c r="LUP12" s="319"/>
      <c r="LUQ12" s="319"/>
      <c r="LUR12" s="319"/>
      <c r="LUS12" s="319"/>
      <c r="LUT12" s="319"/>
      <c r="LUU12" s="319"/>
      <c r="LUV12" s="319"/>
      <c r="LUW12" s="319"/>
      <c r="LUX12" s="319"/>
      <c r="LUY12" s="319"/>
      <c r="LUZ12" s="319"/>
      <c r="LVA12" s="319"/>
      <c r="LVB12" s="319"/>
      <c r="LVC12" s="319"/>
      <c r="LVD12" s="319"/>
      <c r="LVE12" s="319"/>
      <c r="LVF12" s="319"/>
      <c r="LVG12" s="319"/>
      <c r="LVH12" s="319"/>
      <c r="LVI12" s="319"/>
      <c r="LVJ12" s="319"/>
      <c r="LVK12" s="319"/>
      <c r="LVL12" s="319"/>
      <c r="LVM12" s="319"/>
      <c r="LVN12" s="319"/>
      <c r="LVO12" s="319"/>
      <c r="LVP12" s="319"/>
      <c r="LVQ12" s="319"/>
      <c r="LVR12" s="319"/>
      <c r="LVS12" s="319"/>
      <c r="LVT12" s="319"/>
      <c r="LVU12" s="319"/>
      <c r="LVV12" s="319"/>
      <c r="LVW12" s="319"/>
      <c r="LVX12" s="319"/>
      <c r="LVY12" s="319"/>
      <c r="LVZ12" s="319"/>
      <c r="LWA12" s="319"/>
      <c r="LWB12" s="319"/>
      <c r="LWC12" s="319"/>
      <c r="LWD12" s="319"/>
      <c r="LWE12" s="319"/>
      <c r="LWF12" s="319"/>
      <c r="LWG12" s="319"/>
      <c r="LWH12" s="319"/>
      <c r="LWI12" s="319"/>
      <c r="LWJ12" s="319"/>
      <c r="LWK12" s="319"/>
      <c r="LWL12" s="319"/>
      <c r="LWM12" s="319"/>
      <c r="LWN12" s="319"/>
      <c r="LWO12" s="319"/>
      <c r="LWP12" s="319"/>
      <c r="LWQ12" s="319"/>
      <c r="LWR12" s="319"/>
      <c r="LWS12" s="319"/>
      <c r="LWT12" s="319"/>
      <c r="LWU12" s="319"/>
      <c r="LWV12" s="319"/>
      <c r="LWW12" s="319"/>
      <c r="LWX12" s="319"/>
      <c r="LWY12" s="319"/>
      <c r="LWZ12" s="319"/>
      <c r="LXA12" s="319"/>
      <c r="LXB12" s="319"/>
      <c r="LXC12" s="319"/>
      <c r="LXD12" s="319"/>
      <c r="LXE12" s="319"/>
      <c r="LXF12" s="319"/>
      <c r="LXG12" s="319"/>
      <c r="LXH12" s="319"/>
      <c r="LXI12" s="319"/>
      <c r="LXJ12" s="319"/>
      <c r="LXK12" s="319"/>
      <c r="LXL12" s="319"/>
      <c r="LXM12" s="319"/>
      <c r="LXN12" s="319"/>
      <c r="LXO12" s="319"/>
      <c r="LXP12" s="319"/>
      <c r="LXQ12" s="319"/>
      <c r="LXR12" s="319"/>
      <c r="LXS12" s="319"/>
      <c r="LXT12" s="319"/>
      <c r="LXU12" s="319"/>
      <c r="LXV12" s="319"/>
      <c r="LXW12" s="319"/>
      <c r="LXX12" s="319"/>
      <c r="LXY12" s="319"/>
      <c r="LXZ12" s="319"/>
      <c r="LYA12" s="319"/>
      <c r="LYB12" s="319"/>
      <c r="LYC12" s="319"/>
      <c r="LYD12" s="319"/>
      <c r="LYE12" s="319"/>
      <c r="LYF12" s="319"/>
      <c r="LYG12" s="319"/>
      <c r="LYH12" s="319"/>
      <c r="LYI12" s="319"/>
      <c r="LYJ12" s="319"/>
      <c r="LYK12" s="319"/>
      <c r="LYL12" s="319"/>
      <c r="LYM12" s="319"/>
      <c r="LYN12" s="319"/>
      <c r="LYO12" s="319"/>
      <c r="LYP12" s="319"/>
      <c r="LYQ12" s="319"/>
      <c r="LYR12" s="319"/>
      <c r="LYS12" s="319"/>
      <c r="LYT12" s="319"/>
      <c r="LYU12" s="319"/>
      <c r="LYV12" s="319"/>
      <c r="LYW12" s="319"/>
      <c r="LYX12" s="319"/>
      <c r="LYY12" s="319"/>
      <c r="LYZ12" s="319"/>
      <c r="LZA12" s="319"/>
      <c r="LZB12" s="319"/>
      <c r="LZC12" s="319"/>
      <c r="LZD12" s="319"/>
      <c r="LZE12" s="319"/>
      <c r="LZF12" s="319"/>
      <c r="LZG12" s="319"/>
      <c r="LZH12" s="319"/>
      <c r="LZI12" s="319"/>
      <c r="LZJ12" s="319"/>
      <c r="LZK12" s="319"/>
      <c r="LZL12" s="319"/>
      <c r="LZM12" s="319"/>
      <c r="LZN12" s="319"/>
      <c r="LZO12" s="319"/>
      <c r="LZP12" s="319"/>
      <c r="LZQ12" s="319"/>
      <c r="LZR12" s="319"/>
      <c r="LZS12" s="319"/>
      <c r="LZT12" s="319"/>
      <c r="LZU12" s="319"/>
      <c r="LZV12" s="319"/>
      <c r="LZW12" s="319"/>
      <c r="LZX12" s="319"/>
      <c r="LZY12" s="319"/>
      <c r="LZZ12" s="319"/>
      <c r="MAA12" s="319"/>
      <c r="MAB12" s="319"/>
      <c r="MAC12" s="319"/>
      <c r="MAD12" s="319"/>
      <c r="MAE12" s="319"/>
      <c r="MAF12" s="319"/>
      <c r="MAG12" s="319"/>
      <c r="MAH12" s="319"/>
      <c r="MAI12" s="319"/>
      <c r="MAJ12" s="319"/>
      <c r="MAK12" s="319"/>
      <c r="MAL12" s="319"/>
      <c r="MAM12" s="319"/>
      <c r="MAN12" s="319"/>
      <c r="MAO12" s="319"/>
      <c r="MAP12" s="319"/>
      <c r="MAQ12" s="319"/>
      <c r="MAR12" s="319"/>
      <c r="MAS12" s="319"/>
      <c r="MAT12" s="319"/>
      <c r="MAU12" s="319"/>
      <c r="MAV12" s="319"/>
      <c r="MAW12" s="319"/>
      <c r="MAX12" s="319"/>
      <c r="MAY12" s="319"/>
      <c r="MAZ12" s="319"/>
      <c r="MBA12" s="319"/>
      <c r="MBB12" s="319"/>
      <c r="MBC12" s="319"/>
      <c r="MBD12" s="319"/>
      <c r="MBE12" s="319"/>
      <c r="MBF12" s="319"/>
      <c r="MBG12" s="319"/>
      <c r="MBH12" s="319"/>
      <c r="MBI12" s="319"/>
      <c r="MBJ12" s="319"/>
      <c r="MBK12" s="319"/>
      <c r="MBL12" s="319"/>
      <c r="MBM12" s="319"/>
      <c r="MBN12" s="319"/>
      <c r="MBO12" s="319"/>
      <c r="MBP12" s="319"/>
      <c r="MBQ12" s="319"/>
      <c r="MBR12" s="319"/>
      <c r="MBS12" s="319"/>
      <c r="MBT12" s="319"/>
      <c r="MBU12" s="319"/>
      <c r="MBV12" s="319"/>
      <c r="MBW12" s="319"/>
      <c r="MBX12" s="319"/>
      <c r="MBY12" s="319"/>
      <c r="MBZ12" s="319"/>
      <c r="MCA12" s="319"/>
      <c r="MCB12" s="319"/>
      <c r="MCC12" s="319"/>
      <c r="MCD12" s="319"/>
      <c r="MCE12" s="319"/>
      <c r="MCF12" s="319"/>
      <c r="MCG12" s="319"/>
      <c r="MCH12" s="319"/>
      <c r="MCI12" s="319"/>
      <c r="MCJ12" s="319"/>
      <c r="MCK12" s="319"/>
      <c r="MCL12" s="319"/>
      <c r="MCM12" s="319"/>
      <c r="MCN12" s="319"/>
      <c r="MCO12" s="319"/>
      <c r="MCP12" s="319"/>
      <c r="MCQ12" s="319"/>
      <c r="MCR12" s="319"/>
      <c r="MCS12" s="319"/>
      <c r="MCT12" s="319"/>
      <c r="MCU12" s="319"/>
      <c r="MCV12" s="319"/>
      <c r="MCW12" s="319"/>
      <c r="MCX12" s="319"/>
      <c r="MCY12" s="319"/>
      <c r="MCZ12" s="319"/>
      <c r="MDA12" s="319"/>
      <c r="MDB12" s="319"/>
      <c r="MDC12" s="319"/>
      <c r="MDD12" s="319"/>
      <c r="MDE12" s="319"/>
      <c r="MDF12" s="319"/>
      <c r="MDG12" s="319"/>
      <c r="MDH12" s="319"/>
      <c r="MDI12" s="319"/>
      <c r="MDJ12" s="319"/>
      <c r="MDK12" s="319"/>
      <c r="MDL12" s="319"/>
      <c r="MDM12" s="319"/>
      <c r="MDN12" s="319"/>
      <c r="MDO12" s="319"/>
      <c r="MDP12" s="319"/>
      <c r="MDQ12" s="319"/>
      <c r="MDR12" s="319"/>
      <c r="MDS12" s="319"/>
      <c r="MDT12" s="319"/>
      <c r="MDU12" s="319"/>
      <c r="MDV12" s="319"/>
      <c r="MDW12" s="319"/>
      <c r="MDX12" s="319"/>
      <c r="MDY12" s="319"/>
      <c r="MDZ12" s="319"/>
      <c r="MEA12" s="319"/>
      <c r="MEB12" s="319"/>
      <c r="MEC12" s="319"/>
      <c r="MED12" s="319"/>
      <c r="MEE12" s="319"/>
      <c r="MEF12" s="319"/>
      <c r="MEG12" s="319"/>
      <c r="MEH12" s="319"/>
      <c r="MEI12" s="319"/>
      <c r="MEJ12" s="319"/>
      <c r="MEK12" s="319"/>
      <c r="MEL12" s="319"/>
      <c r="MEM12" s="319"/>
      <c r="MEN12" s="319"/>
      <c r="MEO12" s="319"/>
      <c r="MEP12" s="319"/>
      <c r="MEQ12" s="319"/>
      <c r="MER12" s="319"/>
      <c r="MES12" s="319"/>
      <c r="MET12" s="319"/>
      <c r="MEU12" s="319"/>
      <c r="MEV12" s="319"/>
      <c r="MEW12" s="319"/>
      <c r="MEX12" s="319"/>
      <c r="MEY12" s="319"/>
      <c r="MEZ12" s="319"/>
      <c r="MFA12" s="319"/>
      <c r="MFB12" s="319"/>
      <c r="MFC12" s="319"/>
      <c r="MFD12" s="319"/>
      <c r="MFE12" s="319"/>
      <c r="MFF12" s="319"/>
      <c r="MFG12" s="319"/>
      <c r="MFH12" s="319"/>
      <c r="MFI12" s="319"/>
      <c r="MFJ12" s="319"/>
      <c r="MFK12" s="319"/>
      <c r="MFL12" s="319"/>
      <c r="MFM12" s="319"/>
      <c r="MFN12" s="319"/>
      <c r="MFO12" s="319"/>
      <c r="MFP12" s="319"/>
      <c r="MFQ12" s="319"/>
      <c r="MFR12" s="319"/>
      <c r="MFS12" s="319"/>
      <c r="MFT12" s="319"/>
      <c r="MFU12" s="319"/>
      <c r="MFV12" s="319"/>
      <c r="MFW12" s="319"/>
      <c r="MFX12" s="319"/>
      <c r="MFY12" s="319"/>
      <c r="MFZ12" s="319"/>
      <c r="MGA12" s="319"/>
      <c r="MGB12" s="319"/>
      <c r="MGC12" s="319"/>
      <c r="MGD12" s="319"/>
      <c r="MGE12" s="319"/>
      <c r="MGF12" s="319"/>
      <c r="MGG12" s="319"/>
      <c r="MGH12" s="319"/>
      <c r="MGI12" s="319"/>
      <c r="MGJ12" s="319"/>
      <c r="MGK12" s="319"/>
      <c r="MGL12" s="319"/>
      <c r="MGM12" s="319"/>
      <c r="MGN12" s="319"/>
      <c r="MGO12" s="319"/>
      <c r="MGP12" s="319"/>
      <c r="MGQ12" s="319"/>
      <c r="MGR12" s="319"/>
      <c r="MGS12" s="319"/>
      <c r="MGT12" s="319"/>
      <c r="MGU12" s="319"/>
      <c r="MGV12" s="319"/>
      <c r="MGW12" s="319"/>
      <c r="MGX12" s="319"/>
      <c r="MGY12" s="319"/>
      <c r="MGZ12" s="319"/>
      <c r="MHA12" s="319"/>
      <c r="MHB12" s="319"/>
      <c r="MHC12" s="319"/>
      <c r="MHD12" s="319"/>
      <c r="MHE12" s="319"/>
      <c r="MHF12" s="319"/>
      <c r="MHG12" s="319"/>
      <c r="MHH12" s="319"/>
      <c r="MHI12" s="319"/>
      <c r="MHJ12" s="319"/>
      <c r="MHK12" s="319"/>
      <c r="MHL12" s="319"/>
      <c r="MHM12" s="319"/>
      <c r="MHN12" s="319"/>
      <c r="MHO12" s="319"/>
      <c r="MHP12" s="319"/>
      <c r="MHQ12" s="319"/>
      <c r="MHR12" s="319"/>
      <c r="MHS12" s="319"/>
      <c r="MHT12" s="319"/>
      <c r="MHU12" s="319"/>
      <c r="MHV12" s="319"/>
      <c r="MHW12" s="319"/>
      <c r="MHX12" s="319"/>
      <c r="MHY12" s="319"/>
      <c r="MHZ12" s="319"/>
      <c r="MIA12" s="319"/>
      <c r="MIB12" s="319"/>
      <c r="MIC12" s="319"/>
      <c r="MID12" s="319"/>
      <c r="MIE12" s="319"/>
      <c r="MIF12" s="319"/>
      <c r="MIG12" s="319"/>
      <c r="MIH12" s="319"/>
      <c r="MII12" s="319"/>
      <c r="MIJ12" s="319"/>
      <c r="MIK12" s="319"/>
      <c r="MIL12" s="319"/>
      <c r="MIM12" s="319"/>
      <c r="MIN12" s="319"/>
      <c r="MIO12" s="319"/>
      <c r="MIP12" s="319"/>
      <c r="MIQ12" s="319"/>
      <c r="MIR12" s="319"/>
      <c r="MIS12" s="319"/>
      <c r="MIT12" s="319"/>
      <c r="MIU12" s="319"/>
      <c r="MIV12" s="319"/>
      <c r="MIW12" s="319"/>
      <c r="MIX12" s="319"/>
      <c r="MIY12" s="319"/>
      <c r="MIZ12" s="319"/>
      <c r="MJA12" s="319"/>
      <c r="MJB12" s="319"/>
      <c r="MJC12" s="319"/>
      <c r="MJD12" s="319"/>
      <c r="MJE12" s="319"/>
      <c r="MJF12" s="319"/>
      <c r="MJG12" s="319"/>
      <c r="MJH12" s="319"/>
      <c r="MJI12" s="319"/>
      <c r="MJJ12" s="319"/>
      <c r="MJK12" s="319"/>
      <c r="MJL12" s="319"/>
      <c r="MJM12" s="319"/>
      <c r="MJN12" s="319"/>
      <c r="MJO12" s="319"/>
      <c r="MJP12" s="319"/>
      <c r="MJQ12" s="319"/>
      <c r="MJR12" s="319"/>
      <c r="MJS12" s="319"/>
      <c r="MJT12" s="319"/>
      <c r="MJU12" s="319"/>
      <c r="MJV12" s="319"/>
      <c r="MJW12" s="319"/>
      <c r="MJX12" s="319"/>
      <c r="MJY12" s="319"/>
      <c r="MJZ12" s="319"/>
      <c r="MKA12" s="319"/>
      <c r="MKB12" s="319"/>
      <c r="MKC12" s="319"/>
      <c r="MKD12" s="319"/>
      <c r="MKE12" s="319"/>
      <c r="MKF12" s="319"/>
      <c r="MKG12" s="319"/>
      <c r="MKH12" s="319"/>
      <c r="MKI12" s="319"/>
      <c r="MKJ12" s="319"/>
      <c r="MKK12" s="319"/>
      <c r="MKL12" s="319"/>
      <c r="MKM12" s="319"/>
      <c r="MKN12" s="319"/>
      <c r="MKO12" s="319"/>
      <c r="MKP12" s="319"/>
      <c r="MKQ12" s="319"/>
      <c r="MKR12" s="319"/>
      <c r="MKS12" s="319"/>
      <c r="MKT12" s="319"/>
      <c r="MKU12" s="319"/>
      <c r="MKV12" s="319"/>
      <c r="MKW12" s="319"/>
      <c r="MKX12" s="319"/>
      <c r="MKY12" s="319"/>
      <c r="MKZ12" s="319"/>
      <c r="MLA12" s="319"/>
      <c r="MLB12" s="319"/>
      <c r="MLC12" s="319"/>
      <c r="MLD12" s="319"/>
      <c r="MLE12" s="319"/>
      <c r="MLF12" s="319"/>
      <c r="MLG12" s="319"/>
      <c r="MLH12" s="319"/>
      <c r="MLI12" s="319"/>
      <c r="MLJ12" s="319"/>
      <c r="MLK12" s="319"/>
      <c r="MLL12" s="319"/>
      <c r="MLM12" s="319"/>
      <c r="MLN12" s="319"/>
      <c r="MLO12" s="319"/>
      <c r="MLP12" s="319"/>
      <c r="MLQ12" s="319"/>
      <c r="MLR12" s="319"/>
      <c r="MLS12" s="319"/>
      <c r="MLT12" s="319"/>
      <c r="MLU12" s="319"/>
      <c r="MLV12" s="319"/>
      <c r="MLW12" s="319"/>
      <c r="MLX12" s="319"/>
      <c r="MLY12" s="319"/>
      <c r="MLZ12" s="319"/>
      <c r="MMA12" s="319"/>
      <c r="MMB12" s="319"/>
      <c r="MMC12" s="319"/>
      <c r="MMD12" s="319"/>
      <c r="MME12" s="319"/>
      <c r="MMF12" s="319"/>
      <c r="MMG12" s="319"/>
      <c r="MMH12" s="319"/>
      <c r="MMI12" s="319"/>
      <c r="MMJ12" s="319"/>
      <c r="MMK12" s="319"/>
      <c r="MML12" s="319"/>
      <c r="MMM12" s="319"/>
      <c r="MMN12" s="319"/>
      <c r="MMO12" s="319"/>
      <c r="MMP12" s="319"/>
      <c r="MMQ12" s="319"/>
      <c r="MMR12" s="319"/>
      <c r="MMS12" s="319"/>
      <c r="MMT12" s="319"/>
      <c r="MMU12" s="319"/>
      <c r="MMV12" s="319"/>
      <c r="MMW12" s="319"/>
      <c r="MMX12" s="319"/>
      <c r="MMY12" s="319"/>
      <c r="MMZ12" s="319"/>
      <c r="MNA12" s="319"/>
      <c r="MNB12" s="319"/>
      <c r="MNC12" s="319"/>
      <c r="MND12" s="319"/>
      <c r="MNE12" s="319"/>
      <c r="MNF12" s="319"/>
      <c r="MNG12" s="319"/>
      <c r="MNH12" s="319"/>
      <c r="MNI12" s="319"/>
      <c r="MNJ12" s="319"/>
      <c r="MNK12" s="319"/>
      <c r="MNL12" s="319"/>
      <c r="MNM12" s="319"/>
      <c r="MNN12" s="319"/>
      <c r="MNO12" s="319"/>
      <c r="MNP12" s="319"/>
      <c r="MNQ12" s="319"/>
      <c r="MNR12" s="319"/>
      <c r="MNS12" s="319"/>
      <c r="MNT12" s="319"/>
      <c r="MNU12" s="319"/>
      <c r="MNV12" s="319"/>
      <c r="MNW12" s="319"/>
      <c r="MNX12" s="319"/>
      <c r="MNY12" s="319"/>
      <c r="MNZ12" s="319"/>
      <c r="MOA12" s="319"/>
      <c r="MOB12" s="319"/>
      <c r="MOC12" s="319"/>
      <c r="MOD12" s="319"/>
      <c r="MOE12" s="319"/>
      <c r="MOF12" s="319"/>
      <c r="MOG12" s="319"/>
      <c r="MOH12" s="319"/>
      <c r="MOI12" s="319"/>
      <c r="MOJ12" s="319"/>
      <c r="MOK12" s="319"/>
      <c r="MOL12" s="319"/>
      <c r="MOM12" s="319"/>
      <c r="MON12" s="319"/>
      <c r="MOO12" s="319"/>
      <c r="MOP12" s="319"/>
      <c r="MOQ12" s="319"/>
      <c r="MOR12" s="319"/>
      <c r="MOS12" s="319"/>
      <c r="MOT12" s="319"/>
      <c r="MOU12" s="319"/>
      <c r="MOV12" s="319"/>
      <c r="MOW12" s="319"/>
      <c r="MOX12" s="319"/>
      <c r="MOY12" s="319"/>
      <c r="MOZ12" s="319"/>
      <c r="MPA12" s="319"/>
      <c r="MPB12" s="319"/>
      <c r="MPC12" s="319"/>
      <c r="MPD12" s="319"/>
      <c r="MPE12" s="319"/>
      <c r="MPF12" s="319"/>
      <c r="MPG12" s="319"/>
      <c r="MPH12" s="319"/>
      <c r="MPI12" s="319"/>
      <c r="MPJ12" s="319"/>
      <c r="MPK12" s="319"/>
      <c r="MPL12" s="319"/>
      <c r="MPM12" s="319"/>
      <c r="MPN12" s="319"/>
      <c r="MPO12" s="319"/>
      <c r="MPP12" s="319"/>
      <c r="MPQ12" s="319"/>
      <c r="MPR12" s="319"/>
      <c r="MPS12" s="319"/>
      <c r="MPT12" s="319"/>
      <c r="MPU12" s="319"/>
      <c r="MPV12" s="319"/>
      <c r="MPW12" s="319"/>
      <c r="MPX12" s="319"/>
      <c r="MPY12" s="319"/>
      <c r="MPZ12" s="319"/>
      <c r="MQA12" s="319"/>
      <c r="MQB12" s="319"/>
      <c r="MQC12" s="319"/>
      <c r="MQD12" s="319"/>
      <c r="MQE12" s="319"/>
      <c r="MQF12" s="319"/>
      <c r="MQG12" s="319"/>
      <c r="MQH12" s="319"/>
      <c r="MQI12" s="319"/>
      <c r="MQJ12" s="319"/>
      <c r="MQK12" s="319"/>
      <c r="MQL12" s="319"/>
      <c r="MQM12" s="319"/>
      <c r="MQN12" s="319"/>
      <c r="MQO12" s="319"/>
      <c r="MQP12" s="319"/>
      <c r="MQQ12" s="319"/>
      <c r="MQR12" s="319"/>
      <c r="MQS12" s="319"/>
      <c r="MQT12" s="319"/>
      <c r="MQU12" s="319"/>
      <c r="MQV12" s="319"/>
      <c r="MQW12" s="319"/>
      <c r="MQX12" s="319"/>
      <c r="MQY12" s="319"/>
      <c r="MQZ12" s="319"/>
      <c r="MRA12" s="319"/>
      <c r="MRB12" s="319"/>
      <c r="MRC12" s="319"/>
      <c r="MRD12" s="319"/>
      <c r="MRE12" s="319"/>
      <c r="MRF12" s="319"/>
      <c r="MRG12" s="319"/>
      <c r="MRH12" s="319"/>
      <c r="MRI12" s="319"/>
      <c r="MRJ12" s="319"/>
      <c r="MRK12" s="319"/>
      <c r="MRL12" s="319"/>
      <c r="MRM12" s="319"/>
      <c r="MRN12" s="319"/>
      <c r="MRO12" s="319"/>
      <c r="MRP12" s="319"/>
      <c r="MRQ12" s="319"/>
      <c r="MRR12" s="319"/>
      <c r="MRS12" s="319"/>
      <c r="MRT12" s="319"/>
      <c r="MRU12" s="319"/>
      <c r="MRV12" s="319"/>
      <c r="MRW12" s="319"/>
      <c r="MRX12" s="319"/>
      <c r="MRY12" s="319"/>
      <c r="MRZ12" s="319"/>
      <c r="MSA12" s="319"/>
      <c r="MSB12" s="319"/>
      <c r="MSC12" s="319"/>
      <c r="MSD12" s="319"/>
      <c r="MSE12" s="319"/>
      <c r="MSF12" s="319"/>
      <c r="MSG12" s="319"/>
      <c r="MSH12" s="319"/>
      <c r="MSI12" s="319"/>
      <c r="MSJ12" s="319"/>
      <c r="MSK12" s="319"/>
      <c r="MSL12" s="319"/>
      <c r="MSM12" s="319"/>
      <c r="MSN12" s="319"/>
      <c r="MSO12" s="319"/>
      <c r="MSP12" s="319"/>
      <c r="MSQ12" s="319"/>
      <c r="MSR12" s="319"/>
      <c r="MSS12" s="319"/>
      <c r="MST12" s="319"/>
      <c r="MSU12" s="319"/>
      <c r="MSV12" s="319"/>
      <c r="MSW12" s="319"/>
      <c r="MSX12" s="319"/>
      <c r="MSY12" s="319"/>
      <c r="MSZ12" s="319"/>
      <c r="MTA12" s="319"/>
      <c r="MTB12" s="319"/>
      <c r="MTC12" s="319"/>
      <c r="MTD12" s="319"/>
      <c r="MTE12" s="319"/>
      <c r="MTF12" s="319"/>
      <c r="MTG12" s="319"/>
      <c r="MTH12" s="319"/>
      <c r="MTI12" s="319"/>
      <c r="MTJ12" s="319"/>
      <c r="MTK12" s="319"/>
      <c r="MTL12" s="319"/>
      <c r="MTM12" s="319"/>
      <c r="MTN12" s="319"/>
      <c r="MTO12" s="319"/>
      <c r="MTP12" s="319"/>
      <c r="MTQ12" s="319"/>
      <c r="MTR12" s="319"/>
      <c r="MTS12" s="319"/>
      <c r="MTT12" s="319"/>
      <c r="MTU12" s="319"/>
      <c r="MTV12" s="319"/>
      <c r="MTW12" s="319"/>
      <c r="MTX12" s="319"/>
      <c r="MTY12" s="319"/>
      <c r="MTZ12" s="319"/>
      <c r="MUA12" s="319"/>
      <c r="MUB12" s="319"/>
      <c r="MUC12" s="319"/>
      <c r="MUD12" s="319"/>
      <c r="MUE12" s="319"/>
      <c r="MUF12" s="319"/>
      <c r="MUG12" s="319"/>
      <c r="MUH12" s="319"/>
      <c r="MUI12" s="319"/>
      <c r="MUJ12" s="319"/>
      <c r="MUK12" s="319"/>
      <c r="MUL12" s="319"/>
      <c r="MUM12" s="319"/>
      <c r="MUN12" s="319"/>
      <c r="MUO12" s="319"/>
      <c r="MUP12" s="319"/>
      <c r="MUQ12" s="319"/>
      <c r="MUR12" s="319"/>
      <c r="MUS12" s="319"/>
      <c r="MUT12" s="319"/>
      <c r="MUU12" s="319"/>
      <c r="MUV12" s="319"/>
      <c r="MUW12" s="319"/>
      <c r="MUX12" s="319"/>
      <c r="MUY12" s="319"/>
      <c r="MUZ12" s="319"/>
      <c r="MVA12" s="319"/>
      <c r="MVB12" s="319"/>
      <c r="MVC12" s="319"/>
      <c r="MVD12" s="319"/>
      <c r="MVE12" s="319"/>
      <c r="MVF12" s="319"/>
      <c r="MVG12" s="319"/>
      <c r="MVH12" s="319"/>
      <c r="MVI12" s="319"/>
      <c r="MVJ12" s="319"/>
      <c r="MVK12" s="319"/>
      <c r="MVL12" s="319"/>
      <c r="MVM12" s="319"/>
      <c r="MVN12" s="319"/>
      <c r="MVO12" s="319"/>
      <c r="MVP12" s="319"/>
      <c r="MVQ12" s="319"/>
      <c r="MVR12" s="319"/>
      <c r="MVS12" s="319"/>
      <c r="MVT12" s="319"/>
      <c r="MVU12" s="319"/>
      <c r="MVV12" s="319"/>
      <c r="MVW12" s="319"/>
      <c r="MVX12" s="319"/>
      <c r="MVY12" s="319"/>
      <c r="MVZ12" s="319"/>
      <c r="MWA12" s="319"/>
      <c r="MWB12" s="319"/>
      <c r="MWC12" s="319"/>
      <c r="MWD12" s="319"/>
      <c r="MWE12" s="319"/>
      <c r="MWF12" s="319"/>
      <c r="MWG12" s="319"/>
      <c r="MWH12" s="319"/>
      <c r="MWI12" s="319"/>
      <c r="MWJ12" s="319"/>
      <c r="MWK12" s="319"/>
      <c r="MWL12" s="319"/>
      <c r="MWM12" s="319"/>
      <c r="MWN12" s="319"/>
      <c r="MWO12" s="319"/>
      <c r="MWP12" s="319"/>
      <c r="MWQ12" s="319"/>
      <c r="MWR12" s="319"/>
      <c r="MWS12" s="319"/>
      <c r="MWT12" s="319"/>
      <c r="MWU12" s="319"/>
      <c r="MWV12" s="319"/>
      <c r="MWW12" s="319"/>
      <c r="MWX12" s="319"/>
      <c r="MWY12" s="319"/>
      <c r="MWZ12" s="319"/>
      <c r="MXA12" s="319"/>
      <c r="MXB12" s="319"/>
      <c r="MXC12" s="319"/>
      <c r="MXD12" s="319"/>
      <c r="MXE12" s="319"/>
      <c r="MXF12" s="319"/>
      <c r="MXG12" s="319"/>
      <c r="MXH12" s="319"/>
      <c r="MXI12" s="319"/>
      <c r="MXJ12" s="319"/>
      <c r="MXK12" s="319"/>
      <c r="MXL12" s="319"/>
      <c r="MXM12" s="319"/>
      <c r="MXN12" s="319"/>
      <c r="MXO12" s="319"/>
      <c r="MXP12" s="319"/>
      <c r="MXQ12" s="319"/>
      <c r="MXR12" s="319"/>
      <c r="MXS12" s="319"/>
      <c r="MXT12" s="319"/>
      <c r="MXU12" s="319"/>
      <c r="MXV12" s="319"/>
      <c r="MXW12" s="319"/>
      <c r="MXX12" s="319"/>
      <c r="MXY12" s="319"/>
      <c r="MXZ12" s="319"/>
      <c r="MYA12" s="319"/>
      <c r="MYB12" s="319"/>
      <c r="MYC12" s="319"/>
      <c r="MYD12" s="319"/>
      <c r="MYE12" s="319"/>
      <c r="MYF12" s="319"/>
      <c r="MYG12" s="319"/>
      <c r="MYH12" s="319"/>
      <c r="MYI12" s="319"/>
      <c r="MYJ12" s="319"/>
      <c r="MYK12" s="319"/>
      <c r="MYL12" s="319"/>
      <c r="MYM12" s="319"/>
      <c r="MYN12" s="319"/>
      <c r="MYO12" s="319"/>
      <c r="MYP12" s="319"/>
      <c r="MYQ12" s="319"/>
      <c r="MYR12" s="319"/>
      <c r="MYS12" s="319"/>
      <c r="MYT12" s="319"/>
      <c r="MYU12" s="319"/>
      <c r="MYV12" s="319"/>
      <c r="MYW12" s="319"/>
      <c r="MYX12" s="319"/>
      <c r="MYY12" s="319"/>
      <c r="MYZ12" s="319"/>
      <c r="MZA12" s="319"/>
      <c r="MZB12" s="319"/>
      <c r="MZC12" s="319"/>
      <c r="MZD12" s="319"/>
      <c r="MZE12" s="319"/>
      <c r="MZF12" s="319"/>
      <c r="MZG12" s="319"/>
      <c r="MZH12" s="319"/>
      <c r="MZI12" s="319"/>
      <c r="MZJ12" s="319"/>
      <c r="MZK12" s="319"/>
      <c r="MZL12" s="319"/>
      <c r="MZM12" s="319"/>
      <c r="MZN12" s="319"/>
      <c r="MZO12" s="319"/>
      <c r="MZP12" s="319"/>
      <c r="MZQ12" s="319"/>
      <c r="MZR12" s="319"/>
      <c r="MZS12" s="319"/>
      <c r="MZT12" s="319"/>
      <c r="MZU12" s="319"/>
      <c r="MZV12" s="319"/>
      <c r="MZW12" s="319"/>
      <c r="MZX12" s="319"/>
      <c r="MZY12" s="319"/>
      <c r="MZZ12" s="319"/>
      <c r="NAA12" s="319"/>
      <c r="NAB12" s="319"/>
      <c r="NAC12" s="319"/>
      <c r="NAD12" s="319"/>
      <c r="NAE12" s="319"/>
      <c r="NAF12" s="319"/>
      <c r="NAG12" s="319"/>
      <c r="NAH12" s="319"/>
      <c r="NAI12" s="319"/>
      <c r="NAJ12" s="319"/>
      <c r="NAK12" s="319"/>
      <c r="NAL12" s="319"/>
      <c r="NAM12" s="319"/>
      <c r="NAN12" s="319"/>
      <c r="NAO12" s="319"/>
      <c r="NAP12" s="319"/>
      <c r="NAQ12" s="319"/>
      <c r="NAR12" s="319"/>
      <c r="NAS12" s="319"/>
      <c r="NAT12" s="319"/>
      <c r="NAU12" s="319"/>
      <c r="NAV12" s="319"/>
      <c r="NAW12" s="319"/>
      <c r="NAX12" s="319"/>
      <c r="NAY12" s="319"/>
      <c r="NAZ12" s="319"/>
      <c r="NBA12" s="319"/>
      <c r="NBB12" s="319"/>
      <c r="NBC12" s="319"/>
      <c r="NBD12" s="319"/>
      <c r="NBE12" s="319"/>
      <c r="NBF12" s="319"/>
      <c r="NBG12" s="319"/>
      <c r="NBH12" s="319"/>
      <c r="NBI12" s="319"/>
      <c r="NBJ12" s="319"/>
      <c r="NBK12" s="319"/>
      <c r="NBL12" s="319"/>
      <c r="NBM12" s="319"/>
      <c r="NBN12" s="319"/>
      <c r="NBO12" s="319"/>
      <c r="NBP12" s="319"/>
      <c r="NBQ12" s="319"/>
      <c r="NBR12" s="319"/>
      <c r="NBS12" s="319"/>
      <c r="NBT12" s="319"/>
      <c r="NBU12" s="319"/>
      <c r="NBV12" s="319"/>
      <c r="NBW12" s="319"/>
      <c r="NBX12" s="319"/>
      <c r="NBY12" s="319"/>
      <c r="NBZ12" s="319"/>
      <c r="NCA12" s="319"/>
      <c r="NCB12" s="319"/>
      <c r="NCC12" s="319"/>
      <c r="NCD12" s="319"/>
      <c r="NCE12" s="319"/>
      <c r="NCF12" s="319"/>
      <c r="NCG12" s="319"/>
      <c r="NCH12" s="319"/>
      <c r="NCI12" s="319"/>
      <c r="NCJ12" s="319"/>
      <c r="NCK12" s="319"/>
      <c r="NCL12" s="319"/>
      <c r="NCM12" s="319"/>
      <c r="NCN12" s="319"/>
      <c r="NCO12" s="319"/>
      <c r="NCP12" s="319"/>
      <c r="NCQ12" s="319"/>
      <c r="NCR12" s="319"/>
      <c r="NCS12" s="319"/>
      <c r="NCT12" s="319"/>
      <c r="NCU12" s="319"/>
      <c r="NCV12" s="319"/>
      <c r="NCW12" s="319"/>
      <c r="NCX12" s="319"/>
      <c r="NCY12" s="319"/>
      <c r="NCZ12" s="319"/>
      <c r="NDA12" s="319"/>
      <c r="NDB12" s="319"/>
      <c r="NDC12" s="319"/>
      <c r="NDD12" s="319"/>
      <c r="NDE12" s="319"/>
      <c r="NDF12" s="319"/>
      <c r="NDG12" s="319"/>
      <c r="NDH12" s="319"/>
      <c r="NDI12" s="319"/>
      <c r="NDJ12" s="319"/>
      <c r="NDK12" s="319"/>
      <c r="NDL12" s="319"/>
      <c r="NDM12" s="319"/>
      <c r="NDN12" s="319"/>
      <c r="NDO12" s="319"/>
      <c r="NDP12" s="319"/>
      <c r="NDQ12" s="319"/>
      <c r="NDR12" s="319"/>
      <c r="NDS12" s="319"/>
      <c r="NDT12" s="319"/>
      <c r="NDU12" s="319"/>
      <c r="NDV12" s="319"/>
      <c r="NDW12" s="319"/>
      <c r="NDX12" s="319"/>
      <c r="NDY12" s="319"/>
      <c r="NDZ12" s="319"/>
      <c r="NEA12" s="319"/>
      <c r="NEB12" s="319"/>
      <c r="NEC12" s="319"/>
      <c r="NED12" s="319"/>
      <c r="NEE12" s="319"/>
      <c r="NEF12" s="319"/>
      <c r="NEG12" s="319"/>
      <c r="NEH12" s="319"/>
      <c r="NEI12" s="319"/>
      <c r="NEJ12" s="319"/>
      <c r="NEK12" s="319"/>
      <c r="NEL12" s="319"/>
      <c r="NEM12" s="319"/>
      <c r="NEN12" s="319"/>
      <c r="NEO12" s="319"/>
      <c r="NEP12" s="319"/>
      <c r="NEQ12" s="319"/>
      <c r="NER12" s="319"/>
      <c r="NES12" s="319"/>
      <c r="NET12" s="319"/>
      <c r="NEU12" s="319"/>
      <c r="NEV12" s="319"/>
      <c r="NEW12" s="319"/>
      <c r="NEX12" s="319"/>
      <c r="NEY12" s="319"/>
      <c r="NEZ12" s="319"/>
      <c r="NFA12" s="319"/>
      <c r="NFB12" s="319"/>
      <c r="NFC12" s="319"/>
      <c r="NFD12" s="319"/>
      <c r="NFE12" s="319"/>
      <c r="NFF12" s="319"/>
      <c r="NFG12" s="319"/>
      <c r="NFH12" s="319"/>
      <c r="NFI12" s="319"/>
      <c r="NFJ12" s="319"/>
      <c r="NFK12" s="319"/>
      <c r="NFL12" s="319"/>
      <c r="NFM12" s="319"/>
      <c r="NFN12" s="319"/>
      <c r="NFO12" s="319"/>
      <c r="NFP12" s="319"/>
      <c r="NFQ12" s="319"/>
      <c r="NFR12" s="319"/>
      <c r="NFS12" s="319"/>
      <c r="NFT12" s="319"/>
      <c r="NFU12" s="319"/>
      <c r="NFV12" s="319"/>
      <c r="NFW12" s="319"/>
      <c r="NFX12" s="319"/>
      <c r="NFY12" s="319"/>
      <c r="NFZ12" s="319"/>
      <c r="NGA12" s="319"/>
      <c r="NGB12" s="319"/>
      <c r="NGC12" s="319"/>
      <c r="NGD12" s="319"/>
      <c r="NGE12" s="319"/>
      <c r="NGF12" s="319"/>
      <c r="NGG12" s="319"/>
      <c r="NGH12" s="319"/>
      <c r="NGI12" s="319"/>
      <c r="NGJ12" s="319"/>
      <c r="NGK12" s="319"/>
      <c r="NGL12" s="319"/>
      <c r="NGM12" s="319"/>
      <c r="NGN12" s="319"/>
      <c r="NGO12" s="319"/>
      <c r="NGP12" s="319"/>
      <c r="NGQ12" s="319"/>
      <c r="NGR12" s="319"/>
      <c r="NGS12" s="319"/>
      <c r="NGT12" s="319"/>
      <c r="NGU12" s="319"/>
      <c r="NGV12" s="319"/>
      <c r="NGW12" s="319"/>
      <c r="NGX12" s="319"/>
      <c r="NGY12" s="319"/>
      <c r="NGZ12" s="319"/>
      <c r="NHA12" s="319"/>
      <c r="NHB12" s="319"/>
      <c r="NHC12" s="319"/>
      <c r="NHD12" s="319"/>
      <c r="NHE12" s="319"/>
      <c r="NHF12" s="319"/>
      <c r="NHG12" s="319"/>
      <c r="NHH12" s="319"/>
      <c r="NHI12" s="319"/>
      <c r="NHJ12" s="319"/>
      <c r="NHK12" s="319"/>
      <c r="NHL12" s="319"/>
      <c r="NHM12" s="319"/>
      <c r="NHN12" s="319"/>
      <c r="NHO12" s="319"/>
      <c r="NHP12" s="319"/>
      <c r="NHQ12" s="319"/>
      <c r="NHR12" s="319"/>
      <c r="NHS12" s="319"/>
      <c r="NHT12" s="319"/>
      <c r="NHU12" s="319"/>
      <c r="NHV12" s="319"/>
      <c r="NHW12" s="319"/>
      <c r="NHX12" s="319"/>
      <c r="NHY12" s="319"/>
      <c r="NHZ12" s="319"/>
      <c r="NIA12" s="319"/>
      <c r="NIB12" s="319"/>
      <c r="NIC12" s="319"/>
      <c r="NID12" s="319"/>
      <c r="NIE12" s="319"/>
      <c r="NIF12" s="319"/>
      <c r="NIG12" s="319"/>
      <c r="NIH12" s="319"/>
      <c r="NII12" s="319"/>
      <c r="NIJ12" s="319"/>
      <c r="NIK12" s="319"/>
      <c r="NIL12" s="319"/>
      <c r="NIM12" s="319"/>
      <c r="NIN12" s="319"/>
      <c r="NIO12" s="319"/>
      <c r="NIP12" s="319"/>
      <c r="NIQ12" s="319"/>
      <c r="NIR12" s="319"/>
      <c r="NIS12" s="319"/>
      <c r="NIT12" s="319"/>
      <c r="NIU12" s="319"/>
      <c r="NIV12" s="319"/>
      <c r="NIW12" s="319"/>
      <c r="NIX12" s="319"/>
      <c r="NIY12" s="319"/>
      <c r="NIZ12" s="319"/>
      <c r="NJA12" s="319"/>
      <c r="NJB12" s="319"/>
      <c r="NJC12" s="319"/>
      <c r="NJD12" s="319"/>
      <c r="NJE12" s="319"/>
      <c r="NJF12" s="319"/>
      <c r="NJG12" s="319"/>
      <c r="NJH12" s="319"/>
      <c r="NJI12" s="319"/>
      <c r="NJJ12" s="319"/>
      <c r="NJK12" s="319"/>
      <c r="NJL12" s="319"/>
      <c r="NJM12" s="319"/>
      <c r="NJN12" s="319"/>
      <c r="NJO12" s="319"/>
      <c r="NJP12" s="319"/>
      <c r="NJQ12" s="319"/>
      <c r="NJR12" s="319"/>
      <c r="NJS12" s="319"/>
      <c r="NJT12" s="319"/>
      <c r="NJU12" s="319"/>
      <c r="NJV12" s="319"/>
      <c r="NJW12" s="319"/>
      <c r="NJX12" s="319"/>
      <c r="NJY12" s="319"/>
      <c r="NJZ12" s="319"/>
      <c r="NKA12" s="319"/>
      <c r="NKB12" s="319"/>
      <c r="NKC12" s="319"/>
      <c r="NKD12" s="319"/>
      <c r="NKE12" s="319"/>
      <c r="NKF12" s="319"/>
      <c r="NKG12" s="319"/>
      <c r="NKH12" s="319"/>
      <c r="NKI12" s="319"/>
      <c r="NKJ12" s="319"/>
      <c r="NKK12" s="319"/>
      <c r="NKL12" s="319"/>
      <c r="NKM12" s="319"/>
      <c r="NKN12" s="319"/>
      <c r="NKO12" s="319"/>
      <c r="NKP12" s="319"/>
      <c r="NKQ12" s="319"/>
      <c r="NKR12" s="319"/>
      <c r="NKS12" s="319"/>
      <c r="NKT12" s="319"/>
      <c r="NKU12" s="319"/>
      <c r="NKV12" s="319"/>
      <c r="NKW12" s="319"/>
      <c r="NKX12" s="319"/>
      <c r="NKY12" s="319"/>
      <c r="NKZ12" s="319"/>
      <c r="NLA12" s="319"/>
      <c r="NLB12" s="319"/>
      <c r="NLC12" s="319"/>
      <c r="NLD12" s="319"/>
      <c r="NLE12" s="319"/>
      <c r="NLF12" s="319"/>
      <c r="NLG12" s="319"/>
      <c r="NLH12" s="319"/>
      <c r="NLI12" s="319"/>
      <c r="NLJ12" s="319"/>
      <c r="NLK12" s="319"/>
      <c r="NLL12" s="319"/>
      <c r="NLM12" s="319"/>
      <c r="NLN12" s="319"/>
      <c r="NLO12" s="319"/>
      <c r="NLP12" s="319"/>
      <c r="NLQ12" s="319"/>
      <c r="NLR12" s="319"/>
      <c r="NLS12" s="319"/>
      <c r="NLT12" s="319"/>
      <c r="NLU12" s="319"/>
      <c r="NLV12" s="319"/>
      <c r="NLW12" s="319"/>
      <c r="NLX12" s="319"/>
      <c r="NLY12" s="319"/>
      <c r="NLZ12" s="319"/>
      <c r="NMA12" s="319"/>
      <c r="NMB12" s="319"/>
      <c r="NMC12" s="319"/>
      <c r="NMD12" s="319"/>
      <c r="NME12" s="319"/>
      <c r="NMF12" s="319"/>
      <c r="NMG12" s="319"/>
      <c r="NMH12" s="319"/>
      <c r="NMI12" s="319"/>
      <c r="NMJ12" s="319"/>
      <c r="NMK12" s="319"/>
      <c r="NML12" s="319"/>
      <c r="NMM12" s="319"/>
      <c r="NMN12" s="319"/>
      <c r="NMO12" s="319"/>
      <c r="NMP12" s="319"/>
      <c r="NMQ12" s="319"/>
      <c r="NMR12" s="319"/>
      <c r="NMS12" s="319"/>
      <c r="NMT12" s="319"/>
      <c r="NMU12" s="319"/>
      <c r="NMV12" s="319"/>
      <c r="NMW12" s="319"/>
      <c r="NMX12" s="319"/>
      <c r="NMY12" s="319"/>
      <c r="NMZ12" s="319"/>
      <c r="NNA12" s="319"/>
      <c r="NNB12" s="319"/>
      <c r="NNC12" s="319"/>
      <c r="NND12" s="319"/>
      <c r="NNE12" s="319"/>
      <c r="NNF12" s="319"/>
      <c r="NNG12" s="319"/>
      <c r="NNH12" s="319"/>
      <c r="NNI12" s="319"/>
      <c r="NNJ12" s="319"/>
      <c r="NNK12" s="319"/>
      <c r="NNL12" s="319"/>
      <c r="NNM12" s="319"/>
      <c r="NNN12" s="319"/>
      <c r="NNO12" s="319"/>
      <c r="NNP12" s="319"/>
      <c r="NNQ12" s="319"/>
      <c r="NNR12" s="319"/>
      <c r="NNS12" s="319"/>
      <c r="NNT12" s="319"/>
      <c r="NNU12" s="319"/>
      <c r="NNV12" s="319"/>
      <c r="NNW12" s="319"/>
      <c r="NNX12" s="319"/>
      <c r="NNY12" s="319"/>
      <c r="NNZ12" s="319"/>
      <c r="NOA12" s="319"/>
      <c r="NOB12" s="319"/>
      <c r="NOC12" s="319"/>
      <c r="NOD12" s="319"/>
      <c r="NOE12" s="319"/>
      <c r="NOF12" s="319"/>
      <c r="NOG12" s="319"/>
      <c r="NOH12" s="319"/>
      <c r="NOI12" s="319"/>
      <c r="NOJ12" s="319"/>
      <c r="NOK12" s="319"/>
      <c r="NOL12" s="319"/>
      <c r="NOM12" s="319"/>
      <c r="NON12" s="319"/>
      <c r="NOO12" s="319"/>
      <c r="NOP12" s="319"/>
      <c r="NOQ12" s="319"/>
      <c r="NOR12" s="319"/>
      <c r="NOS12" s="319"/>
      <c r="NOT12" s="319"/>
      <c r="NOU12" s="319"/>
      <c r="NOV12" s="319"/>
      <c r="NOW12" s="319"/>
      <c r="NOX12" s="319"/>
      <c r="NOY12" s="319"/>
      <c r="NOZ12" s="319"/>
      <c r="NPA12" s="319"/>
      <c r="NPB12" s="319"/>
      <c r="NPC12" s="319"/>
      <c r="NPD12" s="319"/>
      <c r="NPE12" s="319"/>
      <c r="NPF12" s="319"/>
      <c r="NPG12" s="319"/>
      <c r="NPH12" s="319"/>
      <c r="NPI12" s="319"/>
      <c r="NPJ12" s="319"/>
      <c r="NPK12" s="319"/>
      <c r="NPL12" s="319"/>
      <c r="NPM12" s="319"/>
      <c r="NPN12" s="319"/>
      <c r="NPO12" s="319"/>
      <c r="NPP12" s="319"/>
      <c r="NPQ12" s="319"/>
      <c r="NPR12" s="319"/>
      <c r="NPS12" s="319"/>
      <c r="NPT12" s="319"/>
      <c r="NPU12" s="319"/>
      <c r="NPV12" s="319"/>
      <c r="NPW12" s="319"/>
      <c r="NPX12" s="319"/>
      <c r="NPY12" s="319"/>
      <c r="NPZ12" s="319"/>
      <c r="NQA12" s="319"/>
      <c r="NQB12" s="319"/>
      <c r="NQC12" s="319"/>
      <c r="NQD12" s="319"/>
      <c r="NQE12" s="319"/>
      <c r="NQF12" s="319"/>
      <c r="NQG12" s="319"/>
      <c r="NQH12" s="319"/>
      <c r="NQI12" s="319"/>
      <c r="NQJ12" s="319"/>
      <c r="NQK12" s="319"/>
      <c r="NQL12" s="319"/>
      <c r="NQM12" s="319"/>
      <c r="NQN12" s="319"/>
      <c r="NQO12" s="319"/>
      <c r="NQP12" s="319"/>
      <c r="NQQ12" s="319"/>
      <c r="NQR12" s="319"/>
      <c r="NQS12" s="319"/>
      <c r="NQT12" s="319"/>
      <c r="NQU12" s="319"/>
      <c r="NQV12" s="319"/>
      <c r="NQW12" s="319"/>
      <c r="NQX12" s="319"/>
      <c r="NQY12" s="319"/>
      <c r="NQZ12" s="319"/>
      <c r="NRA12" s="319"/>
      <c r="NRB12" s="319"/>
      <c r="NRC12" s="319"/>
      <c r="NRD12" s="319"/>
      <c r="NRE12" s="319"/>
      <c r="NRF12" s="319"/>
      <c r="NRG12" s="319"/>
      <c r="NRH12" s="319"/>
      <c r="NRI12" s="319"/>
      <c r="NRJ12" s="319"/>
      <c r="NRK12" s="319"/>
      <c r="NRL12" s="319"/>
      <c r="NRM12" s="319"/>
      <c r="NRN12" s="319"/>
      <c r="NRO12" s="319"/>
      <c r="NRP12" s="319"/>
      <c r="NRQ12" s="319"/>
      <c r="NRR12" s="319"/>
      <c r="NRS12" s="319"/>
      <c r="NRT12" s="319"/>
      <c r="NRU12" s="319"/>
      <c r="NRV12" s="319"/>
      <c r="NRW12" s="319"/>
      <c r="NRX12" s="319"/>
      <c r="NRY12" s="319"/>
      <c r="NRZ12" s="319"/>
      <c r="NSA12" s="319"/>
      <c r="NSB12" s="319"/>
      <c r="NSC12" s="319"/>
      <c r="NSD12" s="319"/>
      <c r="NSE12" s="319"/>
      <c r="NSF12" s="319"/>
      <c r="NSG12" s="319"/>
      <c r="NSH12" s="319"/>
      <c r="NSI12" s="319"/>
      <c r="NSJ12" s="319"/>
      <c r="NSK12" s="319"/>
      <c r="NSL12" s="319"/>
      <c r="NSM12" s="319"/>
      <c r="NSN12" s="319"/>
      <c r="NSO12" s="319"/>
      <c r="NSP12" s="319"/>
      <c r="NSQ12" s="319"/>
      <c r="NSR12" s="319"/>
      <c r="NSS12" s="319"/>
      <c r="NST12" s="319"/>
      <c r="NSU12" s="319"/>
      <c r="NSV12" s="319"/>
      <c r="NSW12" s="319"/>
      <c r="NSX12" s="319"/>
      <c r="NSY12" s="319"/>
      <c r="NSZ12" s="319"/>
      <c r="NTA12" s="319"/>
      <c r="NTB12" s="319"/>
      <c r="NTC12" s="319"/>
      <c r="NTD12" s="319"/>
      <c r="NTE12" s="319"/>
      <c r="NTF12" s="319"/>
      <c r="NTG12" s="319"/>
      <c r="NTH12" s="319"/>
      <c r="NTI12" s="319"/>
      <c r="NTJ12" s="319"/>
      <c r="NTK12" s="319"/>
      <c r="NTL12" s="319"/>
      <c r="NTM12" s="319"/>
      <c r="NTN12" s="319"/>
      <c r="NTO12" s="319"/>
      <c r="NTP12" s="319"/>
      <c r="NTQ12" s="319"/>
      <c r="NTR12" s="319"/>
      <c r="NTS12" s="319"/>
      <c r="NTT12" s="319"/>
      <c r="NTU12" s="319"/>
      <c r="NTV12" s="319"/>
      <c r="NTW12" s="319"/>
      <c r="NTX12" s="319"/>
      <c r="NTY12" s="319"/>
      <c r="NTZ12" s="319"/>
      <c r="NUA12" s="319"/>
      <c r="NUB12" s="319"/>
      <c r="NUC12" s="319"/>
      <c r="NUD12" s="319"/>
      <c r="NUE12" s="319"/>
      <c r="NUF12" s="319"/>
      <c r="NUG12" s="319"/>
      <c r="NUH12" s="319"/>
      <c r="NUI12" s="319"/>
      <c r="NUJ12" s="319"/>
      <c r="NUK12" s="319"/>
      <c r="NUL12" s="319"/>
      <c r="NUM12" s="319"/>
      <c r="NUN12" s="319"/>
      <c r="NUO12" s="319"/>
      <c r="NUP12" s="319"/>
      <c r="NUQ12" s="319"/>
      <c r="NUR12" s="319"/>
      <c r="NUS12" s="319"/>
      <c r="NUT12" s="319"/>
      <c r="NUU12" s="319"/>
      <c r="NUV12" s="319"/>
      <c r="NUW12" s="319"/>
      <c r="NUX12" s="319"/>
      <c r="NUY12" s="319"/>
      <c r="NUZ12" s="319"/>
      <c r="NVA12" s="319"/>
      <c r="NVB12" s="319"/>
      <c r="NVC12" s="319"/>
      <c r="NVD12" s="319"/>
      <c r="NVE12" s="319"/>
      <c r="NVF12" s="319"/>
      <c r="NVG12" s="319"/>
      <c r="NVH12" s="319"/>
      <c r="NVI12" s="319"/>
      <c r="NVJ12" s="319"/>
      <c r="NVK12" s="319"/>
      <c r="NVL12" s="319"/>
      <c r="NVM12" s="319"/>
      <c r="NVN12" s="319"/>
      <c r="NVO12" s="319"/>
      <c r="NVP12" s="319"/>
      <c r="NVQ12" s="319"/>
      <c r="NVR12" s="319"/>
      <c r="NVS12" s="319"/>
      <c r="NVT12" s="319"/>
      <c r="NVU12" s="319"/>
      <c r="NVV12" s="319"/>
      <c r="NVW12" s="319"/>
      <c r="NVX12" s="319"/>
      <c r="NVY12" s="319"/>
      <c r="NVZ12" s="319"/>
      <c r="NWA12" s="319"/>
      <c r="NWB12" s="319"/>
      <c r="NWC12" s="319"/>
      <c r="NWD12" s="319"/>
      <c r="NWE12" s="319"/>
      <c r="NWF12" s="319"/>
      <c r="NWG12" s="319"/>
      <c r="NWH12" s="319"/>
      <c r="NWI12" s="319"/>
      <c r="NWJ12" s="319"/>
      <c r="NWK12" s="319"/>
      <c r="NWL12" s="319"/>
      <c r="NWM12" s="319"/>
      <c r="NWN12" s="319"/>
      <c r="NWO12" s="319"/>
      <c r="NWP12" s="319"/>
      <c r="NWQ12" s="319"/>
      <c r="NWR12" s="319"/>
      <c r="NWS12" s="319"/>
      <c r="NWT12" s="319"/>
      <c r="NWU12" s="319"/>
      <c r="NWV12" s="319"/>
      <c r="NWW12" s="319"/>
      <c r="NWX12" s="319"/>
      <c r="NWY12" s="319"/>
      <c r="NWZ12" s="319"/>
      <c r="NXA12" s="319"/>
      <c r="NXB12" s="319"/>
      <c r="NXC12" s="319"/>
      <c r="NXD12" s="319"/>
      <c r="NXE12" s="319"/>
      <c r="NXF12" s="319"/>
      <c r="NXG12" s="319"/>
      <c r="NXH12" s="319"/>
      <c r="NXI12" s="319"/>
      <c r="NXJ12" s="319"/>
      <c r="NXK12" s="319"/>
      <c r="NXL12" s="319"/>
      <c r="NXM12" s="319"/>
      <c r="NXN12" s="319"/>
      <c r="NXO12" s="319"/>
      <c r="NXP12" s="319"/>
      <c r="NXQ12" s="319"/>
      <c r="NXR12" s="319"/>
      <c r="NXS12" s="319"/>
      <c r="NXT12" s="319"/>
      <c r="NXU12" s="319"/>
      <c r="NXV12" s="319"/>
      <c r="NXW12" s="319"/>
      <c r="NXX12" s="319"/>
      <c r="NXY12" s="319"/>
      <c r="NXZ12" s="319"/>
      <c r="NYA12" s="319"/>
      <c r="NYB12" s="319"/>
      <c r="NYC12" s="319"/>
      <c r="NYD12" s="319"/>
      <c r="NYE12" s="319"/>
      <c r="NYF12" s="319"/>
      <c r="NYG12" s="319"/>
      <c r="NYH12" s="319"/>
      <c r="NYI12" s="319"/>
      <c r="NYJ12" s="319"/>
      <c r="NYK12" s="319"/>
      <c r="NYL12" s="319"/>
      <c r="NYM12" s="319"/>
      <c r="NYN12" s="319"/>
      <c r="NYO12" s="319"/>
      <c r="NYP12" s="319"/>
      <c r="NYQ12" s="319"/>
      <c r="NYR12" s="319"/>
      <c r="NYS12" s="319"/>
      <c r="NYT12" s="319"/>
      <c r="NYU12" s="319"/>
      <c r="NYV12" s="319"/>
      <c r="NYW12" s="319"/>
      <c r="NYX12" s="319"/>
      <c r="NYY12" s="319"/>
      <c r="NYZ12" s="319"/>
      <c r="NZA12" s="319"/>
      <c r="NZB12" s="319"/>
      <c r="NZC12" s="319"/>
      <c r="NZD12" s="319"/>
      <c r="NZE12" s="319"/>
      <c r="NZF12" s="319"/>
      <c r="NZG12" s="319"/>
      <c r="NZH12" s="319"/>
      <c r="NZI12" s="319"/>
      <c r="NZJ12" s="319"/>
      <c r="NZK12" s="319"/>
      <c r="NZL12" s="319"/>
      <c r="NZM12" s="319"/>
      <c r="NZN12" s="319"/>
      <c r="NZO12" s="319"/>
      <c r="NZP12" s="319"/>
      <c r="NZQ12" s="319"/>
      <c r="NZR12" s="319"/>
      <c r="NZS12" s="319"/>
      <c r="NZT12" s="319"/>
      <c r="NZU12" s="319"/>
      <c r="NZV12" s="319"/>
      <c r="NZW12" s="319"/>
      <c r="NZX12" s="319"/>
      <c r="NZY12" s="319"/>
      <c r="NZZ12" s="319"/>
      <c r="OAA12" s="319"/>
      <c r="OAB12" s="319"/>
      <c r="OAC12" s="319"/>
      <c r="OAD12" s="319"/>
      <c r="OAE12" s="319"/>
      <c r="OAF12" s="319"/>
      <c r="OAG12" s="319"/>
      <c r="OAH12" s="319"/>
      <c r="OAI12" s="319"/>
      <c r="OAJ12" s="319"/>
      <c r="OAK12" s="319"/>
      <c r="OAL12" s="319"/>
      <c r="OAM12" s="319"/>
      <c r="OAN12" s="319"/>
      <c r="OAO12" s="319"/>
      <c r="OAP12" s="319"/>
      <c r="OAQ12" s="319"/>
      <c r="OAR12" s="319"/>
      <c r="OAS12" s="319"/>
      <c r="OAT12" s="319"/>
      <c r="OAU12" s="319"/>
      <c r="OAV12" s="319"/>
      <c r="OAW12" s="319"/>
      <c r="OAX12" s="319"/>
      <c r="OAY12" s="319"/>
      <c r="OAZ12" s="319"/>
      <c r="OBA12" s="319"/>
      <c r="OBB12" s="319"/>
      <c r="OBC12" s="319"/>
      <c r="OBD12" s="319"/>
      <c r="OBE12" s="319"/>
      <c r="OBF12" s="319"/>
      <c r="OBG12" s="319"/>
      <c r="OBH12" s="319"/>
      <c r="OBI12" s="319"/>
      <c r="OBJ12" s="319"/>
      <c r="OBK12" s="319"/>
      <c r="OBL12" s="319"/>
      <c r="OBM12" s="319"/>
      <c r="OBN12" s="319"/>
      <c r="OBO12" s="319"/>
      <c r="OBP12" s="319"/>
      <c r="OBQ12" s="319"/>
      <c r="OBR12" s="319"/>
      <c r="OBS12" s="319"/>
      <c r="OBT12" s="319"/>
      <c r="OBU12" s="319"/>
      <c r="OBV12" s="319"/>
      <c r="OBW12" s="319"/>
      <c r="OBX12" s="319"/>
      <c r="OBY12" s="319"/>
      <c r="OBZ12" s="319"/>
      <c r="OCA12" s="319"/>
      <c r="OCB12" s="319"/>
      <c r="OCC12" s="319"/>
      <c r="OCD12" s="319"/>
      <c r="OCE12" s="319"/>
      <c r="OCF12" s="319"/>
      <c r="OCG12" s="319"/>
      <c r="OCH12" s="319"/>
      <c r="OCI12" s="319"/>
      <c r="OCJ12" s="319"/>
      <c r="OCK12" s="319"/>
      <c r="OCL12" s="319"/>
      <c r="OCM12" s="319"/>
      <c r="OCN12" s="319"/>
      <c r="OCO12" s="319"/>
      <c r="OCP12" s="319"/>
      <c r="OCQ12" s="319"/>
      <c r="OCR12" s="319"/>
      <c r="OCS12" s="319"/>
      <c r="OCT12" s="319"/>
      <c r="OCU12" s="319"/>
      <c r="OCV12" s="319"/>
      <c r="OCW12" s="319"/>
      <c r="OCX12" s="319"/>
      <c r="OCY12" s="319"/>
      <c r="OCZ12" s="319"/>
      <c r="ODA12" s="319"/>
      <c r="ODB12" s="319"/>
      <c r="ODC12" s="319"/>
      <c r="ODD12" s="319"/>
      <c r="ODE12" s="319"/>
      <c r="ODF12" s="319"/>
      <c r="ODG12" s="319"/>
      <c r="ODH12" s="319"/>
      <c r="ODI12" s="319"/>
      <c r="ODJ12" s="319"/>
      <c r="ODK12" s="319"/>
      <c r="ODL12" s="319"/>
      <c r="ODM12" s="319"/>
      <c r="ODN12" s="319"/>
      <c r="ODO12" s="319"/>
      <c r="ODP12" s="319"/>
      <c r="ODQ12" s="319"/>
      <c r="ODR12" s="319"/>
      <c r="ODS12" s="319"/>
      <c r="ODT12" s="319"/>
      <c r="ODU12" s="319"/>
      <c r="ODV12" s="319"/>
      <c r="ODW12" s="319"/>
      <c r="ODX12" s="319"/>
      <c r="ODY12" s="319"/>
      <c r="ODZ12" s="319"/>
      <c r="OEA12" s="319"/>
      <c r="OEB12" s="319"/>
      <c r="OEC12" s="319"/>
      <c r="OED12" s="319"/>
      <c r="OEE12" s="319"/>
      <c r="OEF12" s="319"/>
      <c r="OEG12" s="319"/>
      <c r="OEH12" s="319"/>
      <c r="OEI12" s="319"/>
      <c r="OEJ12" s="319"/>
      <c r="OEK12" s="319"/>
      <c r="OEL12" s="319"/>
      <c r="OEM12" s="319"/>
      <c r="OEN12" s="319"/>
      <c r="OEO12" s="319"/>
      <c r="OEP12" s="319"/>
      <c r="OEQ12" s="319"/>
      <c r="OER12" s="319"/>
      <c r="OES12" s="319"/>
      <c r="OET12" s="319"/>
      <c r="OEU12" s="319"/>
      <c r="OEV12" s="319"/>
      <c r="OEW12" s="319"/>
      <c r="OEX12" s="319"/>
      <c r="OEY12" s="319"/>
      <c r="OEZ12" s="319"/>
      <c r="OFA12" s="319"/>
      <c r="OFB12" s="319"/>
      <c r="OFC12" s="319"/>
      <c r="OFD12" s="319"/>
      <c r="OFE12" s="319"/>
      <c r="OFF12" s="319"/>
      <c r="OFG12" s="319"/>
      <c r="OFH12" s="319"/>
      <c r="OFI12" s="319"/>
      <c r="OFJ12" s="319"/>
      <c r="OFK12" s="319"/>
      <c r="OFL12" s="319"/>
      <c r="OFM12" s="319"/>
      <c r="OFN12" s="319"/>
      <c r="OFO12" s="319"/>
      <c r="OFP12" s="319"/>
      <c r="OFQ12" s="319"/>
      <c r="OFR12" s="319"/>
      <c r="OFS12" s="319"/>
      <c r="OFT12" s="319"/>
      <c r="OFU12" s="319"/>
      <c r="OFV12" s="319"/>
      <c r="OFW12" s="319"/>
      <c r="OFX12" s="319"/>
      <c r="OFY12" s="319"/>
      <c r="OFZ12" s="319"/>
      <c r="OGA12" s="319"/>
      <c r="OGB12" s="319"/>
      <c r="OGC12" s="319"/>
      <c r="OGD12" s="319"/>
      <c r="OGE12" s="319"/>
      <c r="OGF12" s="319"/>
      <c r="OGG12" s="319"/>
      <c r="OGH12" s="319"/>
      <c r="OGI12" s="319"/>
      <c r="OGJ12" s="319"/>
      <c r="OGK12" s="319"/>
      <c r="OGL12" s="319"/>
      <c r="OGM12" s="319"/>
      <c r="OGN12" s="319"/>
      <c r="OGO12" s="319"/>
      <c r="OGP12" s="319"/>
      <c r="OGQ12" s="319"/>
      <c r="OGR12" s="319"/>
      <c r="OGS12" s="319"/>
      <c r="OGT12" s="319"/>
      <c r="OGU12" s="319"/>
      <c r="OGV12" s="319"/>
      <c r="OGW12" s="319"/>
      <c r="OGX12" s="319"/>
      <c r="OGY12" s="319"/>
      <c r="OGZ12" s="319"/>
      <c r="OHA12" s="319"/>
      <c r="OHB12" s="319"/>
      <c r="OHC12" s="319"/>
      <c r="OHD12" s="319"/>
      <c r="OHE12" s="319"/>
      <c r="OHF12" s="319"/>
      <c r="OHG12" s="319"/>
      <c r="OHH12" s="319"/>
      <c r="OHI12" s="319"/>
      <c r="OHJ12" s="319"/>
      <c r="OHK12" s="319"/>
      <c r="OHL12" s="319"/>
      <c r="OHM12" s="319"/>
      <c r="OHN12" s="319"/>
      <c r="OHO12" s="319"/>
      <c r="OHP12" s="319"/>
      <c r="OHQ12" s="319"/>
      <c r="OHR12" s="319"/>
      <c r="OHS12" s="319"/>
      <c r="OHT12" s="319"/>
      <c r="OHU12" s="319"/>
      <c r="OHV12" s="319"/>
      <c r="OHW12" s="319"/>
      <c r="OHX12" s="319"/>
      <c r="OHY12" s="319"/>
      <c r="OHZ12" s="319"/>
      <c r="OIA12" s="319"/>
      <c r="OIB12" s="319"/>
      <c r="OIC12" s="319"/>
      <c r="OID12" s="319"/>
      <c r="OIE12" s="319"/>
      <c r="OIF12" s="319"/>
      <c r="OIG12" s="319"/>
      <c r="OIH12" s="319"/>
      <c r="OII12" s="319"/>
      <c r="OIJ12" s="319"/>
      <c r="OIK12" s="319"/>
      <c r="OIL12" s="319"/>
      <c r="OIM12" s="319"/>
      <c r="OIN12" s="319"/>
      <c r="OIO12" s="319"/>
      <c r="OIP12" s="319"/>
      <c r="OIQ12" s="319"/>
      <c r="OIR12" s="319"/>
      <c r="OIS12" s="319"/>
      <c r="OIT12" s="319"/>
      <c r="OIU12" s="319"/>
      <c r="OIV12" s="319"/>
      <c r="OIW12" s="319"/>
      <c r="OIX12" s="319"/>
      <c r="OIY12" s="319"/>
      <c r="OIZ12" s="319"/>
      <c r="OJA12" s="319"/>
      <c r="OJB12" s="319"/>
      <c r="OJC12" s="319"/>
      <c r="OJD12" s="319"/>
      <c r="OJE12" s="319"/>
      <c r="OJF12" s="319"/>
      <c r="OJG12" s="319"/>
      <c r="OJH12" s="319"/>
      <c r="OJI12" s="319"/>
      <c r="OJJ12" s="319"/>
      <c r="OJK12" s="319"/>
      <c r="OJL12" s="319"/>
      <c r="OJM12" s="319"/>
      <c r="OJN12" s="319"/>
      <c r="OJO12" s="319"/>
      <c r="OJP12" s="319"/>
      <c r="OJQ12" s="319"/>
      <c r="OJR12" s="319"/>
      <c r="OJS12" s="319"/>
      <c r="OJT12" s="319"/>
      <c r="OJU12" s="319"/>
      <c r="OJV12" s="319"/>
      <c r="OJW12" s="319"/>
      <c r="OJX12" s="319"/>
      <c r="OJY12" s="319"/>
      <c r="OJZ12" s="319"/>
      <c r="OKA12" s="319"/>
      <c r="OKB12" s="319"/>
      <c r="OKC12" s="319"/>
      <c r="OKD12" s="319"/>
      <c r="OKE12" s="319"/>
      <c r="OKF12" s="319"/>
      <c r="OKG12" s="319"/>
      <c r="OKH12" s="319"/>
      <c r="OKI12" s="319"/>
      <c r="OKJ12" s="319"/>
      <c r="OKK12" s="319"/>
      <c r="OKL12" s="319"/>
      <c r="OKM12" s="319"/>
      <c r="OKN12" s="319"/>
      <c r="OKO12" s="319"/>
      <c r="OKP12" s="319"/>
      <c r="OKQ12" s="319"/>
      <c r="OKR12" s="319"/>
      <c r="OKS12" s="319"/>
      <c r="OKT12" s="319"/>
      <c r="OKU12" s="319"/>
      <c r="OKV12" s="319"/>
      <c r="OKW12" s="319"/>
      <c r="OKX12" s="319"/>
      <c r="OKY12" s="319"/>
      <c r="OKZ12" s="319"/>
      <c r="OLA12" s="319"/>
      <c r="OLB12" s="319"/>
      <c r="OLC12" s="319"/>
      <c r="OLD12" s="319"/>
      <c r="OLE12" s="319"/>
      <c r="OLF12" s="319"/>
      <c r="OLG12" s="319"/>
      <c r="OLH12" s="319"/>
      <c r="OLI12" s="319"/>
      <c r="OLJ12" s="319"/>
      <c r="OLK12" s="319"/>
      <c r="OLL12" s="319"/>
      <c r="OLM12" s="319"/>
      <c r="OLN12" s="319"/>
      <c r="OLO12" s="319"/>
      <c r="OLP12" s="319"/>
      <c r="OLQ12" s="319"/>
      <c r="OLR12" s="319"/>
      <c r="OLS12" s="319"/>
      <c r="OLT12" s="319"/>
      <c r="OLU12" s="319"/>
      <c r="OLV12" s="319"/>
      <c r="OLW12" s="319"/>
      <c r="OLX12" s="319"/>
      <c r="OLY12" s="319"/>
      <c r="OLZ12" s="319"/>
      <c r="OMA12" s="319"/>
      <c r="OMB12" s="319"/>
      <c r="OMC12" s="319"/>
      <c r="OMD12" s="319"/>
      <c r="OME12" s="319"/>
      <c r="OMF12" s="319"/>
      <c r="OMG12" s="319"/>
      <c r="OMH12" s="319"/>
      <c r="OMI12" s="319"/>
      <c r="OMJ12" s="319"/>
      <c r="OMK12" s="319"/>
      <c r="OML12" s="319"/>
      <c r="OMM12" s="319"/>
      <c r="OMN12" s="319"/>
      <c r="OMO12" s="319"/>
      <c r="OMP12" s="319"/>
      <c r="OMQ12" s="319"/>
      <c r="OMR12" s="319"/>
      <c r="OMS12" s="319"/>
      <c r="OMT12" s="319"/>
      <c r="OMU12" s="319"/>
      <c r="OMV12" s="319"/>
      <c r="OMW12" s="319"/>
      <c r="OMX12" s="319"/>
      <c r="OMY12" s="319"/>
      <c r="OMZ12" s="319"/>
      <c r="ONA12" s="319"/>
      <c r="ONB12" s="319"/>
      <c r="ONC12" s="319"/>
      <c r="OND12" s="319"/>
      <c r="ONE12" s="319"/>
      <c r="ONF12" s="319"/>
      <c r="ONG12" s="319"/>
      <c r="ONH12" s="319"/>
      <c r="ONI12" s="319"/>
      <c r="ONJ12" s="319"/>
      <c r="ONK12" s="319"/>
      <c r="ONL12" s="319"/>
      <c r="ONM12" s="319"/>
      <c r="ONN12" s="319"/>
      <c r="ONO12" s="319"/>
      <c r="ONP12" s="319"/>
      <c r="ONQ12" s="319"/>
      <c r="ONR12" s="319"/>
      <c r="ONS12" s="319"/>
      <c r="ONT12" s="319"/>
      <c r="ONU12" s="319"/>
      <c r="ONV12" s="319"/>
      <c r="ONW12" s="319"/>
      <c r="ONX12" s="319"/>
      <c r="ONY12" s="319"/>
      <c r="ONZ12" s="319"/>
      <c r="OOA12" s="319"/>
      <c r="OOB12" s="319"/>
      <c r="OOC12" s="319"/>
      <c r="OOD12" s="319"/>
      <c r="OOE12" s="319"/>
      <c r="OOF12" s="319"/>
      <c r="OOG12" s="319"/>
      <c r="OOH12" s="319"/>
      <c r="OOI12" s="319"/>
      <c r="OOJ12" s="319"/>
      <c r="OOK12" s="319"/>
      <c r="OOL12" s="319"/>
      <c r="OOM12" s="319"/>
      <c r="OON12" s="319"/>
      <c r="OOO12" s="319"/>
      <c r="OOP12" s="319"/>
      <c r="OOQ12" s="319"/>
      <c r="OOR12" s="319"/>
      <c r="OOS12" s="319"/>
      <c r="OOT12" s="319"/>
      <c r="OOU12" s="319"/>
      <c r="OOV12" s="319"/>
      <c r="OOW12" s="319"/>
      <c r="OOX12" s="319"/>
      <c r="OOY12" s="319"/>
      <c r="OOZ12" s="319"/>
      <c r="OPA12" s="319"/>
      <c r="OPB12" s="319"/>
      <c r="OPC12" s="319"/>
      <c r="OPD12" s="319"/>
      <c r="OPE12" s="319"/>
      <c r="OPF12" s="319"/>
      <c r="OPG12" s="319"/>
      <c r="OPH12" s="319"/>
      <c r="OPI12" s="319"/>
      <c r="OPJ12" s="319"/>
      <c r="OPK12" s="319"/>
      <c r="OPL12" s="319"/>
      <c r="OPM12" s="319"/>
      <c r="OPN12" s="319"/>
      <c r="OPO12" s="319"/>
      <c r="OPP12" s="319"/>
      <c r="OPQ12" s="319"/>
      <c r="OPR12" s="319"/>
      <c r="OPS12" s="319"/>
      <c r="OPT12" s="319"/>
      <c r="OPU12" s="319"/>
      <c r="OPV12" s="319"/>
      <c r="OPW12" s="319"/>
      <c r="OPX12" s="319"/>
      <c r="OPY12" s="319"/>
      <c r="OPZ12" s="319"/>
      <c r="OQA12" s="319"/>
      <c r="OQB12" s="319"/>
      <c r="OQC12" s="319"/>
      <c r="OQD12" s="319"/>
      <c r="OQE12" s="319"/>
      <c r="OQF12" s="319"/>
      <c r="OQG12" s="319"/>
      <c r="OQH12" s="319"/>
      <c r="OQI12" s="319"/>
      <c r="OQJ12" s="319"/>
      <c r="OQK12" s="319"/>
      <c r="OQL12" s="319"/>
      <c r="OQM12" s="319"/>
      <c r="OQN12" s="319"/>
      <c r="OQO12" s="319"/>
      <c r="OQP12" s="319"/>
      <c r="OQQ12" s="319"/>
      <c r="OQR12" s="319"/>
      <c r="OQS12" s="319"/>
      <c r="OQT12" s="319"/>
      <c r="OQU12" s="319"/>
      <c r="OQV12" s="319"/>
      <c r="OQW12" s="319"/>
      <c r="OQX12" s="319"/>
      <c r="OQY12" s="319"/>
      <c r="OQZ12" s="319"/>
      <c r="ORA12" s="319"/>
      <c r="ORB12" s="319"/>
      <c r="ORC12" s="319"/>
      <c r="ORD12" s="319"/>
      <c r="ORE12" s="319"/>
      <c r="ORF12" s="319"/>
      <c r="ORG12" s="319"/>
      <c r="ORH12" s="319"/>
      <c r="ORI12" s="319"/>
      <c r="ORJ12" s="319"/>
      <c r="ORK12" s="319"/>
      <c r="ORL12" s="319"/>
      <c r="ORM12" s="319"/>
      <c r="ORN12" s="319"/>
      <c r="ORO12" s="319"/>
      <c r="ORP12" s="319"/>
      <c r="ORQ12" s="319"/>
      <c r="ORR12" s="319"/>
      <c r="ORS12" s="319"/>
      <c r="ORT12" s="319"/>
      <c r="ORU12" s="319"/>
      <c r="ORV12" s="319"/>
      <c r="ORW12" s="319"/>
      <c r="ORX12" s="319"/>
      <c r="ORY12" s="319"/>
      <c r="ORZ12" s="319"/>
      <c r="OSA12" s="319"/>
      <c r="OSB12" s="319"/>
      <c r="OSC12" s="319"/>
      <c r="OSD12" s="319"/>
      <c r="OSE12" s="319"/>
      <c r="OSF12" s="319"/>
      <c r="OSG12" s="319"/>
      <c r="OSH12" s="319"/>
      <c r="OSI12" s="319"/>
      <c r="OSJ12" s="319"/>
      <c r="OSK12" s="319"/>
      <c r="OSL12" s="319"/>
      <c r="OSM12" s="319"/>
      <c r="OSN12" s="319"/>
      <c r="OSO12" s="319"/>
      <c r="OSP12" s="319"/>
      <c r="OSQ12" s="319"/>
      <c r="OSR12" s="319"/>
      <c r="OSS12" s="319"/>
      <c r="OST12" s="319"/>
      <c r="OSU12" s="319"/>
      <c r="OSV12" s="319"/>
      <c r="OSW12" s="319"/>
      <c r="OSX12" s="319"/>
      <c r="OSY12" s="319"/>
      <c r="OSZ12" s="319"/>
      <c r="OTA12" s="319"/>
      <c r="OTB12" s="319"/>
      <c r="OTC12" s="319"/>
      <c r="OTD12" s="319"/>
      <c r="OTE12" s="319"/>
      <c r="OTF12" s="319"/>
      <c r="OTG12" s="319"/>
      <c r="OTH12" s="319"/>
      <c r="OTI12" s="319"/>
      <c r="OTJ12" s="319"/>
      <c r="OTK12" s="319"/>
      <c r="OTL12" s="319"/>
      <c r="OTM12" s="319"/>
      <c r="OTN12" s="319"/>
      <c r="OTO12" s="319"/>
      <c r="OTP12" s="319"/>
      <c r="OTQ12" s="319"/>
      <c r="OTR12" s="319"/>
      <c r="OTS12" s="319"/>
      <c r="OTT12" s="319"/>
      <c r="OTU12" s="319"/>
      <c r="OTV12" s="319"/>
      <c r="OTW12" s="319"/>
      <c r="OTX12" s="319"/>
      <c r="OTY12" s="319"/>
      <c r="OTZ12" s="319"/>
      <c r="OUA12" s="319"/>
      <c r="OUB12" s="319"/>
      <c r="OUC12" s="319"/>
      <c r="OUD12" s="319"/>
      <c r="OUE12" s="319"/>
      <c r="OUF12" s="319"/>
      <c r="OUG12" s="319"/>
      <c r="OUH12" s="319"/>
      <c r="OUI12" s="319"/>
      <c r="OUJ12" s="319"/>
      <c r="OUK12" s="319"/>
      <c r="OUL12" s="319"/>
      <c r="OUM12" s="319"/>
      <c r="OUN12" s="319"/>
      <c r="OUO12" s="319"/>
      <c r="OUP12" s="319"/>
      <c r="OUQ12" s="319"/>
      <c r="OUR12" s="319"/>
      <c r="OUS12" s="319"/>
      <c r="OUT12" s="319"/>
      <c r="OUU12" s="319"/>
      <c r="OUV12" s="319"/>
      <c r="OUW12" s="319"/>
      <c r="OUX12" s="319"/>
      <c r="OUY12" s="319"/>
      <c r="OUZ12" s="319"/>
      <c r="OVA12" s="319"/>
      <c r="OVB12" s="319"/>
      <c r="OVC12" s="319"/>
      <c r="OVD12" s="319"/>
      <c r="OVE12" s="319"/>
      <c r="OVF12" s="319"/>
      <c r="OVG12" s="319"/>
      <c r="OVH12" s="319"/>
      <c r="OVI12" s="319"/>
      <c r="OVJ12" s="319"/>
      <c r="OVK12" s="319"/>
      <c r="OVL12" s="319"/>
      <c r="OVM12" s="319"/>
      <c r="OVN12" s="319"/>
      <c r="OVO12" s="319"/>
      <c r="OVP12" s="319"/>
      <c r="OVQ12" s="319"/>
      <c r="OVR12" s="319"/>
      <c r="OVS12" s="319"/>
      <c r="OVT12" s="319"/>
      <c r="OVU12" s="319"/>
      <c r="OVV12" s="319"/>
      <c r="OVW12" s="319"/>
      <c r="OVX12" s="319"/>
      <c r="OVY12" s="319"/>
      <c r="OVZ12" s="319"/>
      <c r="OWA12" s="319"/>
      <c r="OWB12" s="319"/>
      <c r="OWC12" s="319"/>
      <c r="OWD12" s="319"/>
      <c r="OWE12" s="319"/>
      <c r="OWF12" s="319"/>
      <c r="OWG12" s="319"/>
      <c r="OWH12" s="319"/>
      <c r="OWI12" s="319"/>
      <c r="OWJ12" s="319"/>
      <c r="OWK12" s="319"/>
      <c r="OWL12" s="319"/>
      <c r="OWM12" s="319"/>
      <c r="OWN12" s="319"/>
      <c r="OWO12" s="319"/>
      <c r="OWP12" s="319"/>
      <c r="OWQ12" s="319"/>
      <c r="OWR12" s="319"/>
      <c r="OWS12" s="319"/>
      <c r="OWT12" s="319"/>
      <c r="OWU12" s="319"/>
      <c r="OWV12" s="319"/>
      <c r="OWW12" s="319"/>
      <c r="OWX12" s="319"/>
      <c r="OWY12" s="319"/>
      <c r="OWZ12" s="319"/>
      <c r="OXA12" s="319"/>
      <c r="OXB12" s="319"/>
      <c r="OXC12" s="319"/>
      <c r="OXD12" s="319"/>
      <c r="OXE12" s="319"/>
      <c r="OXF12" s="319"/>
      <c r="OXG12" s="319"/>
      <c r="OXH12" s="319"/>
      <c r="OXI12" s="319"/>
      <c r="OXJ12" s="319"/>
      <c r="OXK12" s="319"/>
      <c r="OXL12" s="319"/>
      <c r="OXM12" s="319"/>
      <c r="OXN12" s="319"/>
      <c r="OXO12" s="319"/>
      <c r="OXP12" s="319"/>
      <c r="OXQ12" s="319"/>
      <c r="OXR12" s="319"/>
      <c r="OXS12" s="319"/>
      <c r="OXT12" s="319"/>
      <c r="OXU12" s="319"/>
      <c r="OXV12" s="319"/>
      <c r="OXW12" s="319"/>
      <c r="OXX12" s="319"/>
      <c r="OXY12" s="319"/>
      <c r="OXZ12" s="319"/>
      <c r="OYA12" s="319"/>
      <c r="OYB12" s="319"/>
      <c r="OYC12" s="319"/>
      <c r="OYD12" s="319"/>
      <c r="OYE12" s="319"/>
      <c r="OYF12" s="319"/>
      <c r="OYG12" s="319"/>
      <c r="OYH12" s="319"/>
      <c r="OYI12" s="319"/>
      <c r="OYJ12" s="319"/>
      <c r="OYK12" s="319"/>
      <c r="OYL12" s="319"/>
      <c r="OYM12" s="319"/>
      <c r="OYN12" s="319"/>
      <c r="OYO12" s="319"/>
      <c r="OYP12" s="319"/>
      <c r="OYQ12" s="319"/>
      <c r="OYR12" s="319"/>
      <c r="OYS12" s="319"/>
      <c r="OYT12" s="319"/>
      <c r="OYU12" s="319"/>
      <c r="OYV12" s="319"/>
      <c r="OYW12" s="319"/>
      <c r="OYX12" s="319"/>
      <c r="OYY12" s="319"/>
      <c r="OYZ12" s="319"/>
      <c r="OZA12" s="319"/>
      <c r="OZB12" s="319"/>
      <c r="OZC12" s="319"/>
      <c r="OZD12" s="319"/>
      <c r="OZE12" s="319"/>
      <c r="OZF12" s="319"/>
      <c r="OZG12" s="319"/>
      <c r="OZH12" s="319"/>
      <c r="OZI12" s="319"/>
      <c r="OZJ12" s="319"/>
      <c r="OZK12" s="319"/>
      <c r="OZL12" s="319"/>
      <c r="OZM12" s="319"/>
      <c r="OZN12" s="319"/>
      <c r="OZO12" s="319"/>
      <c r="OZP12" s="319"/>
      <c r="OZQ12" s="319"/>
      <c r="OZR12" s="319"/>
      <c r="OZS12" s="319"/>
      <c r="OZT12" s="319"/>
      <c r="OZU12" s="319"/>
      <c r="OZV12" s="319"/>
      <c r="OZW12" s="319"/>
      <c r="OZX12" s="319"/>
      <c r="OZY12" s="319"/>
      <c r="OZZ12" s="319"/>
      <c r="PAA12" s="319"/>
      <c r="PAB12" s="319"/>
      <c r="PAC12" s="319"/>
      <c r="PAD12" s="319"/>
      <c r="PAE12" s="319"/>
      <c r="PAF12" s="319"/>
      <c r="PAG12" s="319"/>
      <c r="PAH12" s="319"/>
      <c r="PAI12" s="319"/>
      <c r="PAJ12" s="319"/>
      <c r="PAK12" s="319"/>
      <c r="PAL12" s="319"/>
      <c r="PAM12" s="319"/>
      <c r="PAN12" s="319"/>
      <c r="PAO12" s="319"/>
      <c r="PAP12" s="319"/>
      <c r="PAQ12" s="319"/>
      <c r="PAR12" s="319"/>
      <c r="PAS12" s="319"/>
      <c r="PAT12" s="319"/>
      <c r="PAU12" s="319"/>
      <c r="PAV12" s="319"/>
      <c r="PAW12" s="319"/>
      <c r="PAX12" s="319"/>
      <c r="PAY12" s="319"/>
      <c r="PAZ12" s="319"/>
      <c r="PBA12" s="319"/>
      <c r="PBB12" s="319"/>
      <c r="PBC12" s="319"/>
      <c r="PBD12" s="319"/>
      <c r="PBE12" s="319"/>
      <c r="PBF12" s="319"/>
      <c r="PBG12" s="319"/>
      <c r="PBH12" s="319"/>
      <c r="PBI12" s="319"/>
      <c r="PBJ12" s="319"/>
      <c r="PBK12" s="319"/>
      <c r="PBL12" s="319"/>
      <c r="PBM12" s="319"/>
      <c r="PBN12" s="319"/>
      <c r="PBO12" s="319"/>
      <c r="PBP12" s="319"/>
      <c r="PBQ12" s="319"/>
      <c r="PBR12" s="319"/>
      <c r="PBS12" s="319"/>
      <c r="PBT12" s="319"/>
      <c r="PBU12" s="319"/>
      <c r="PBV12" s="319"/>
      <c r="PBW12" s="319"/>
      <c r="PBX12" s="319"/>
      <c r="PBY12" s="319"/>
      <c r="PBZ12" s="319"/>
      <c r="PCA12" s="319"/>
      <c r="PCB12" s="319"/>
      <c r="PCC12" s="319"/>
      <c r="PCD12" s="319"/>
      <c r="PCE12" s="319"/>
      <c r="PCF12" s="319"/>
      <c r="PCG12" s="319"/>
      <c r="PCH12" s="319"/>
      <c r="PCI12" s="319"/>
      <c r="PCJ12" s="319"/>
      <c r="PCK12" s="319"/>
      <c r="PCL12" s="319"/>
      <c r="PCM12" s="319"/>
      <c r="PCN12" s="319"/>
      <c r="PCO12" s="319"/>
      <c r="PCP12" s="319"/>
      <c r="PCQ12" s="319"/>
      <c r="PCR12" s="319"/>
      <c r="PCS12" s="319"/>
      <c r="PCT12" s="319"/>
      <c r="PCU12" s="319"/>
      <c r="PCV12" s="319"/>
      <c r="PCW12" s="319"/>
      <c r="PCX12" s="319"/>
      <c r="PCY12" s="319"/>
      <c r="PCZ12" s="319"/>
      <c r="PDA12" s="319"/>
      <c r="PDB12" s="319"/>
      <c r="PDC12" s="319"/>
      <c r="PDD12" s="319"/>
      <c r="PDE12" s="319"/>
      <c r="PDF12" s="319"/>
      <c r="PDG12" s="319"/>
      <c r="PDH12" s="319"/>
      <c r="PDI12" s="319"/>
      <c r="PDJ12" s="319"/>
      <c r="PDK12" s="319"/>
      <c r="PDL12" s="319"/>
      <c r="PDM12" s="319"/>
      <c r="PDN12" s="319"/>
      <c r="PDO12" s="319"/>
      <c r="PDP12" s="319"/>
      <c r="PDQ12" s="319"/>
      <c r="PDR12" s="319"/>
      <c r="PDS12" s="319"/>
      <c r="PDT12" s="319"/>
      <c r="PDU12" s="319"/>
      <c r="PDV12" s="319"/>
      <c r="PDW12" s="319"/>
      <c r="PDX12" s="319"/>
      <c r="PDY12" s="319"/>
      <c r="PDZ12" s="319"/>
      <c r="PEA12" s="319"/>
      <c r="PEB12" s="319"/>
      <c r="PEC12" s="319"/>
      <c r="PED12" s="319"/>
      <c r="PEE12" s="319"/>
      <c r="PEF12" s="319"/>
      <c r="PEG12" s="319"/>
      <c r="PEH12" s="319"/>
      <c r="PEI12" s="319"/>
      <c r="PEJ12" s="319"/>
      <c r="PEK12" s="319"/>
      <c r="PEL12" s="319"/>
      <c r="PEM12" s="319"/>
      <c r="PEN12" s="319"/>
      <c r="PEO12" s="319"/>
      <c r="PEP12" s="319"/>
      <c r="PEQ12" s="319"/>
      <c r="PER12" s="319"/>
      <c r="PES12" s="319"/>
      <c r="PET12" s="319"/>
      <c r="PEU12" s="319"/>
      <c r="PEV12" s="319"/>
      <c r="PEW12" s="319"/>
      <c r="PEX12" s="319"/>
      <c r="PEY12" s="319"/>
      <c r="PEZ12" s="319"/>
      <c r="PFA12" s="319"/>
      <c r="PFB12" s="319"/>
      <c r="PFC12" s="319"/>
      <c r="PFD12" s="319"/>
      <c r="PFE12" s="319"/>
      <c r="PFF12" s="319"/>
      <c r="PFG12" s="319"/>
      <c r="PFH12" s="319"/>
      <c r="PFI12" s="319"/>
      <c r="PFJ12" s="319"/>
      <c r="PFK12" s="319"/>
      <c r="PFL12" s="319"/>
      <c r="PFM12" s="319"/>
      <c r="PFN12" s="319"/>
      <c r="PFO12" s="319"/>
      <c r="PFP12" s="319"/>
      <c r="PFQ12" s="319"/>
      <c r="PFR12" s="319"/>
      <c r="PFS12" s="319"/>
      <c r="PFT12" s="319"/>
      <c r="PFU12" s="319"/>
      <c r="PFV12" s="319"/>
      <c r="PFW12" s="319"/>
      <c r="PFX12" s="319"/>
      <c r="PFY12" s="319"/>
      <c r="PFZ12" s="319"/>
      <c r="PGA12" s="319"/>
      <c r="PGB12" s="319"/>
      <c r="PGC12" s="319"/>
      <c r="PGD12" s="319"/>
      <c r="PGE12" s="319"/>
      <c r="PGF12" s="319"/>
      <c r="PGG12" s="319"/>
      <c r="PGH12" s="319"/>
      <c r="PGI12" s="319"/>
      <c r="PGJ12" s="319"/>
      <c r="PGK12" s="319"/>
      <c r="PGL12" s="319"/>
      <c r="PGM12" s="319"/>
      <c r="PGN12" s="319"/>
      <c r="PGO12" s="319"/>
      <c r="PGP12" s="319"/>
      <c r="PGQ12" s="319"/>
      <c r="PGR12" s="319"/>
      <c r="PGS12" s="319"/>
      <c r="PGT12" s="319"/>
      <c r="PGU12" s="319"/>
      <c r="PGV12" s="319"/>
      <c r="PGW12" s="319"/>
      <c r="PGX12" s="319"/>
      <c r="PGY12" s="319"/>
      <c r="PGZ12" s="319"/>
      <c r="PHA12" s="319"/>
      <c r="PHB12" s="319"/>
      <c r="PHC12" s="319"/>
      <c r="PHD12" s="319"/>
      <c r="PHE12" s="319"/>
      <c r="PHF12" s="319"/>
      <c r="PHG12" s="319"/>
      <c r="PHH12" s="319"/>
      <c r="PHI12" s="319"/>
      <c r="PHJ12" s="319"/>
      <c r="PHK12" s="319"/>
      <c r="PHL12" s="319"/>
      <c r="PHM12" s="319"/>
      <c r="PHN12" s="319"/>
      <c r="PHO12" s="319"/>
      <c r="PHP12" s="319"/>
      <c r="PHQ12" s="319"/>
      <c r="PHR12" s="319"/>
      <c r="PHS12" s="319"/>
      <c r="PHT12" s="319"/>
      <c r="PHU12" s="319"/>
      <c r="PHV12" s="319"/>
      <c r="PHW12" s="319"/>
      <c r="PHX12" s="319"/>
      <c r="PHY12" s="319"/>
      <c r="PHZ12" s="319"/>
      <c r="PIA12" s="319"/>
      <c r="PIB12" s="319"/>
      <c r="PIC12" s="319"/>
      <c r="PID12" s="319"/>
      <c r="PIE12" s="319"/>
      <c r="PIF12" s="319"/>
      <c r="PIG12" s="319"/>
      <c r="PIH12" s="319"/>
      <c r="PII12" s="319"/>
      <c r="PIJ12" s="319"/>
      <c r="PIK12" s="319"/>
      <c r="PIL12" s="319"/>
      <c r="PIM12" s="319"/>
      <c r="PIN12" s="319"/>
      <c r="PIO12" s="319"/>
      <c r="PIP12" s="319"/>
      <c r="PIQ12" s="319"/>
      <c r="PIR12" s="319"/>
      <c r="PIS12" s="319"/>
      <c r="PIT12" s="319"/>
      <c r="PIU12" s="319"/>
      <c r="PIV12" s="319"/>
      <c r="PIW12" s="319"/>
      <c r="PIX12" s="319"/>
      <c r="PIY12" s="319"/>
      <c r="PIZ12" s="319"/>
      <c r="PJA12" s="319"/>
      <c r="PJB12" s="319"/>
      <c r="PJC12" s="319"/>
      <c r="PJD12" s="319"/>
      <c r="PJE12" s="319"/>
      <c r="PJF12" s="319"/>
      <c r="PJG12" s="319"/>
      <c r="PJH12" s="319"/>
      <c r="PJI12" s="319"/>
      <c r="PJJ12" s="319"/>
      <c r="PJK12" s="319"/>
      <c r="PJL12" s="319"/>
      <c r="PJM12" s="319"/>
      <c r="PJN12" s="319"/>
      <c r="PJO12" s="319"/>
      <c r="PJP12" s="319"/>
      <c r="PJQ12" s="319"/>
      <c r="PJR12" s="319"/>
      <c r="PJS12" s="319"/>
      <c r="PJT12" s="319"/>
      <c r="PJU12" s="319"/>
      <c r="PJV12" s="319"/>
      <c r="PJW12" s="319"/>
      <c r="PJX12" s="319"/>
      <c r="PJY12" s="319"/>
      <c r="PJZ12" s="319"/>
      <c r="PKA12" s="319"/>
      <c r="PKB12" s="319"/>
      <c r="PKC12" s="319"/>
      <c r="PKD12" s="319"/>
      <c r="PKE12" s="319"/>
      <c r="PKF12" s="319"/>
      <c r="PKG12" s="319"/>
      <c r="PKH12" s="319"/>
      <c r="PKI12" s="319"/>
      <c r="PKJ12" s="319"/>
      <c r="PKK12" s="319"/>
      <c r="PKL12" s="319"/>
      <c r="PKM12" s="319"/>
      <c r="PKN12" s="319"/>
      <c r="PKO12" s="319"/>
      <c r="PKP12" s="319"/>
      <c r="PKQ12" s="319"/>
      <c r="PKR12" s="319"/>
      <c r="PKS12" s="319"/>
      <c r="PKT12" s="319"/>
      <c r="PKU12" s="319"/>
      <c r="PKV12" s="319"/>
      <c r="PKW12" s="319"/>
      <c r="PKX12" s="319"/>
      <c r="PKY12" s="319"/>
      <c r="PKZ12" s="319"/>
      <c r="PLA12" s="319"/>
      <c r="PLB12" s="319"/>
      <c r="PLC12" s="319"/>
      <c r="PLD12" s="319"/>
      <c r="PLE12" s="319"/>
      <c r="PLF12" s="319"/>
      <c r="PLG12" s="319"/>
      <c r="PLH12" s="319"/>
      <c r="PLI12" s="319"/>
      <c r="PLJ12" s="319"/>
      <c r="PLK12" s="319"/>
      <c r="PLL12" s="319"/>
      <c r="PLM12" s="319"/>
      <c r="PLN12" s="319"/>
      <c r="PLO12" s="319"/>
      <c r="PLP12" s="319"/>
      <c r="PLQ12" s="319"/>
      <c r="PLR12" s="319"/>
      <c r="PLS12" s="319"/>
      <c r="PLT12" s="319"/>
      <c r="PLU12" s="319"/>
      <c r="PLV12" s="319"/>
      <c r="PLW12" s="319"/>
      <c r="PLX12" s="319"/>
      <c r="PLY12" s="319"/>
      <c r="PLZ12" s="319"/>
      <c r="PMA12" s="319"/>
      <c r="PMB12" s="319"/>
      <c r="PMC12" s="319"/>
      <c r="PMD12" s="319"/>
      <c r="PME12" s="319"/>
      <c r="PMF12" s="319"/>
      <c r="PMG12" s="319"/>
      <c r="PMH12" s="319"/>
      <c r="PMI12" s="319"/>
      <c r="PMJ12" s="319"/>
      <c r="PMK12" s="319"/>
      <c r="PML12" s="319"/>
      <c r="PMM12" s="319"/>
      <c r="PMN12" s="319"/>
      <c r="PMO12" s="319"/>
      <c r="PMP12" s="319"/>
      <c r="PMQ12" s="319"/>
      <c r="PMR12" s="319"/>
      <c r="PMS12" s="319"/>
      <c r="PMT12" s="319"/>
      <c r="PMU12" s="319"/>
      <c r="PMV12" s="319"/>
      <c r="PMW12" s="319"/>
      <c r="PMX12" s="319"/>
      <c r="PMY12" s="319"/>
      <c r="PMZ12" s="319"/>
      <c r="PNA12" s="319"/>
      <c r="PNB12" s="319"/>
      <c r="PNC12" s="319"/>
      <c r="PND12" s="319"/>
      <c r="PNE12" s="319"/>
      <c r="PNF12" s="319"/>
      <c r="PNG12" s="319"/>
      <c r="PNH12" s="319"/>
      <c r="PNI12" s="319"/>
      <c r="PNJ12" s="319"/>
      <c r="PNK12" s="319"/>
      <c r="PNL12" s="319"/>
      <c r="PNM12" s="319"/>
      <c r="PNN12" s="319"/>
      <c r="PNO12" s="319"/>
      <c r="PNP12" s="319"/>
      <c r="PNQ12" s="319"/>
      <c r="PNR12" s="319"/>
      <c r="PNS12" s="319"/>
      <c r="PNT12" s="319"/>
      <c r="PNU12" s="319"/>
      <c r="PNV12" s="319"/>
      <c r="PNW12" s="319"/>
      <c r="PNX12" s="319"/>
      <c r="PNY12" s="319"/>
      <c r="PNZ12" s="319"/>
      <c r="POA12" s="319"/>
      <c r="POB12" s="319"/>
      <c r="POC12" s="319"/>
      <c r="POD12" s="319"/>
      <c r="POE12" s="319"/>
      <c r="POF12" s="319"/>
      <c r="POG12" s="319"/>
      <c r="POH12" s="319"/>
      <c r="POI12" s="319"/>
      <c r="POJ12" s="319"/>
      <c r="POK12" s="319"/>
      <c r="POL12" s="319"/>
      <c r="POM12" s="319"/>
      <c r="PON12" s="319"/>
      <c r="POO12" s="319"/>
      <c r="POP12" s="319"/>
      <c r="POQ12" s="319"/>
      <c r="POR12" s="319"/>
      <c r="POS12" s="319"/>
      <c r="POT12" s="319"/>
      <c r="POU12" s="319"/>
      <c r="POV12" s="319"/>
      <c r="POW12" s="319"/>
      <c r="POX12" s="319"/>
      <c r="POY12" s="319"/>
      <c r="POZ12" s="319"/>
      <c r="PPA12" s="319"/>
      <c r="PPB12" s="319"/>
      <c r="PPC12" s="319"/>
      <c r="PPD12" s="319"/>
      <c r="PPE12" s="319"/>
      <c r="PPF12" s="319"/>
      <c r="PPG12" s="319"/>
      <c r="PPH12" s="319"/>
      <c r="PPI12" s="319"/>
      <c r="PPJ12" s="319"/>
      <c r="PPK12" s="319"/>
      <c r="PPL12" s="319"/>
      <c r="PPM12" s="319"/>
      <c r="PPN12" s="319"/>
      <c r="PPO12" s="319"/>
      <c r="PPP12" s="319"/>
      <c r="PPQ12" s="319"/>
      <c r="PPR12" s="319"/>
      <c r="PPS12" s="319"/>
      <c r="PPT12" s="319"/>
      <c r="PPU12" s="319"/>
      <c r="PPV12" s="319"/>
      <c r="PPW12" s="319"/>
      <c r="PPX12" s="319"/>
      <c r="PPY12" s="319"/>
      <c r="PPZ12" s="319"/>
      <c r="PQA12" s="319"/>
      <c r="PQB12" s="319"/>
      <c r="PQC12" s="319"/>
      <c r="PQD12" s="319"/>
      <c r="PQE12" s="319"/>
      <c r="PQF12" s="319"/>
      <c r="PQG12" s="319"/>
      <c r="PQH12" s="319"/>
      <c r="PQI12" s="319"/>
      <c r="PQJ12" s="319"/>
      <c r="PQK12" s="319"/>
      <c r="PQL12" s="319"/>
      <c r="PQM12" s="319"/>
      <c r="PQN12" s="319"/>
      <c r="PQO12" s="319"/>
      <c r="PQP12" s="319"/>
      <c r="PQQ12" s="319"/>
      <c r="PQR12" s="319"/>
      <c r="PQS12" s="319"/>
      <c r="PQT12" s="319"/>
      <c r="PQU12" s="319"/>
      <c r="PQV12" s="319"/>
      <c r="PQW12" s="319"/>
      <c r="PQX12" s="319"/>
      <c r="PQY12" s="319"/>
      <c r="PQZ12" s="319"/>
      <c r="PRA12" s="319"/>
      <c r="PRB12" s="319"/>
      <c r="PRC12" s="319"/>
      <c r="PRD12" s="319"/>
      <c r="PRE12" s="319"/>
      <c r="PRF12" s="319"/>
      <c r="PRG12" s="319"/>
      <c r="PRH12" s="319"/>
      <c r="PRI12" s="319"/>
      <c r="PRJ12" s="319"/>
      <c r="PRK12" s="319"/>
      <c r="PRL12" s="319"/>
      <c r="PRM12" s="319"/>
      <c r="PRN12" s="319"/>
      <c r="PRO12" s="319"/>
      <c r="PRP12" s="319"/>
      <c r="PRQ12" s="319"/>
      <c r="PRR12" s="319"/>
      <c r="PRS12" s="319"/>
      <c r="PRT12" s="319"/>
      <c r="PRU12" s="319"/>
      <c r="PRV12" s="319"/>
      <c r="PRW12" s="319"/>
      <c r="PRX12" s="319"/>
      <c r="PRY12" s="319"/>
      <c r="PRZ12" s="319"/>
      <c r="PSA12" s="319"/>
      <c r="PSB12" s="319"/>
      <c r="PSC12" s="319"/>
      <c r="PSD12" s="319"/>
      <c r="PSE12" s="319"/>
      <c r="PSF12" s="319"/>
      <c r="PSG12" s="319"/>
      <c r="PSH12" s="319"/>
      <c r="PSI12" s="319"/>
      <c r="PSJ12" s="319"/>
      <c r="PSK12" s="319"/>
      <c r="PSL12" s="319"/>
      <c r="PSM12" s="319"/>
      <c r="PSN12" s="319"/>
      <c r="PSO12" s="319"/>
      <c r="PSP12" s="319"/>
      <c r="PSQ12" s="319"/>
      <c r="PSR12" s="319"/>
      <c r="PSS12" s="319"/>
      <c r="PST12" s="319"/>
      <c r="PSU12" s="319"/>
      <c r="PSV12" s="319"/>
      <c r="PSW12" s="319"/>
      <c r="PSX12" s="319"/>
      <c r="PSY12" s="319"/>
      <c r="PSZ12" s="319"/>
      <c r="PTA12" s="319"/>
      <c r="PTB12" s="319"/>
      <c r="PTC12" s="319"/>
      <c r="PTD12" s="319"/>
      <c r="PTE12" s="319"/>
      <c r="PTF12" s="319"/>
      <c r="PTG12" s="319"/>
      <c r="PTH12" s="319"/>
      <c r="PTI12" s="319"/>
      <c r="PTJ12" s="319"/>
      <c r="PTK12" s="319"/>
      <c r="PTL12" s="319"/>
      <c r="PTM12" s="319"/>
      <c r="PTN12" s="319"/>
      <c r="PTO12" s="319"/>
      <c r="PTP12" s="319"/>
      <c r="PTQ12" s="319"/>
      <c r="PTR12" s="319"/>
      <c r="PTS12" s="319"/>
      <c r="PTT12" s="319"/>
      <c r="PTU12" s="319"/>
      <c r="PTV12" s="319"/>
      <c r="PTW12" s="319"/>
      <c r="PTX12" s="319"/>
      <c r="PTY12" s="319"/>
      <c r="PTZ12" s="319"/>
      <c r="PUA12" s="319"/>
      <c r="PUB12" s="319"/>
      <c r="PUC12" s="319"/>
      <c r="PUD12" s="319"/>
      <c r="PUE12" s="319"/>
      <c r="PUF12" s="319"/>
      <c r="PUG12" s="319"/>
      <c r="PUH12" s="319"/>
      <c r="PUI12" s="319"/>
      <c r="PUJ12" s="319"/>
      <c r="PUK12" s="319"/>
      <c r="PUL12" s="319"/>
      <c r="PUM12" s="319"/>
      <c r="PUN12" s="319"/>
      <c r="PUO12" s="319"/>
      <c r="PUP12" s="319"/>
      <c r="PUQ12" s="319"/>
      <c r="PUR12" s="319"/>
      <c r="PUS12" s="319"/>
      <c r="PUT12" s="319"/>
      <c r="PUU12" s="319"/>
      <c r="PUV12" s="319"/>
      <c r="PUW12" s="319"/>
      <c r="PUX12" s="319"/>
      <c r="PUY12" s="319"/>
      <c r="PUZ12" s="319"/>
      <c r="PVA12" s="319"/>
      <c r="PVB12" s="319"/>
      <c r="PVC12" s="319"/>
      <c r="PVD12" s="319"/>
      <c r="PVE12" s="319"/>
      <c r="PVF12" s="319"/>
      <c r="PVG12" s="319"/>
      <c r="PVH12" s="319"/>
      <c r="PVI12" s="319"/>
      <c r="PVJ12" s="319"/>
      <c r="PVK12" s="319"/>
      <c r="PVL12" s="319"/>
      <c r="PVM12" s="319"/>
      <c r="PVN12" s="319"/>
      <c r="PVO12" s="319"/>
      <c r="PVP12" s="319"/>
      <c r="PVQ12" s="319"/>
      <c r="PVR12" s="319"/>
      <c r="PVS12" s="319"/>
      <c r="PVT12" s="319"/>
      <c r="PVU12" s="319"/>
      <c r="PVV12" s="319"/>
      <c r="PVW12" s="319"/>
      <c r="PVX12" s="319"/>
      <c r="PVY12" s="319"/>
      <c r="PVZ12" s="319"/>
      <c r="PWA12" s="319"/>
      <c r="PWB12" s="319"/>
      <c r="PWC12" s="319"/>
      <c r="PWD12" s="319"/>
      <c r="PWE12" s="319"/>
      <c r="PWF12" s="319"/>
      <c r="PWG12" s="319"/>
      <c r="PWH12" s="319"/>
      <c r="PWI12" s="319"/>
      <c r="PWJ12" s="319"/>
      <c r="PWK12" s="319"/>
      <c r="PWL12" s="319"/>
      <c r="PWM12" s="319"/>
      <c r="PWN12" s="319"/>
      <c r="PWO12" s="319"/>
      <c r="PWP12" s="319"/>
      <c r="PWQ12" s="319"/>
      <c r="PWR12" s="319"/>
      <c r="PWS12" s="319"/>
      <c r="PWT12" s="319"/>
      <c r="PWU12" s="319"/>
      <c r="PWV12" s="319"/>
      <c r="PWW12" s="319"/>
      <c r="PWX12" s="319"/>
      <c r="PWY12" s="319"/>
      <c r="PWZ12" s="319"/>
      <c r="PXA12" s="319"/>
      <c r="PXB12" s="319"/>
      <c r="PXC12" s="319"/>
      <c r="PXD12" s="319"/>
      <c r="PXE12" s="319"/>
      <c r="PXF12" s="319"/>
      <c r="PXG12" s="319"/>
      <c r="PXH12" s="319"/>
      <c r="PXI12" s="319"/>
      <c r="PXJ12" s="319"/>
      <c r="PXK12" s="319"/>
      <c r="PXL12" s="319"/>
      <c r="PXM12" s="319"/>
      <c r="PXN12" s="319"/>
      <c r="PXO12" s="319"/>
      <c r="PXP12" s="319"/>
      <c r="PXQ12" s="319"/>
      <c r="PXR12" s="319"/>
      <c r="PXS12" s="319"/>
      <c r="PXT12" s="319"/>
      <c r="PXU12" s="319"/>
      <c r="PXV12" s="319"/>
      <c r="PXW12" s="319"/>
      <c r="PXX12" s="319"/>
      <c r="PXY12" s="319"/>
      <c r="PXZ12" s="319"/>
      <c r="PYA12" s="319"/>
      <c r="PYB12" s="319"/>
      <c r="PYC12" s="319"/>
      <c r="PYD12" s="319"/>
      <c r="PYE12" s="319"/>
      <c r="PYF12" s="319"/>
      <c r="PYG12" s="319"/>
      <c r="PYH12" s="319"/>
      <c r="PYI12" s="319"/>
      <c r="PYJ12" s="319"/>
      <c r="PYK12" s="319"/>
      <c r="PYL12" s="319"/>
      <c r="PYM12" s="319"/>
      <c r="PYN12" s="319"/>
      <c r="PYO12" s="319"/>
      <c r="PYP12" s="319"/>
      <c r="PYQ12" s="319"/>
      <c r="PYR12" s="319"/>
      <c r="PYS12" s="319"/>
      <c r="PYT12" s="319"/>
      <c r="PYU12" s="319"/>
      <c r="PYV12" s="319"/>
      <c r="PYW12" s="319"/>
      <c r="PYX12" s="319"/>
      <c r="PYY12" s="319"/>
      <c r="PYZ12" s="319"/>
      <c r="PZA12" s="319"/>
      <c r="PZB12" s="319"/>
      <c r="PZC12" s="319"/>
      <c r="PZD12" s="319"/>
      <c r="PZE12" s="319"/>
      <c r="PZF12" s="319"/>
      <c r="PZG12" s="319"/>
      <c r="PZH12" s="319"/>
      <c r="PZI12" s="319"/>
      <c r="PZJ12" s="319"/>
      <c r="PZK12" s="319"/>
      <c r="PZL12" s="319"/>
      <c r="PZM12" s="319"/>
      <c r="PZN12" s="319"/>
      <c r="PZO12" s="319"/>
      <c r="PZP12" s="319"/>
      <c r="PZQ12" s="319"/>
      <c r="PZR12" s="319"/>
      <c r="PZS12" s="319"/>
      <c r="PZT12" s="319"/>
      <c r="PZU12" s="319"/>
      <c r="PZV12" s="319"/>
      <c r="PZW12" s="319"/>
      <c r="PZX12" s="319"/>
      <c r="PZY12" s="319"/>
      <c r="PZZ12" s="319"/>
      <c r="QAA12" s="319"/>
      <c r="QAB12" s="319"/>
      <c r="QAC12" s="319"/>
      <c r="QAD12" s="319"/>
      <c r="QAE12" s="319"/>
      <c r="QAF12" s="319"/>
      <c r="QAG12" s="319"/>
      <c r="QAH12" s="319"/>
      <c r="QAI12" s="319"/>
      <c r="QAJ12" s="319"/>
      <c r="QAK12" s="319"/>
      <c r="QAL12" s="319"/>
      <c r="QAM12" s="319"/>
      <c r="QAN12" s="319"/>
      <c r="QAO12" s="319"/>
      <c r="QAP12" s="319"/>
      <c r="QAQ12" s="319"/>
      <c r="QAR12" s="319"/>
      <c r="QAS12" s="319"/>
      <c r="QAT12" s="319"/>
      <c r="QAU12" s="319"/>
      <c r="QAV12" s="319"/>
      <c r="QAW12" s="319"/>
      <c r="QAX12" s="319"/>
      <c r="QAY12" s="319"/>
      <c r="QAZ12" s="319"/>
      <c r="QBA12" s="319"/>
      <c r="QBB12" s="319"/>
      <c r="QBC12" s="319"/>
      <c r="QBD12" s="319"/>
      <c r="QBE12" s="319"/>
      <c r="QBF12" s="319"/>
      <c r="QBG12" s="319"/>
      <c r="QBH12" s="319"/>
      <c r="QBI12" s="319"/>
      <c r="QBJ12" s="319"/>
      <c r="QBK12" s="319"/>
      <c r="QBL12" s="319"/>
      <c r="QBM12" s="319"/>
      <c r="QBN12" s="319"/>
      <c r="QBO12" s="319"/>
      <c r="QBP12" s="319"/>
      <c r="QBQ12" s="319"/>
      <c r="QBR12" s="319"/>
      <c r="QBS12" s="319"/>
      <c r="QBT12" s="319"/>
      <c r="QBU12" s="319"/>
      <c r="QBV12" s="319"/>
      <c r="QBW12" s="319"/>
      <c r="QBX12" s="319"/>
      <c r="QBY12" s="319"/>
      <c r="QBZ12" s="319"/>
      <c r="QCA12" s="319"/>
      <c r="QCB12" s="319"/>
      <c r="QCC12" s="319"/>
      <c r="QCD12" s="319"/>
      <c r="QCE12" s="319"/>
      <c r="QCF12" s="319"/>
      <c r="QCG12" s="319"/>
      <c r="QCH12" s="319"/>
      <c r="QCI12" s="319"/>
      <c r="QCJ12" s="319"/>
      <c r="QCK12" s="319"/>
      <c r="QCL12" s="319"/>
      <c r="QCM12" s="319"/>
      <c r="QCN12" s="319"/>
      <c r="QCO12" s="319"/>
      <c r="QCP12" s="319"/>
      <c r="QCQ12" s="319"/>
      <c r="QCR12" s="319"/>
      <c r="QCS12" s="319"/>
      <c r="QCT12" s="319"/>
      <c r="QCU12" s="319"/>
      <c r="QCV12" s="319"/>
      <c r="QCW12" s="319"/>
      <c r="QCX12" s="319"/>
      <c r="QCY12" s="319"/>
      <c r="QCZ12" s="319"/>
      <c r="QDA12" s="319"/>
      <c r="QDB12" s="319"/>
      <c r="QDC12" s="319"/>
      <c r="QDD12" s="319"/>
      <c r="QDE12" s="319"/>
      <c r="QDF12" s="319"/>
      <c r="QDG12" s="319"/>
      <c r="QDH12" s="319"/>
      <c r="QDI12" s="319"/>
      <c r="QDJ12" s="319"/>
      <c r="QDK12" s="319"/>
      <c r="QDL12" s="319"/>
      <c r="QDM12" s="319"/>
      <c r="QDN12" s="319"/>
      <c r="QDO12" s="319"/>
      <c r="QDP12" s="319"/>
      <c r="QDQ12" s="319"/>
      <c r="QDR12" s="319"/>
      <c r="QDS12" s="319"/>
      <c r="QDT12" s="319"/>
      <c r="QDU12" s="319"/>
      <c r="QDV12" s="319"/>
      <c r="QDW12" s="319"/>
      <c r="QDX12" s="319"/>
      <c r="QDY12" s="319"/>
      <c r="QDZ12" s="319"/>
      <c r="QEA12" s="319"/>
      <c r="QEB12" s="319"/>
      <c r="QEC12" s="319"/>
      <c r="QED12" s="319"/>
      <c r="QEE12" s="319"/>
      <c r="QEF12" s="319"/>
      <c r="QEG12" s="319"/>
      <c r="QEH12" s="319"/>
      <c r="QEI12" s="319"/>
      <c r="QEJ12" s="319"/>
      <c r="QEK12" s="319"/>
      <c r="QEL12" s="319"/>
      <c r="QEM12" s="319"/>
      <c r="QEN12" s="319"/>
      <c r="QEO12" s="319"/>
      <c r="QEP12" s="319"/>
      <c r="QEQ12" s="319"/>
      <c r="QER12" s="319"/>
      <c r="QES12" s="319"/>
      <c r="QET12" s="319"/>
      <c r="QEU12" s="319"/>
      <c r="QEV12" s="319"/>
      <c r="QEW12" s="319"/>
      <c r="QEX12" s="319"/>
      <c r="QEY12" s="319"/>
      <c r="QEZ12" s="319"/>
      <c r="QFA12" s="319"/>
      <c r="QFB12" s="319"/>
      <c r="QFC12" s="319"/>
      <c r="QFD12" s="319"/>
      <c r="QFE12" s="319"/>
      <c r="QFF12" s="319"/>
      <c r="QFG12" s="319"/>
      <c r="QFH12" s="319"/>
      <c r="QFI12" s="319"/>
      <c r="QFJ12" s="319"/>
      <c r="QFK12" s="319"/>
      <c r="QFL12" s="319"/>
      <c r="QFM12" s="319"/>
      <c r="QFN12" s="319"/>
      <c r="QFO12" s="319"/>
      <c r="QFP12" s="319"/>
      <c r="QFQ12" s="319"/>
      <c r="QFR12" s="319"/>
      <c r="QFS12" s="319"/>
      <c r="QFT12" s="319"/>
      <c r="QFU12" s="319"/>
      <c r="QFV12" s="319"/>
      <c r="QFW12" s="319"/>
      <c r="QFX12" s="319"/>
      <c r="QFY12" s="319"/>
      <c r="QFZ12" s="319"/>
      <c r="QGA12" s="319"/>
      <c r="QGB12" s="319"/>
      <c r="QGC12" s="319"/>
      <c r="QGD12" s="319"/>
      <c r="QGE12" s="319"/>
      <c r="QGF12" s="319"/>
      <c r="QGG12" s="319"/>
      <c r="QGH12" s="319"/>
      <c r="QGI12" s="319"/>
      <c r="QGJ12" s="319"/>
      <c r="QGK12" s="319"/>
      <c r="QGL12" s="319"/>
      <c r="QGM12" s="319"/>
      <c r="QGN12" s="319"/>
      <c r="QGO12" s="319"/>
      <c r="QGP12" s="319"/>
      <c r="QGQ12" s="319"/>
      <c r="QGR12" s="319"/>
      <c r="QGS12" s="319"/>
      <c r="QGT12" s="319"/>
      <c r="QGU12" s="319"/>
      <c r="QGV12" s="319"/>
      <c r="QGW12" s="319"/>
      <c r="QGX12" s="319"/>
      <c r="QGY12" s="319"/>
      <c r="QGZ12" s="319"/>
      <c r="QHA12" s="319"/>
      <c r="QHB12" s="319"/>
      <c r="QHC12" s="319"/>
      <c r="QHD12" s="319"/>
      <c r="QHE12" s="319"/>
      <c r="QHF12" s="319"/>
      <c r="QHG12" s="319"/>
      <c r="QHH12" s="319"/>
      <c r="QHI12" s="319"/>
      <c r="QHJ12" s="319"/>
      <c r="QHK12" s="319"/>
      <c r="QHL12" s="319"/>
      <c r="QHM12" s="319"/>
      <c r="QHN12" s="319"/>
      <c r="QHO12" s="319"/>
      <c r="QHP12" s="319"/>
      <c r="QHQ12" s="319"/>
      <c r="QHR12" s="319"/>
      <c r="QHS12" s="319"/>
      <c r="QHT12" s="319"/>
      <c r="QHU12" s="319"/>
      <c r="QHV12" s="319"/>
      <c r="QHW12" s="319"/>
      <c r="QHX12" s="319"/>
      <c r="QHY12" s="319"/>
      <c r="QHZ12" s="319"/>
      <c r="QIA12" s="319"/>
      <c r="QIB12" s="319"/>
      <c r="QIC12" s="319"/>
      <c r="QID12" s="319"/>
      <c r="QIE12" s="319"/>
      <c r="QIF12" s="319"/>
      <c r="QIG12" s="319"/>
      <c r="QIH12" s="319"/>
      <c r="QII12" s="319"/>
      <c r="QIJ12" s="319"/>
      <c r="QIK12" s="319"/>
      <c r="QIL12" s="319"/>
      <c r="QIM12" s="319"/>
      <c r="QIN12" s="319"/>
      <c r="QIO12" s="319"/>
      <c r="QIP12" s="319"/>
      <c r="QIQ12" s="319"/>
      <c r="QIR12" s="319"/>
      <c r="QIS12" s="319"/>
      <c r="QIT12" s="319"/>
      <c r="QIU12" s="319"/>
      <c r="QIV12" s="319"/>
      <c r="QIW12" s="319"/>
      <c r="QIX12" s="319"/>
      <c r="QIY12" s="319"/>
      <c r="QIZ12" s="319"/>
      <c r="QJA12" s="319"/>
      <c r="QJB12" s="319"/>
      <c r="QJC12" s="319"/>
      <c r="QJD12" s="319"/>
      <c r="QJE12" s="319"/>
      <c r="QJF12" s="319"/>
      <c r="QJG12" s="319"/>
      <c r="QJH12" s="319"/>
      <c r="QJI12" s="319"/>
      <c r="QJJ12" s="319"/>
      <c r="QJK12" s="319"/>
      <c r="QJL12" s="319"/>
      <c r="QJM12" s="319"/>
      <c r="QJN12" s="319"/>
      <c r="QJO12" s="319"/>
      <c r="QJP12" s="319"/>
      <c r="QJQ12" s="319"/>
      <c r="QJR12" s="319"/>
      <c r="QJS12" s="319"/>
      <c r="QJT12" s="319"/>
      <c r="QJU12" s="319"/>
      <c r="QJV12" s="319"/>
      <c r="QJW12" s="319"/>
      <c r="QJX12" s="319"/>
      <c r="QJY12" s="319"/>
      <c r="QJZ12" s="319"/>
      <c r="QKA12" s="319"/>
      <c r="QKB12" s="319"/>
      <c r="QKC12" s="319"/>
      <c r="QKD12" s="319"/>
      <c r="QKE12" s="319"/>
      <c r="QKF12" s="319"/>
      <c r="QKG12" s="319"/>
      <c r="QKH12" s="319"/>
      <c r="QKI12" s="319"/>
      <c r="QKJ12" s="319"/>
      <c r="QKK12" s="319"/>
      <c r="QKL12" s="319"/>
      <c r="QKM12" s="319"/>
      <c r="QKN12" s="319"/>
      <c r="QKO12" s="319"/>
      <c r="QKP12" s="319"/>
      <c r="QKQ12" s="319"/>
      <c r="QKR12" s="319"/>
      <c r="QKS12" s="319"/>
      <c r="QKT12" s="319"/>
      <c r="QKU12" s="319"/>
      <c r="QKV12" s="319"/>
      <c r="QKW12" s="319"/>
      <c r="QKX12" s="319"/>
      <c r="QKY12" s="319"/>
      <c r="QKZ12" s="319"/>
      <c r="QLA12" s="319"/>
      <c r="QLB12" s="319"/>
      <c r="QLC12" s="319"/>
      <c r="QLD12" s="319"/>
      <c r="QLE12" s="319"/>
      <c r="QLF12" s="319"/>
      <c r="QLG12" s="319"/>
      <c r="QLH12" s="319"/>
      <c r="QLI12" s="319"/>
      <c r="QLJ12" s="319"/>
      <c r="QLK12" s="319"/>
      <c r="QLL12" s="319"/>
      <c r="QLM12" s="319"/>
      <c r="QLN12" s="319"/>
      <c r="QLO12" s="319"/>
      <c r="QLP12" s="319"/>
      <c r="QLQ12" s="319"/>
      <c r="QLR12" s="319"/>
      <c r="QLS12" s="319"/>
      <c r="QLT12" s="319"/>
      <c r="QLU12" s="319"/>
      <c r="QLV12" s="319"/>
      <c r="QLW12" s="319"/>
      <c r="QLX12" s="319"/>
      <c r="QLY12" s="319"/>
      <c r="QLZ12" s="319"/>
      <c r="QMA12" s="319"/>
      <c r="QMB12" s="319"/>
      <c r="QMC12" s="319"/>
      <c r="QMD12" s="319"/>
      <c r="QME12" s="319"/>
      <c r="QMF12" s="319"/>
      <c r="QMG12" s="319"/>
      <c r="QMH12" s="319"/>
      <c r="QMI12" s="319"/>
      <c r="QMJ12" s="319"/>
      <c r="QMK12" s="319"/>
      <c r="QML12" s="319"/>
      <c r="QMM12" s="319"/>
      <c r="QMN12" s="319"/>
      <c r="QMO12" s="319"/>
      <c r="QMP12" s="319"/>
      <c r="QMQ12" s="319"/>
      <c r="QMR12" s="319"/>
      <c r="QMS12" s="319"/>
      <c r="QMT12" s="319"/>
      <c r="QMU12" s="319"/>
      <c r="QMV12" s="319"/>
      <c r="QMW12" s="319"/>
      <c r="QMX12" s="319"/>
      <c r="QMY12" s="319"/>
      <c r="QMZ12" s="319"/>
      <c r="QNA12" s="319"/>
      <c r="QNB12" s="319"/>
      <c r="QNC12" s="319"/>
      <c r="QND12" s="319"/>
      <c r="QNE12" s="319"/>
      <c r="QNF12" s="319"/>
      <c r="QNG12" s="319"/>
      <c r="QNH12" s="319"/>
      <c r="QNI12" s="319"/>
      <c r="QNJ12" s="319"/>
      <c r="QNK12" s="319"/>
      <c r="QNL12" s="319"/>
      <c r="QNM12" s="319"/>
      <c r="QNN12" s="319"/>
      <c r="QNO12" s="319"/>
      <c r="QNP12" s="319"/>
      <c r="QNQ12" s="319"/>
      <c r="QNR12" s="319"/>
      <c r="QNS12" s="319"/>
      <c r="QNT12" s="319"/>
      <c r="QNU12" s="319"/>
      <c r="QNV12" s="319"/>
      <c r="QNW12" s="319"/>
      <c r="QNX12" s="319"/>
      <c r="QNY12" s="319"/>
      <c r="QNZ12" s="319"/>
      <c r="QOA12" s="319"/>
      <c r="QOB12" s="319"/>
      <c r="QOC12" s="319"/>
      <c r="QOD12" s="319"/>
      <c r="QOE12" s="319"/>
      <c r="QOF12" s="319"/>
      <c r="QOG12" s="319"/>
      <c r="QOH12" s="319"/>
      <c r="QOI12" s="319"/>
      <c r="QOJ12" s="319"/>
      <c r="QOK12" s="319"/>
      <c r="QOL12" s="319"/>
      <c r="QOM12" s="319"/>
      <c r="QON12" s="319"/>
      <c r="QOO12" s="319"/>
      <c r="QOP12" s="319"/>
      <c r="QOQ12" s="319"/>
      <c r="QOR12" s="319"/>
      <c r="QOS12" s="319"/>
      <c r="QOT12" s="319"/>
      <c r="QOU12" s="319"/>
      <c r="QOV12" s="319"/>
      <c r="QOW12" s="319"/>
      <c r="QOX12" s="319"/>
      <c r="QOY12" s="319"/>
      <c r="QOZ12" s="319"/>
      <c r="QPA12" s="319"/>
      <c r="QPB12" s="319"/>
      <c r="QPC12" s="319"/>
      <c r="QPD12" s="319"/>
      <c r="QPE12" s="319"/>
      <c r="QPF12" s="319"/>
      <c r="QPG12" s="319"/>
      <c r="QPH12" s="319"/>
      <c r="QPI12" s="319"/>
      <c r="QPJ12" s="319"/>
      <c r="QPK12" s="319"/>
      <c r="QPL12" s="319"/>
      <c r="QPM12" s="319"/>
      <c r="QPN12" s="319"/>
      <c r="QPO12" s="319"/>
      <c r="QPP12" s="319"/>
      <c r="QPQ12" s="319"/>
      <c r="QPR12" s="319"/>
      <c r="QPS12" s="319"/>
      <c r="QPT12" s="319"/>
      <c r="QPU12" s="319"/>
      <c r="QPV12" s="319"/>
      <c r="QPW12" s="319"/>
      <c r="QPX12" s="319"/>
      <c r="QPY12" s="319"/>
      <c r="QPZ12" s="319"/>
      <c r="QQA12" s="319"/>
      <c r="QQB12" s="319"/>
      <c r="QQC12" s="319"/>
      <c r="QQD12" s="319"/>
      <c r="QQE12" s="319"/>
      <c r="QQF12" s="319"/>
      <c r="QQG12" s="319"/>
      <c r="QQH12" s="319"/>
      <c r="QQI12" s="319"/>
      <c r="QQJ12" s="319"/>
      <c r="QQK12" s="319"/>
      <c r="QQL12" s="319"/>
      <c r="QQM12" s="319"/>
      <c r="QQN12" s="319"/>
      <c r="QQO12" s="319"/>
      <c r="QQP12" s="319"/>
      <c r="QQQ12" s="319"/>
      <c r="QQR12" s="319"/>
      <c r="QQS12" s="319"/>
      <c r="QQT12" s="319"/>
      <c r="QQU12" s="319"/>
      <c r="QQV12" s="319"/>
      <c r="QQW12" s="319"/>
      <c r="QQX12" s="319"/>
      <c r="QQY12" s="319"/>
      <c r="QQZ12" s="319"/>
      <c r="QRA12" s="319"/>
      <c r="QRB12" s="319"/>
      <c r="QRC12" s="319"/>
      <c r="QRD12" s="319"/>
      <c r="QRE12" s="319"/>
      <c r="QRF12" s="319"/>
      <c r="QRG12" s="319"/>
      <c r="QRH12" s="319"/>
      <c r="QRI12" s="319"/>
      <c r="QRJ12" s="319"/>
      <c r="QRK12" s="319"/>
      <c r="QRL12" s="319"/>
      <c r="QRM12" s="319"/>
      <c r="QRN12" s="319"/>
      <c r="QRO12" s="319"/>
      <c r="QRP12" s="319"/>
      <c r="QRQ12" s="319"/>
      <c r="QRR12" s="319"/>
      <c r="QRS12" s="319"/>
      <c r="QRT12" s="319"/>
      <c r="QRU12" s="319"/>
      <c r="QRV12" s="319"/>
      <c r="QRW12" s="319"/>
      <c r="QRX12" s="319"/>
      <c r="QRY12" s="319"/>
      <c r="QRZ12" s="319"/>
      <c r="QSA12" s="319"/>
      <c r="QSB12" s="319"/>
      <c r="QSC12" s="319"/>
      <c r="QSD12" s="319"/>
      <c r="QSE12" s="319"/>
      <c r="QSF12" s="319"/>
      <c r="QSG12" s="319"/>
      <c r="QSH12" s="319"/>
      <c r="QSI12" s="319"/>
      <c r="QSJ12" s="319"/>
      <c r="QSK12" s="319"/>
      <c r="QSL12" s="319"/>
      <c r="QSM12" s="319"/>
      <c r="QSN12" s="319"/>
      <c r="QSO12" s="319"/>
      <c r="QSP12" s="319"/>
      <c r="QSQ12" s="319"/>
      <c r="QSR12" s="319"/>
      <c r="QSS12" s="319"/>
      <c r="QST12" s="319"/>
      <c r="QSU12" s="319"/>
      <c r="QSV12" s="319"/>
      <c r="QSW12" s="319"/>
      <c r="QSX12" s="319"/>
      <c r="QSY12" s="319"/>
      <c r="QSZ12" s="319"/>
      <c r="QTA12" s="319"/>
      <c r="QTB12" s="319"/>
      <c r="QTC12" s="319"/>
      <c r="QTD12" s="319"/>
      <c r="QTE12" s="319"/>
      <c r="QTF12" s="319"/>
      <c r="QTG12" s="319"/>
      <c r="QTH12" s="319"/>
      <c r="QTI12" s="319"/>
      <c r="QTJ12" s="319"/>
      <c r="QTK12" s="319"/>
      <c r="QTL12" s="319"/>
      <c r="QTM12" s="319"/>
      <c r="QTN12" s="319"/>
      <c r="QTO12" s="319"/>
      <c r="QTP12" s="319"/>
      <c r="QTQ12" s="319"/>
      <c r="QTR12" s="319"/>
      <c r="QTS12" s="319"/>
      <c r="QTT12" s="319"/>
      <c r="QTU12" s="319"/>
      <c r="QTV12" s="319"/>
      <c r="QTW12" s="319"/>
      <c r="QTX12" s="319"/>
      <c r="QTY12" s="319"/>
      <c r="QTZ12" s="319"/>
      <c r="QUA12" s="319"/>
      <c r="QUB12" s="319"/>
      <c r="QUC12" s="319"/>
      <c r="QUD12" s="319"/>
      <c r="QUE12" s="319"/>
      <c r="QUF12" s="319"/>
      <c r="QUG12" s="319"/>
      <c r="QUH12" s="319"/>
      <c r="QUI12" s="319"/>
      <c r="QUJ12" s="319"/>
      <c r="QUK12" s="319"/>
      <c r="QUL12" s="319"/>
      <c r="QUM12" s="319"/>
      <c r="QUN12" s="319"/>
      <c r="QUO12" s="319"/>
      <c r="QUP12" s="319"/>
      <c r="QUQ12" s="319"/>
      <c r="QUR12" s="319"/>
      <c r="QUS12" s="319"/>
      <c r="QUT12" s="319"/>
      <c r="QUU12" s="319"/>
      <c r="QUV12" s="319"/>
      <c r="QUW12" s="319"/>
      <c r="QUX12" s="319"/>
      <c r="QUY12" s="319"/>
      <c r="QUZ12" s="319"/>
      <c r="QVA12" s="319"/>
      <c r="QVB12" s="319"/>
      <c r="QVC12" s="319"/>
      <c r="QVD12" s="319"/>
      <c r="QVE12" s="319"/>
      <c r="QVF12" s="319"/>
      <c r="QVG12" s="319"/>
      <c r="QVH12" s="319"/>
      <c r="QVI12" s="319"/>
      <c r="QVJ12" s="319"/>
      <c r="QVK12" s="319"/>
      <c r="QVL12" s="319"/>
      <c r="QVM12" s="319"/>
      <c r="QVN12" s="319"/>
      <c r="QVO12" s="319"/>
      <c r="QVP12" s="319"/>
      <c r="QVQ12" s="319"/>
      <c r="QVR12" s="319"/>
      <c r="QVS12" s="319"/>
      <c r="QVT12" s="319"/>
      <c r="QVU12" s="319"/>
      <c r="QVV12" s="319"/>
      <c r="QVW12" s="319"/>
      <c r="QVX12" s="319"/>
      <c r="QVY12" s="319"/>
      <c r="QVZ12" s="319"/>
      <c r="QWA12" s="319"/>
      <c r="QWB12" s="319"/>
      <c r="QWC12" s="319"/>
      <c r="QWD12" s="319"/>
      <c r="QWE12" s="319"/>
      <c r="QWF12" s="319"/>
      <c r="QWG12" s="319"/>
      <c r="QWH12" s="319"/>
      <c r="QWI12" s="319"/>
      <c r="QWJ12" s="319"/>
      <c r="QWK12" s="319"/>
      <c r="QWL12" s="319"/>
      <c r="QWM12" s="319"/>
      <c r="QWN12" s="319"/>
      <c r="QWO12" s="319"/>
      <c r="QWP12" s="319"/>
      <c r="QWQ12" s="319"/>
      <c r="QWR12" s="319"/>
      <c r="QWS12" s="319"/>
      <c r="QWT12" s="319"/>
      <c r="QWU12" s="319"/>
      <c r="QWV12" s="319"/>
      <c r="QWW12" s="319"/>
      <c r="QWX12" s="319"/>
      <c r="QWY12" s="319"/>
      <c r="QWZ12" s="319"/>
      <c r="QXA12" s="319"/>
      <c r="QXB12" s="319"/>
      <c r="QXC12" s="319"/>
      <c r="QXD12" s="319"/>
      <c r="QXE12" s="319"/>
      <c r="QXF12" s="319"/>
      <c r="QXG12" s="319"/>
      <c r="QXH12" s="319"/>
      <c r="QXI12" s="319"/>
      <c r="QXJ12" s="319"/>
      <c r="QXK12" s="319"/>
      <c r="QXL12" s="319"/>
      <c r="QXM12" s="319"/>
      <c r="QXN12" s="319"/>
      <c r="QXO12" s="319"/>
      <c r="QXP12" s="319"/>
      <c r="QXQ12" s="319"/>
      <c r="QXR12" s="319"/>
      <c r="QXS12" s="319"/>
      <c r="QXT12" s="319"/>
      <c r="QXU12" s="319"/>
      <c r="QXV12" s="319"/>
      <c r="QXW12" s="319"/>
      <c r="QXX12" s="319"/>
      <c r="QXY12" s="319"/>
      <c r="QXZ12" s="319"/>
      <c r="QYA12" s="319"/>
      <c r="QYB12" s="319"/>
      <c r="QYC12" s="319"/>
      <c r="QYD12" s="319"/>
      <c r="QYE12" s="319"/>
      <c r="QYF12" s="319"/>
      <c r="QYG12" s="319"/>
      <c r="QYH12" s="319"/>
      <c r="QYI12" s="319"/>
      <c r="QYJ12" s="319"/>
      <c r="QYK12" s="319"/>
      <c r="QYL12" s="319"/>
      <c r="QYM12" s="319"/>
      <c r="QYN12" s="319"/>
      <c r="QYO12" s="319"/>
      <c r="QYP12" s="319"/>
      <c r="QYQ12" s="319"/>
      <c r="QYR12" s="319"/>
      <c r="QYS12" s="319"/>
      <c r="QYT12" s="319"/>
      <c r="QYU12" s="319"/>
      <c r="QYV12" s="319"/>
      <c r="QYW12" s="319"/>
      <c r="QYX12" s="319"/>
      <c r="QYY12" s="319"/>
      <c r="QYZ12" s="319"/>
      <c r="QZA12" s="319"/>
      <c r="QZB12" s="319"/>
      <c r="QZC12" s="319"/>
      <c r="QZD12" s="319"/>
      <c r="QZE12" s="319"/>
      <c r="QZF12" s="319"/>
      <c r="QZG12" s="319"/>
      <c r="QZH12" s="319"/>
      <c r="QZI12" s="319"/>
      <c r="QZJ12" s="319"/>
      <c r="QZK12" s="319"/>
      <c r="QZL12" s="319"/>
      <c r="QZM12" s="319"/>
      <c r="QZN12" s="319"/>
      <c r="QZO12" s="319"/>
      <c r="QZP12" s="319"/>
      <c r="QZQ12" s="319"/>
      <c r="QZR12" s="319"/>
      <c r="QZS12" s="319"/>
      <c r="QZT12" s="319"/>
      <c r="QZU12" s="319"/>
      <c r="QZV12" s="319"/>
      <c r="QZW12" s="319"/>
      <c r="QZX12" s="319"/>
      <c r="QZY12" s="319"/>
      <c r="QZZ12" s="319"/>
      <c r="RAA12" s="319"/>
      <c r="RAB12" s="319"/>
      <c r="RAC12" s="319"/>
      <c r="RAD12" s="319"/>
      <c r="RAE12" s="319"/>
      <c r="RAF12" s="319"/>
      <c r="RAG12" s="319"/>
      <c r="RAH12" s="319"/>
      <c r="RAI12" s="319"/>
      <c r="RAJ12" s="319"/>
      <c r="RAK12" s="319"/>
      <c r="RAL12" s="319"/>
      <c r="RAM12" s="319"/>
      <c r="RAN12" s="319"/>
      <c r="RAO12" s="319"/>
      <c r="RAP12" s="319"/>
      <c r="RAQ12" s="319"/>
      <c r="RAR12" s="319"/>
      <c r="RAS12" s="319"/>
      <c r="RAT12" s="319"/>
      <c r="RAU12" s="319"/>
      <c r="RAV12" s="319"/>
      <c r="RAW12" s="319"/>
      <c r="RAX12" s="319"/>
      <c r="RAY12" s="319"/>
      <c r="RAZ12" s="319"/>
      <c r="RBA12" s="319"/>
      <c r="RBB12" s="319"/>
      <c r="RBC12" s="319"/>
      <c r="RBD12" s="319"/>
      <c r="RBE12" s="319"/>
      <c r="RBF12" s="319"/>
      <c r="RBG12" s="319"/>
      <c r="RBH12" s="319"/>
      <c r="RBI12" s="319"/>
      <c r="RBJ12" s="319"/>
      <c r="RBK12" s="319"/>
      <c r="RBL12" s="319"/>
      <c r="RBM12" s="319"/>
      <c r="RBN12" s="319"/>
      <c r="RBO12" s="319"/>
      <c r="RBP12" s="319"/>
      <c r="RBQ12" s="319"/>
      <c r="RBR12" s="319"/>
      <c r="RBS12" s="319"/>
      <c r="RBT12" s="319"/>
      <c r="RBU12" s="319"/>
      <c r="RBV12" s="319"/>
      <c r="RBW12" s="319"/>
      <c r="RBX12" s="319"/>
      <c r="RBY12" s="319"/>
      <c r="RBZ12" s="319"/>
      <c r="RCA12" s="319"/>
      <c r="RCB12" s="319"/>
      <c r="RCC12" s="319"/>
      <c r="RCD12" s="319"/>
      <c r="RCE12" s="319"/>
      <c r="RCF12" s="319"/>
      <c r="RCG12" s="319"/>
      <c r="RCH12" s="319"/>
      <c r="RCI12" s="319"/>
      <c r="RCJ12" s="319"/>
      <c r="RCK12" s="319"/>
      <c r="RCL12" s="319"/>
      <c r="RCM12" s="319"/>
      <c r="RCN12" s="319"/>
      <c r="RCO12" s="319"/>
      <c r="RCP12" s="319"/>
      <c r="RCQ12" s="319"/>
      <c r="RCR12" s="319"/>
      <c r="RCS12" s="319"/>
      <c r="RCT12" s="319"/>
      <c r="RCU12" s="319"/>
      <c r="RCV12" s="319"/>
      <c r="RCW12" s="319"/>
      <c r="RCX12" s="319"/>
      <c r="RCY12" s="319"/>
      <c r="RCZ12" s="319"/>
      <c r="RDA12" s="319"/>
      <c r="RDB12" s="319"/>
      <c r="RDC12" s="319"/>
      <c r="RDD12" s="319"/>
      <c r="RDE12" s="319"/>
      <c r="RDF12" s="319"/>
      <c r="RDG12" s="319"/>
      <c r="RDH12" s="319"/>
      <c r="RDI12" s="319"/>
      <c r="RDJ12" s="319"/>
      <c r="RDK12" s="319"/>
      <c r="RDL12" s="319"/>
      <c r="RDM12" s="319"/>
      <c r="RDN12" s="319"/>
      <c r="RDO12" s="319"/>
      <c r="RDP12" s="319"/>
      <c r="RDQ12" s="319"/>
      <c r="RDR12" s="319"/>
      <c r="RDS12" s="319"/>
      <c r="RDT12" s="319"/>
      <c r="RDU12" s="319"/>
      <c r="RDV12" s="319"/>
      <c r="RDW12" s="319"/>
      <c r="RDX12" s="319"/>
      <c r="RDY12" s="319"/>
      <c r="RDZ12" s="319"/>
      <c r="REA12" s="319"/>
      <c r="REB12" s="319"/>
      <c r="REC12" s="319"/>
      <c r="RED12" s="319"/>
      <c r="REE12" s="319"/>
      <c r="REF12" s="319"/>
      <c r="REG12" s="319"/>
      <c r="REH12" s="319"/>
      <c r="REI12" s="319"/>
      <c r="REJ12" s="319"/>
      <c r="REK12" s="319"/>
      <c r="REL12" s="319"/>
      <c r="REM12" s="319"/>
      <c r="REN12" s="319"/>
      <c r="REO12" s="319"/>
      <c r="REP12" s="319"/>
      <c r="REQ12" s="319"/>
      <c r="RER12" s="319"/>
      <c r="RES12" s="319"/>
      <c r="RET12" s="319"/>
      <c r="REU12" s="319"/>
      <c r="REV12" s="319"/>
      <c r="REW12" s="319"/>
      <c r="REX12" s="319"/>
      <c r="REY12" s="319"/>
      <c r="REZ12" s="319"/>
      <c r="RFA12" s="319"/>
      <c r="RFB12" s="319"/>
      <c r="RFC12" s="319"/>
      <c r="RFD12" s="319"/>
      <c r="RFE12" s="319"/>
      <c r="RFF12" s="319"/>
      <c r="RFG12" s="319"/>
      <c r="RFH12" s="319"/>
      <c r="RFI12" s="319"/>
      <c r="RFJ12" s="319"/>
      <c r="RFK12" s="319"/>
      <c r="RFL12" s="319"/>
      <c r="RFM12" s="319"/>
      <c r="RFN12" s="319"/>
      <c r="RFO12" s="319"/>
      <c r="RFP12" s="319"/>
      <c r="RFQ12" s="319"/>
      <c r="RFR12" s="319"/>
      <c r="RFS12" s="319"/>
      <c r="RFT12" s="319"/>
      <c r="RFU12" s="319"/>
      <c r="RFV12" s="319"/>
      <c r="RFW12" s="319"/>
      <c r="RFX12" s="319"/>
      <c r="RFY12" s="319"/>
      <c r="RFZ12" s="319"/>
      <c r="RGA12" s="319"/>
      <c r="RGB12" s="319"/>
      <c r="RGC12" s="319"/>
      <c r="RGD12" s="319"/>
      <c r="RGE12" s="319"/>
      <c r="RGF12" s="319"/>
      <c r="RGG12" s="319"/>
      <c r="RGH12" s="319"/>
      <c r="RGI12" s="319"/>
      <c r="RGJ12" s="319"/>
      <c r="RGK12" s="319"/>
      <c r="RGL12" s="319"/>
      <c r="RGM12" s="319"/>
      <c r="RGN12" s="319"/>
      <c r="RGO12" s="319"/>
      <c r="RGP12" s="319"/>
      <c r="RGQ12" s="319"/>
      <c r="RGR12" s="319"/>
      <c r="RGS12" s="319"/>
      <c r="RGT12" s="319"/>
      <c r="RGU12" s="319"/>
      <c r="RGV12" s="319"/>
      <c r="RGW12" s="319"/>
      <c r="RGX12" s="319"/>
      <c r="RGY12" s="319"/>
      <c r="RGZ12" s="319"/>
      <c r="RHA12" s="319"/>
      <c r="RHB12" s="319"/>
      <c r="RHC12" s="319"/>
      <c r="RHD12" s="319"/>
      <c r="RHE12" s="319"/>
      <c r="RHF12" s="319"/>
      <c r="RHG12" s="319"/>
      <c r="RHH12" s="319"/>
      <c r="RHI12" s="319"/>
      <c r="RHJ12" s="319"/>
      <c r="RHK12" s="319"/>
      <c r="RHL12" s="319"/>
      <c r="RHM12" s="319"/>
      <c r="RHN12" s="319"/>
      <c r="RHO12" s="319"/>
      <c r="RHP12" s="319"/>
      <c r="RHQ12" s="319"/>
      <c r="RHR12" s="319"/>
      <c r="RHS12" s="319"/>
      <c r="RHT12" s="319"/>
      <c r="RHU12" s="319"/>
      <c r="RHV12" s="319"/>
      <c r="RHW12" s="319"/>
      <c r="RHX12" s="319"/>
      <c r="RHY12" s="319"/>
      <c r="RHZ12" s="319"/>
      <c r="RIA12" s="319"/>
      <c r="RIB12" s="319"/>
      <c r="RIC12" s="319"/>
      <c r="RID12" s="319"/>
      <c r="RIE12" s="319"/>
      <c r="RIF12" s="319"/>
      <c r="RIG12" s="319"/>
      <c r="RIH12" s="319"/>
      <c r="RII12" s="319"/>
      <c r="RIJ12" s="319"/>
      <c r="RIK12" s="319"/>
      <c r="RIL12" s="319"/>
      <c r="RIM12" s="319"/>
      <c r="RIN12" s="319"/>
      <c r="RIO12" s="319"/>
      <c r="RIP12" s="319"/>
      <c r="RIQ12" s="319"/>
      <c r="RIR12" s="319"/>
      <c r="RIS12" s="319"/>
      <c r="RIT12" s="319"/>
      <c r="RIU12" s="319"/>
      <c r="RIV12" s="319"/>
      <c r="RIW12" s="319"/>
      <c r="RIX12" s="319"/>
      <c r="RIY12" s="319"/>
      <c r="RIZ12" s="319"/>
      <c r="RJA12" s="319"/>
      <c r="RJB12" s="319"/>
      <c r="RJC12" s="319"/>
      <c r="RJD12" s="319"/>
      <c r="RJE12" s="319"/>
      <c r="RJF12" s="319"/>
      <c r="RJG12" s="319"/>
      <c r="RJH12" s="319"/>
      <c r="RJI12" s="319"/>
      <c r="RJJ12" s="319"/>
      <c r="RJK12" s="319"/>
      <c r="RJL12" s="319"/>
      <c r="RJM12" s="319"/>
      <c r="RJN12" s="319"/>
      <c r="RJO12" s="319"/>
      <c r="RJP12" s="319"/>
      <c r="RJQ12" s="319"/>
      <c r="RJR12" s="319"/>
      <c r="RJS12" s="319"/>
      <c r="RJT12" s="319"/>
      <c r="RJU12" s="319"/>
      <c r="RJV12" s="319"/>
      <c r="RJW12" s="319"/>
      <c r="RJX12" s="319"/>
      <c r="RJY12" s="319"/>
      <c r="RJZ12" s="319"/>
      <c r="RKA12" s="319"/>
      <c r="RKB12" s="319"/>
      <c r="RKC12" s="319"/>
      <c r="RKD12" s="319"/>
      <c r="RKE12" s="319"/>
      <c r="RKF12" s="319"/>
      <c r="RKG12" s="319"/>
      <c r="RKH12" s="319"/>
      <c r="RKI12" s="319"/>
      <c r="RKJ12" s="319"/>
      <c r="RKK12" s="319"/>
      <c r="RKL12" s="319"/>
      <c r="RKM12" s="319"/>
      <c r="RKN12" s="319"/>
      <c r="RKO12" s="319"/>
      <c r="RKP12" s="319"/>
      <c r="RKQ12" s="319"/>
      <c r="RKR12" s="319"/>
      <c r="RKS12" s="319"/>
      <c r="RKT12" s="319"/>
      <c r="RKU12" s="319"/>
      <c r="RKV12" s="319"/>
      <c r="RKW12" s="319"/>
      <c r="RKX12" s="319"/>
      <c r="RKY12" s="319"/>
      <c r="RKZ12" s="319"/>
      <c r="RLA12" s="319"/>
      <c r="RLB12" s="319"/>
      <c r="RLC12" s="319"/>
      <c r="RLD12" s="319"/>
      <c r="RLE12" s="319"/>
      <c r="RLF12" s="319"/>
      <c r="RLG12" s="319"/>
      <c r="RLH12" s="319"/>
      <c r="RLI12" s="319"/>
      <c r="RLJ12" s="319"/>
      <c r="RLK12" s="319"/>
      <c r="RLL12" s="319"/>
      <c r="RLM12" s="319"/>
      <c r="RLN12" s="319"/>
      <c r="RLO12" s="319"/>
      <c r="RLP12" s="319"/>
      <c r="RLQ12" s="319"/>
      <c r="RLR12" s="319"/>
      <c r="RLS12" s="319"/>
      <c r="RLT12" s="319"/>
      <c r="RLU12" s="319"/>
      <c r="RLV12" s="319"/>
      <c r="RLW12" s="319"/>
      <c r="RLX12" s="319"/>
      <c r="RLY12" s="319"/>
      <c r="RLZ12" s="319"/>
      <c r="RMA12" s="319"/>
      <c r="RMB12" s="319"/>
      <c r="RMC12" s="319"/>
      <c r="RMD12" s="319"/>
      <c r="RME12" s="319"/>
      <c r="RMF12" s="319"/>
      <c r="RMG12" s="319"/>
      <c r="RMH12" s="319"/>
      <c r="RMI12" s="319"/>
      <c r="RMJ12" s="319"/>
      <c r="RMK12" s="319"/>
      <c r="RML12" s="319"/>
      <c r="RMM12" s="319"/>
      <c r="RMN12" s="319"/>
      <c r="RMO12" s="319"/>
      <c r="RMP12" s="319"/>
      <c r="RMQ12" s="319"/>
      <c r="RMR12" s="319"/>
      <c r="RMS12" s="319"/>
      <c r="RMT12" s="319"/>
      <c r="RMU12" s="319"/>
      <c r="RMV12" s="319"/>
      <c r="RMW12" s="319"/>
      <c r="RMX12" s="319"/>
      <c r="RMY12" s="319"/>
      <c r="RMZ12" s="319"/>
      <c r="RNA12" s="319"/>
      <c r="RNB12" s="319"/>
      <c r="RNC12" s="319"/>
      <c r="RND12" s="319"/>
      <c r="RNE12" s="319"/>
      <c r="RNF12" s="319"/>
      <c r="RNG12" s="319"/>
      <c r="RNH12" s="319"/>
      <c r="RNI12" s="319"/>
      <c r="RNJ12" s="319"/>
      <c r="RNK12" s="319"/>
      <c r="RNL12" s="319"/>
      <c r="RNM12" s="319"/>
      <c r="RNN12" s="319"/>
      <c r="RNO12" s="319"/>
      <c r="RNP12" s="319"/>
      <c r="RNQ12" s="319"/>
      <c r="RNR12" s="319"/>
      <c r="RNS12" s="319"/>
      <c r="RNT12" s="319"/>
      <c r="RNU12" s="319"/>
      <c r="RNV12" s="319"/>
      <c r="RNW12" s="319"/>
      <c r="RNX12" s="319"/>
      <c r="RNY12" s="319"/>
      <c r="RNZ12" s="319"/>
      <c r="ROA12" s="319"/>
      <c r="ROB12" s="319"/>
      <c r="ROC12" s="319"/>
      <c r="ROD12" s="319"/>
      <c r="ROE12" s="319"/>
      <c r="ROF12" s="319"/>
      <c r="ROG12" s="319"/>
      <c r="ROH12" s="319"/>
      <c r="ROI12" s="319"/>
      <c r="ROJ12" s="319"/>
      <c r="ROK12" s="319"/>
      <c r="ROL12" s="319"/>
      <c r="ROM12" s="319"/>
      <c r="RON12" s="319"/>
      <c r="ROO12" s="319"/>
      <c r="ROP12" s="319"/>
      <c r="ROQ12" s="319"/>
      <c r="ROR12" s="319"/>
      <c r="ROS12" s="319"/>
      <c r="ROT12" s="319"/>
      <c r="ROU12" s="319"/>
      <c r="ROV12" s="319"/>
      <c r="ROW12" s="319"/>
      <c r="ROX12" s="319"/>
      <c r="ROY12" s="319"/>
      <c r="ROZ12" s="319"/>
      <c r="RPA12" s="319"/>
      <c r="RPB12" s="319"/>
      <c r="RPC12" s="319"/>
      <c r="RPD12" s="319"/>
      <c r="RPE12" s="319"/>
      <c r="RPF12" s="319"/>
      <c r="RPG12" s="319"/>
      <c r="RPH12" s="319"/>
      <c r="RPI12" s="319"/>
      <c r="RPJ12" s="319"/>
      <c r="RPK12" s="319"/>
      <c r="RPL12" s="319"/>
      <c r="RPM12" s="319"/>
      <c r="RPN12" s="319"/>
      <c r="RPO12" s="319"/>
      <c r="RPP12" s="319"/>
      <c r="RPQ12" s="319"/>
      <c r="RPR12" s="319"/>
      <c r="RPS12" s="319"/>
      <c r="RPT12" s="319"/>
      <c r="RPU12" s="319"/>
      <c r="RPV12" s="319"/>
      <c r="RPW12" s="319"/>
      <c r="RPX12" s="319"/>
      <c r="RPY12" s="319"/>
      <c r="RPZ12" s="319"/>
      <c r="RQA12" s="319"/>
      <c r="RQB12" s="319"/>
      <c r="RQC12" s="319"/>
      <c r="RQD12" s="319"/>
      <c r="RQE12" s="319"/>
      <c r="RQF12" s="319"/>
      <c r="RQG12" s="319"/>
      <c r="RQH12" s="319"/>
      <c r="RQI12" s="319"/>
      <c r="RQJ12" s="319"/>
      <c r="RQK12" s="319"/>
      <c r="RQL12" s="319"/>
      <c r="RQM12" s="319"/>
      <c r="RQN12" s="319"/>
      <c r="RQO12" s="319"/>
      <c r="RQP12" s="319"/>
      <c r="RQQ12" s="319"/>
      <c r="RQR12" s="319"/>
      <c r="RQS12" s="319"/>
      <c r="RQT12" s="319"/>
      <c r="RQU12" s="319"/>
      <c r="RQV12" s="319"/>
      <c r="RQW12" s="319"/>
      <c r="RQX12" s="319"/>
      <c r="RQY12" s="319"/>
      <c r="RQZ12" s="319"/>
      <c r="RRA12" s="319"/>
      <c r="RRB12" s="319"/>
      <c r="RRC12" s="319"/>
      <c r="RRD12" s="319"/>
      <c r="RRE12" s="319"/>
      <c r="RRF12" s="319"/>
      <c r="RRG12" s="319"/>
      <c r="RRH12" s="319"/>
      <c r="RRI12" s="319"/>
      <c r="RRJ12" s="319"/>
      <c r="RRK12" s="319"/>
      <c r="RRL12" s="319"/>
      <c r="RRM12" s="319"/>
      <c r="RRN12" s="319"/>
      <c r="RRO12" s="319"/>
      <c r="RRP12" s="319"/>
      <c r="RRQ12" s="319"/>
      <c r="RRR12" s="319"/>
      <c r="RRS12" s="319"/>
      <c r="RRT12" s="319"/>
      <c r="RRU12" s="319"/>
      <c r="RRV12" s="319"/>
      <c r="RRW12" s="319"/>
      <c r="RRX12" s="319"/>
      <c r="RRY12" s="319"/>
      <c r="RRZ12" s="319"/>
      <c r="RSA12" s="319"/>
      <c r="RSB12" s="319"/>
      <c r="RSC12" s="319"/>
      <c r="RSD12" s="319"/>
      <c r="RSE12" s="319"/>
      <c r="RSF12" s="319"/>
      <c r="RSG12" s="319"/>
      <c r="RSH12" s="319"/>
      <c r="RSI12" s="319"/>
      <c r="RSJ12" s="319"/>
      <c r="RSK12" s="319"/>
      <c r="RSL12" s="319"/>
      <c r="RSM12" s="319"/>
      <c r="RSN12" s="319"/>
      <c r="RSO12" s="319"/>
      <c r="RSP12" s="319"/>
      <c r="RSQ12" s="319"/>
      <c r="RSR12" s="319"/>
      <c r="RSS12" s="319"/>
      <c r="RST12" s="319"/>
      <c r="RSU12" s="319"/>
      <c r="RSV12" s="319"/>
      <c r="RSW12" s="319"/>
      <c r="RSX12" s="319"/>
      <c r="RSY12" s="319"/>
      <c r="RSZ12" s="319"/>
      <c r="RTA12" s="319"/>
      <c r="RTB12" s="319"/>
      <c r="RTC12" s="319"/>
      <c r="RTD12" s="319"/>
      <c r="RTE12" s="319"/>
      <c r="RTF12" s="319"/>
      <c r="RTG12" s="319"/>
      <c r="RTH12" s="319"/>
      <c r="RTI12" s="319"/>
      <c r="RTJ12" s="319"/>
      <c r="RTK12" s="319"/>
      <c r="RTL12" s="319"/>
      <c r="RTM12" s="319"/>
      <c r="RTN12" s="319"/>
      <c r="RTO12" s="319"/>
      <c r="RTP12" s="319"/>
      <c r="RTQ12" s="319"/>
      <c r="RTR12" s="319"/>
      <c r="RTS12" s="319"/>
      <c r="RTT12" s="319"/>
      <c r="RTU12" s="319"/>
      <c r="RTV12" s="319"/>
      <c r="RTW12" s="319"/>
      <c r="RTX12" s="319"/>
      <c r="RTY12" s="319"/>
      <c r="RTZ12" s="319"/>
      <c r="RUA12" s="319"/>
      <c r="RUB12" s="319"/>
      <c r="RUC12" s="319"/>
      <c r="RUD12" s="319"/>
      <c r="RUE12" s="319"/>
      <c r="RUF12" s="319"/>
      <c r="RUG12" s="319"/>
      <c r="RUH12" s="319"/>
      <c r="RUI12" s="319"/>
      <c r="RUJ12" s="319"/>
      <c r="RUK12" s="319"/>
      <c r="RUL12" s="319"/>
      <c r="RUM12" s="319"/>
      <c r="RUN12" s="319"/>
      <c r="RUO12" s="319"/>
      <c r="RUP12" s="319"/>
      <c r="RUQ12" s="319"/>
      <c r="RUR12" s="319"/>
      <c r="RUS12" s="319"/>
      <c r="RUT12" s="319"/>
      <c r="RUU12" s="319"/>
      <c r="RUV12" s="319"/>
      <c r="RUW12" s="319"/>
      <c r="RUX12" s="319"/>
      <c r="RUY12" s="319"/>
      <c r="RUZ12" s="319"/>
      <c r="RVA12" s="319"/>
      <c r="RVB12" s="319"/>
      <c r="RVC12" s="319"/>
      <c r="RVD12" s="319"/>
      <c r="RVE12" s="319"/>
      <c r="RVF12" s="319"/>
      <c r="RVG12" s="319"/>
      <c r="RVH12" s="319"/>
      <c r="RVI12" s="319"/>
      <c r="RVJ12" s="319"/>
      <c r="RVK12" s="319"/>
      <c r="RVL12" s="319"/>
      <c r="RVM12" s="319"/>
      <c r="RVN12" s="319"/>
      <c r="RVO12" s="319"/>
      <c r="RVP12" s="319"/>
      <c r="RVQ12" s="319"/>
      <c r="RVR12" s="319"/>
      <c r="RVS12" s="319"/>
      <c r="RVT12" s="319"/>
      <c r="RVU12" s="319"/>
      <c r="RVV12" s="319"/>
      <c r="RVW12" s="319"/>
      <c r="RVX12" s="319"/>
      <c r="RVY12" s="319"/>
      <c r="RVZ12" s="319"/>
      <c r="RWA12" s="319"/>
      <c r="RWB12" s="319"/>
      <c r="RWC12" s="319"/>
      <c r="RWD12" s="319"/>
      <c r="RWE12" s="319"/>
      <c r="RWF12" s="319"/>
      <c r="RWG12" s="319"/>
      <c r="RWH12" s="319"/>
      <c r="RWI12" s="319"/>
      <c r="RWJ12" s="319"/>
      <c r="RWK12" s="319"/>
      <c r="RWL12" s="319"/>
      <c r="RWM12" s="319"/>
      <c r="RWN12" s="319"/>
      <c r="RWO12" s="319"/>
      <c r="RWP12" s="319"/>
      <c r="RWQ12" s="319"/>
      <c r="RWR12" s="319"/>
      <c r="RWS12" s="319"/>
      <c r="RWT12" s="319"/>
      <c r="RWU12" s="319"/>
      <c r="RWV12" s="319"/>
      <c r="RWW12" s="319"/>
      <c r="RWX12" s="319"/>
      <c r="RWY12" s="319"/>
      <c r="RWZ12" s="319"/>
      <c r="RXA12" s="319"/>
      <c r="RXB12" s="319"/>
      <c r="RXC12" s="319"/>
      <c r="RXD12" s="319"/>
      <c r="RXE12" s="319"/>
      <c r="RXF12" s="319"/>
      <c r="RXG12" s="319"/>
      <c r="RXH12" s="319"/>
      <c r="RXI12" s="319"/>
      <c r="RXJ12" s="319"/>
      <c r="RXK12" s="319"/>
      <c r="RXL12" s="319"/>
      <c r="RXM12" s="319"/>
      <c r="RXN12" s="319"/>
      <c r="RXO12" s="319"/>
      <c r="RXP12" s="319"/>
      <c r="RXQ12" s="319"/>
      <c r="RXR12" s="319"/>
      <c r="RXS12" s="319"/>
      <c r="RXT12" s="319"/>
      <c r="RXU12" s="319"/>
      <c r="RXV12" s="319"/>
      <c r="RXW12" s="319"/>
      <c r="RXX12" s="319"/>
      <c r="RXY12" s="319"/>
      <c r="RXZ12" s="319"/>
      <c r="RYA12" s="319"/>
      <c r="RYB12" s="319"/>
      <c r="RYC12" s="319"/>
      <c r="RYD12" s="319"/>
      <c r="RYE12" s="319"/>
      <c r="RYF12" s="319"/>
      <c r="RYG12" s="319"/>
      <c r="RYH12" s="319"/>
      <c r="RYI12" s="319"/>
      <c r="RYJ12" s="319"/>
      <c r="RYK12" s="319"/>
      <c r="RYL12" s="319"/>
      <c r="RYM12" s="319"/>
      <c r="RYN12" s="319"/>
      <c r="RYO12" s="319"/>
      <c r="RYP12" s="319"/>
      <c r="RYQ12" s="319"/>
      <c r="RYR12" s="319"/>
      <c r="RYS12" s="319"/>
      <c r="RYT12" s="319"/>
      <c r="RYU12" s="319"/>
      <c r="RYV12" s="319"/>
      <c r="RYW12" s="319"/>
      <c r="RYX12" s="319"/>
      <c r="RYY12" s="319"/>
      <c r="RYZ12" s="319"/>
      <c r="RZA12" s="319"/>
      <c r="RZB12" s="319"/>
      <c r="RZC12" s="319"/>
      <c r="RZD12" s="319"/>
      <c r="RZE12" s="319"/>
      <c r="RZF12" s="319"/>
      <c r="RZG12" s="319"/>
      <c r="RZH12" s="319"/>
      <c r="RZI12" s="319"/>
      <c r="RZJ12" s="319"/>
      <c r="RZK12" s="319"/>
      <c r="RZL12" s="319"/>
      <c r="RZM12" s="319"/>
      <c r="RZN12" s="319"/>
      <c r="RZO12" s="319"/>
      <c r="RZP12" s="319"/>
      <c r="RZQ12" s="319"/>
      <c r="RZR12" s="319"/>
      <c r="RZS12" s="319"/>
      <c r="RZT12" s="319"/>
      <c r="RZU12" s="319"/>
      <c r="RZV12" s="319"/>
      <c r="RZW12" s="319"/>
      <c r="RZX12" s="319"/>
      <c r="RZY12" s="319"/>
      <c r="RZZ12" s="319"/>
      <c r="SAA12" s="319"/>
      <c r="SAB12" s="319"/>
      <c r="SAC12" s="319"/>
      <c r="SAD12" s="319"/>
      <c r="SAE12" s="319"/>
      <c r="SAF12" s="319"/>
      <c r="SAG12" s="319"/>
      <c r="SAH12" s="319"/>
      <c r="SAI12" s="319"/>
      <c r="SAJ12" s="319"/>
      <c r="SAK12" s="319"/>
      <c r="SAL12" s="319"/>
      <c r="SAM12" s="319"/>
      <c r="SAN12" s="319"/>
      <c r="SAO12" s="319"/>
      <c r="SAP12" s="319"/>
      <c r="SAQ12" s="319"/>
      <c r="SAR12" s="319"/>
      <c r="SAS12" s="319"/>
      <c r="SAT12" s="319"/>
      <c r="SAU12" s="319"/>
      <c r="SAV12" s="319"/>
      <c r="SAW12" s="319"/>
      <c r="SAX12" s="319"/>
      <c r="SAY12" s="319"/>
      <c r="SAZ12" s="319"/>
      <c r="SBA12" s="319"/>
      <c r="SBB12" s="319"/>
      <c r="SBC12" s="319"/>
      <c r="SBD12" s="319"/>
      <c r="SBE12" s="319"/>
      <c r="SBF12" s="319"/>
      <c r="SBG12" s="319"/>
      <c r="SBH12" s="319"/>
      <c r="SBI12" s="319"/>
      <c r="SBJ12" s="319"/>
      <c r="SBK12" s="319"/>
      <c r="SBL12" s="319"/>
      <c r="SBM12" s="319"/>
      <c r="SBN12" s="319"/>
      <c r="SBO12" s="319"/>
      <c r="SBP12" s="319"/>
      <c r="SBQ12" s="319"/>
      <c r="SBR12" s="319"/>
      <c r="SBS12" s="319"/>
      <c r="SBT12" s="319"/>
      <c r="SBU12" s="319"/>
      <c r="SBV12" s="319"/>
      <c r="SBW12" s="319"/>
      <c r="SBX12" s="319"/>
      <c r="SBY12" s="319"/>
      <c r="SBZ12" s="319"/>
      <c r="SCA12" s="319"/>
      <c r="SCB12" s="319"/>
      <c r="SCC12" s="319"/>
      <c r="SCD12" s="319"/>
      <c r="SCE12" s="319"/>
      <c r="SCF12" s="319"/>
      <c r="SCG12" s="319"/>
      <c r="SCH12" s="319"/>
      <c r="SCI12" s="319"/>
      <c r="SCJ12" s="319"/>
      <c r="SCK12" s="319"/>
      <c r="SCL12" s="319"/>
      <c r="SCM12" s="319"/>
      <c r="SCN12" s="319"/>
      <c r="SCO12" s="319"/>
      <c r="SCP12" s="319"/>
      <c r="SCQ12" s="319"/>
      <c r="SCR12" s="319"/>
      <c r="SCS12" s="319"/>
      <c r="SCT12" s="319"/>
      <c r="SCU12" s="319"/>
      <c r="SCV12" s="319"/>
      <c r="SCW12" s="319"/>
      <c r="SCX12" s="319"/>
      <c r="SCY12" s="319"/>
      <c r="SCZ12" s="319"/>
      <c r="SDA12" s="319"/>
      <c r="SDB12" s="319"/>
      <c r="SDC12" s="319"/>
      <c r="SDD12" s="319"/>
      <c r="SDE12" s="319"/>
      <c r="SDF12" s="319"/>
      <c r="SDG12" s="319"/>
      <c r="SDH12" s="319"/>
      <c r="SDI12" s="319"/>
      <c r="SDJ12" s="319"/>
      <c r="SDK12" s="319"/>
      <c r="SDL12" s="319"/>
      <c r="SDM12" s="319"/>
      <c r="SDN12" s="319"/>
      <c r="SDO12" s="319"/>
      <c r="SDP12" s="319"/>
      <c r="SDQ12" s="319"/>
      <c r="SDR12" s="319"/>
      <c r="SDS12" s="319"/>
      <c r="SDT12" s="319"/>
      <c r="SDU12" s="319"/>
      <c r="SDV12" s="319"/>
      <c r="SDW12" s="319"/>
      <c r="SDX12" s="319"/>
      <c r="SDY12" s="319"/>
      <c r="SDZ12" s="319"/>
      <c r="SEA12" s="319"/>
      <c r="SEB12" s="319"/>
      <c r="SEC12" s="319"/>
      <c r="SED12" s="319"/>
      <c r="SEE12" s="319"/>
      <c r="SEF12" s="319"/>
      <c r="SEG12" s="319"/>
      <c r="SEH12" s="319"/>
      <c r="SEI12" s="319"/>
      <c r="SEJ12" s="319"/>
      <c r="SEK12" s="319"/>
      <c r="SEL12" s="319"/>
      <c r="SEM12" s="319"/>
      <c r="SEN12" s="319"/>
      <c r="SEO12" s="319"/>
      <c r="SEP12" s="319"/>
      <c r="SEQ12" s="319"/>
      <c r="SER12" s="319"/>
      <c r="SES12" s="319"/>
      <c r="SET12" s="319"/>
      <c r="SEU12" s="319"/>
      <c r="SEV12" s="319"/>
      <c r="SEW12" s="319"/>
      <c r="SEX12" s="319"/>
      <c r="SEY12" s="319"/>
      <c r="SEZ12" s="319"/>
      <c r="SFA12" s="319"/>
      <c r="SFB12" s="319"/>
      <c r="SFC12" s="319"/>
      <c r="SFD12" s="319"/>
      <c r="SFE12" s="319"/>
      <c r="SFF12" s="319"/>
      <c r="SFG12" s="319"/>
      <c r="SFH12" s="319"/>
      <c r="SFI12" s="319"/>
      <c r="SFJ12" s="319"/>
      <c r="SFK12" s="319"/>
      <c r="SFL12" s="319"/>
      <c r="SFM12" s="319"/>
      <c r="SFN12" s="319"/>
      <c r="SFO12" s="319"/>
      <c r="SFP12" s="319"/>
      <c r="SFQ12" s="319"/>
      <c r="SFR12" s="319"/>
      <c r="SFS12" s="319"/>
      <c r="SFT12" s="319"/>
      <c r="SFU12" s="319"/>
      <c r="SFV12" s="319"/>
      <c r="SFW12" s="319"/>
      <c r="SFX12" s="319"/>
      <c r="SFY12" s="319"/>
      <c r="SFZ12" s="319"/>
      <c r="SGA12" s="319"/>
      <c r="SGB12" s="319"/>
      <c r="SGC12" s="319"/>
      <c r="SGD12" s="319"/>
      <c r="SGE12" s="319"/>
      <c r="SGF12" s="319"/>
      <c r="SGG12" s="319"/>
      <c r="SGH12" s="319"/>
      <c r="SGI12" s="319"/>
      <c r="SGJ12" s="319"/>
      <c r="SGK12" s="319"/>
      <c r="SGL12" s="319"/>
      <c r="SGM12" s="319"/>
      <c r="SGN12" s="319"/>
      <c r="SGO12" s="319"/>
      <c r="SGP12" s="319"/>
      <c r="SGQ12" s="319"/>
      <c r="SGR12" s="319"/>
      <c r="SGS12" s="319"/>
      <c r="SGT12" s="319"/>
      <c r="SGU12" s="319"/>
      <c r="SGV12" s="319"/>
      <c r="SGW12" s="319"/>
      <c r="SGX12" s="319"/>
      <c r="SGY12" s="319"/>
      <c r="SGZ12" s="319"/>
      <c r="SHA12" s="319"/>
      <c r="SHB12" s="319"/>
      <c r="SHC12" s="319"/>
      <c r="SHD12" s="319"/>
      <c r="SHE12" s="319"/>
      <c r="SHF12" s="319"/>
      <c r="SHG12" s="319"/>
      <c r="SHH12" s="319"/>
      <c r="SHI12" s="319"/>
      <c r="SHJ12" s="319"/>
      <c r="SHK12" s="319"/>
      <c r="SHL12" s="319"/>
      <c r="SHM12" s="319"/>
      <c r="SHN12" s="319"/>
      <c r="SHO12" s="319"/>
      <c r="SHP12" s="319"/>
      <c r="SHQ12" s="319"/>
      <c r="SHR12" s="319"/>
      <c r="SHS12" s="319"/>
      <c r="SHT12" s="319"/>
      <c r="SHU12" s="319"/>
      <c r="SHV12" s="319"/>
      <c r="SHW12" s="319"/>
      <c r="SHX12" s="319"/>
      <c r="SHY12" s="319"/>
      <c r="SHZ12" s="319"/>
      <c r="SIA12" s="319"/>
      <c r="SIB12" s="319"/>
      <c r="SIC12" s="319"/>
      <c r="SID12" s="319"/>
      <c r="SIE12" s="319"/>
      <c r="SIF12" s="319"/>
      <c r="SIG12" s="319"/>
      <c r="SIH12" s="319"/>
      <c r="SII12" s="319"/>
      <c r="SIJ12" s="319"/>
      <c r="SIK12" s="319"/>
      <c r="SIL12" s="319"/>
      <c r="SIM12" s="319"/>
      <c r="SIN12" s="319"/>
      <c r="SIO12" s="319"/>
      <c r="SIP12" s="319"/>
      <c r="SIQ12" s="319"/>
      <c r="SIR12" s="319"/>
      <c r="SIS12" s="319"/>
      <c r="SIT12" s="319"/>
      <c r="SIU12" s="319"/>
      <c r="SIV12" s="319"/>
      <c r="SIW12" s="319"/>
      <c r="SIX12" s="319"/>
      <c r="SIY12" s="319"/>
      <c r="SIZ12" s="319"/>
      <c r="SJA12" s="319"/>
      <c r="SJB12" s="319"/>
      <c r="SJC12" s="319"/>
      <c r="SJD12" s="319"/>
      <c r="SJE12" s="319"/>
      <c r="SJF12" s="319"/>
      <c r="SJG12" s="319"/>
      <c r="SJH12" s="319"/>
      <c r="SJI12" s="319"/>
      <c r="SJJ12" s="319"/>
      <c r="SJK12" s="319"/>
      <c r="SJL12" s="319"/>
      <c r="SJM12" s="319"/>
      <c r="SJN12" s="319"/>
      <c r="SJO12" s="319"/>
      <c r="SJP12" s="319"/>
      <c r="SJQ12" s="319"/>
      <c r="SJR12" s="319"/>
      <c r="SJS12" s="319"/>
      <c r="SJT12" s="319"/>
      <c r="SJU12" s="319"/>
      <c r="SJV12" s="319"/>
      <c r="SJW12" s="319"/>
      <c r="SJX12" s="319"/>
      <c r="SJY12" s="319"/>
      <c r="SJZ12" s="319"/>
      <c r="SKA12" s="319"/>
      <c r="SKB12" s="319"/>
      <c r="SKC12" s="319"/>
      <c r="SKD12" s="319"/>
      <c r="SKE12" s="319"/>
      <c r="SKF12" s="319"/>
      <c r="SKG12" s="319"/>
      <c r="SKH12" s="319"/>
      <c r="SKI12" s="319"/>
      <c r="SKJ12" s="319"/>
      <c r="SKK12" s="319"/>
      <c r="SKL12" s="319"/>
      <c r="SKM12" s="319"/>
      <c r="SKN12" s="319"/>
      <c r="SKO12" s="319"/>
      <c r="SKP12" s="319"/>
      <c r="SKQ12" s="319"/>
      <c r="SKR12" s="319"/>
      <c r="SKS12" s="319"/>
      <c r="SKT12" s="319"/>
      <c r="SKU12" s="319"/>
      <c r="SKV12" s="319"/>
      <c r="SKW12" s="319"/>
      <c r="SKX12" s="319"/>
      <c r="SKY12" s="319"/>
      <c r="SKZ12" s="319"/>
      <c r="SLA12" s="319"/>
      <c r="SLB12" s="319"/>
      <c r="SLC12" s="319"/>
      <c r="SLD12" s="319"/>
      <c r="SLE12" s="319"/>
      <c r="SLF12" s="319"/>
      <c r="SLG12" s="319"/>
      <c r="SLH12" s="319"/>
      <c r="SLI12" s="319"/>
      <c r="SLJ12" s="319"/>
      <c r="SLK12" s="319"/>
      <c r="SLL12" s="319"/>
      <c r="SLM12" s="319"/>
      <c r="SLN12" s="319"/>
      <c r="SLO12" s="319"/>
      <c r="SLP12" s="319"/>
      <c r="SLQ12" s="319"/>
      <c r="SLR12" s="319"/>
      <c r="SLS12" s="319"/>
      <c r="SLT12" s="319"/>
      <c r="SLU12" s="319"/>
      <c r="SLV12" s="319"/>
      <c r="SLW12" s="319"/>
      <c r="SLX12" s="319"/>
      <c r="SLY12" s="319"/>
      <c r="SLZ12" s="319"/>
      <c r="SMA12" s="319"/>
      <c r="SMB12" s="319"/>
      <c r="SMC12" s="319"/>
      <c r="SMD12" s="319"/>
      <c r="SME12" s="319"/>
      <c r="SMF12" s="319"/>
      <c r="SMG12" s="319"/>
      <c r="SMH12" s="319"/>
      <c r="SMI12" s="319"/>
      <c r="SMJ12" s="319"/>
      <c r="SMK12" s="319"/>
      <c r="SML12" s="319"/>
      <c r="SMM12" s="319"/>
      <c r="SMN12" s="319"/>
      <c r="SMO12" s="319"/>
      <c r="SMP12" s="319"/>
      <c r="SMQ12" s="319"/>
      <c r="SMR12" s="319"/>
      <c r="SMS12" s="319"/>
      <c r="SMT12" s="319"/>
      <c r="SMU12" s="319"/>
      <c r="SMV12" s="319"/>
      <c r="SMW12" s="319"/>
      <c r="SMX12" s="319"/>
      <c r="SMY12" s="319"/>
      <c r="SMZ12" s="319"/>
      <c r="SNA12" s="319"/>
      <c r="SNB12" s="319"/>
      <c r="SNC12" s="319"/>
      <c r="SND12" s="319"/>
      <c r="SNE12" s="319"/>
      <c r="SNF12" s="319"/>
      <c r="SNG12" s="319"/>
      <c r="SNH12" s="319"/>
      <c r="SNI12" s="319"/>
      <c r="SNJ12" s="319"/>
      <c r="SNK12" s="319"/>
      <c r="SNL12" s="319"/>
      <c r="SNM12" s="319"/>
      <c r="SNN12" s="319"/>
      <c r="SNO12" s="319"/>
      <c r="SNP12" s="319"/>
      <c r="SNQ12" s="319"/>
      <c r="SNR12" s="319"/>
      <c r="SNS12" s="319"/>
      <c r="SNT12" s="319"/>
      <c r="SNU12" s="319"/>
      <c r="SNV12" s="319"/>
      <c r="SNW12" s="319"/>
      <c r="SNX12" s="319"/>
      <c r="SNY12" s="319"/>
      <c r="SNZ12" s="319"/>
      <c r="SOA12" s="319"/>
      <c r="SOB12" s="319"/>
      <c r="SOC12" s="319"/>
      <c r="SOD12" s="319"/>
      <c r="SOE12" s="319"/>
      <c r="SOF12" s="319"/>
      <c r="SOG12" s="319"/>
      <c r="SOH12" s="319"/>
      <c r="SOI12" s="319"/>
      <c r="SOJ12" s="319"/>
      <c r="SOK12" s="319"/>
      <c r="SOL12" s="319"/>
      <c r="SOM12" s="319"/>
      <c r="SON12" s="319"/>
      <c r="SOO12" s="319"/>
      <c r="SOP12" s="319"/>
      <c r="SOQ12" s="319"/>
      <c r="SOR12" s="319"/>
      <c r="SOS12" s="319"/>
      <c r="SOT12" s="319"/>
      <c r="SOU12" s="319"/>
      <c r="SOV12" s="319"/>
      <c r="SOW12" s="319"/>
      <c r="SOX12" s="319"/>
      <c r="SOY12" s="319"/>
      <c r="SOZ12" s="319"/>
      <c r="SPA12" s="319"/>
      <c r="SPB12" s="319"/>
      <c r="SPC12" s="319"/>
      <c r="SPD12" s="319"/>
      <c r="SPE12" s="319"/>
      <c r="SPF12" s="319"/>
      <c r="SPG12" s="319"/>
      <c r="SPH12" s="319"/>
      <c r="SPI12" s="319"/>
      <c r="SPJ12" s="319"/>
      <c r="SPK12" s="319"/>
      <c r="SPL12" s="319"/>
      <c r="SPM12" s="319"/>
      <c r="SPN12" s="319"/>
      <c r="SPO12" s="319"/>
      <c r="SPP12" s="319"/>
      <c r="SPQ12" s="319"/>
      <c r="SPR12" s="319"/>
      <c r="SPS12" s="319"/>
      <c r="SPT12" s="319"/>
      <c r="SPU12" s="319"/>
      <c r="SPV12" s="319"/>
      <c r="SPW12" s="319"/>
      <c r="SPX12" s="319"/>
      <c r="SPY12" s="319"/>
      <c r="SPZ12" s="319"/>
      <c r="SQA12" s="319"/>
      <c r="SQB12" s="319"/>
      <c r="SQC12" s="319"/>
      <c r="SQD12" s="319"/>
      <c r="SQE12" s="319"/>
      <c r="SQF12" s="319"/>
      <c r="SQG12" s="319"/>
      <c r="SQH12" s="319"/>
      <c r="SQI12" s="319"/>
      <c r="SQJ12" s="319"/>
      <c r="SQK12" s="319"/>
      <c r="SQL12" s="319"/>
      <c r="SQM12" s="319"/>
      <c r="SQN12" s="319"/>
      <c r="SQO12" s="319"/>
      <c r="SQP12" s="319"/>
      <c r="SQQ12" s="319"/>
      <c r="SQR12" s="319"/>
      <c r="SQS12" s="319"/>
      <c r="SQT12" s="319"/>
      <c r="SQU12" s="319"/>
      <c r="SQV12" s="319"/>
      <c r="SQW12" s="319"/>
      <c r="SQX12" s="319"/>
      <c r="SQY12" s="319"/>
      <c r="SQZ12" s="319"/>
      <c r="SRA12" s="319"/>
      <c r="SRB12" s="319"/>
      <c r="SRC12" s="319"/>
      <c r="SRD12" s="319"/>
      <c r="SRE12" s="319"/>
      <c r="SRF12" s="319"/>
      <c r="SRG12" s="319"/>
      <c r="SRH12" s="319"/>
      <c r="SRI12" s="319"/>
      <c r="SRJ12" s="319"/>
      <c r="SRK12" s="319"/>
      <c r="SRL12" s="319"/>
      <c r="SRM12" s="319"/>
      <c r="SRN12" s="319"/>
      <c r="SRO12" s="319"/>
      <c r="SRP12" s="319"/>
      <c r="SRQ12" s="319"/>
      <c r="SRR12" s="319"/>
      <c r="SRS12" s="319"/>
      <c r="SRT12" s="319"/>
      <c r="SRU12" s="319"/>
      <c r="SRV12" s="319"/>
      <c r="SRW12" s="319"/>
      <c r="SRX12" s="319"/>
      <c r="SRY12" s="319"/>
      <c r="SRZ12" s="319"/>
      <c r="SSA12" s="319"/>
      <c r="SSB12" s="319"/>
      <c r="SSC12" s="319"/>
      <c r="SSD12" s="319"/>
      <c r="SSE12" s="319"/>
      <c r="SSF12" s="319"/>
      <c r="SSG12" s="319"/>
      <c r="SSH12" s="319"/>
      <c r="SSI12" s="319"/>
      <c r="SSJ12" s="319"/>
      <c r="SSK12" s="319"/>
      <c r="SSL12" s="319"/>
      <c r="SSM12" s="319"/>
      <c r="SSN12" s="319"/>
      <c r="SSO12" s="319"/>
      <c r="SSP12" s="319"/>
      <c r="SSQ12" s="319"/>
      <c r="SSR12" s="319"/>
      <c r="SSS12" s="319"/>
      <c r="SST12" s="319"/>
      <c r="SSU12" s="319"/>
      <c r="SSV12" s="319"/>
      <c r="SSW12" s="319"/>
      <c r="SSX12" s="319"/>
      <c r="SSY12" s="319"/>
      <c r="SSZ12" s="319"/>
      <c r="STA12" s="319"/>
      <c r="STB12" s="319"/>
      <c r="STC12" s="319"/>
      <c r="STD12" s="319"/>
      <c r="STE12" s="319"/>
      <c r="STF12" s="319"/>
      <c r="STG12" s="319"/>
      <c r="STH12" s="319"/>
      <c r="STI12" s="319"/>
      <c r="STJ12" s="319"/>
      <c r="STK12" s="319"/>
      <c r="STL12" s="319"/>
      <c r="STM12" s="319"/>
      <c r="STN12" s="319"/>
      <c r="STO12" s="319"/>
      <c r="STP12" s="319"/>
      <c r="STQ12" s="319"/>
      <c r="STR12" s="319"/>
      <c r="STS12" s="319"/>
      <c r="STT12" s="319"/>
      <c r="STU12" s="319"/>
      <c r="STV12" s="319"/>
      <c r="STW12" s="319"/>
      <c r="STX12" s="319"/>
      <c r="STY12" s="319"/>
      <c r="STZ12" s="319"/>
      <c r="SUA12" s="319"/>
      <c r="SUB12" s="319"/>
      <c r="SUC12" s="319"/>
      <c r="SUD12" s="319"/>
      <c r="SUE12" s="319"/>
      <c r="SUF12" s="319"/>
      <c r="SUG12" s="319"/>
      <c r="SUH12" s="319"/>
      <c r="SUI12" s="319"/>
      <c r="SUJ12" s="319"/>
      <c r="SUK12" s="319"/>
      <c r="SUL12" s="319"/>
      <c r="SUM12" s="319"/>
      <c r="SUN12" s="319"/>
      <c r="SUO12" s="319"/>
      <c r="SUP12" s="319"/>
      <c r="SUQ12" s="319"/>
      <c r="SUR12" s="319"/>
      <c r="SUS12" s="319"/>
      <c r="SUT12" s="319"/>
      <c r="SUU12" s="319"/>
      <c r="SUV12" s="319"/>
      <c r="SUW12" s="319"/>
      <c r="SUX12" s="319"/>
      <c r="SUY12" s="319"/>
      <c r="SUZ12" s="319"/>
      <c r="SVA12" s="319"/>
      <c r="SVB12" s="319"/>
      <c r="SVC12" s="319"/>
      <c r="SVD12" s="319"/>
      <c r="SVE12" s="319"/>
      <c r="SVF12" s="319"/>
      <c r="SVG12" s="319"/>
      <c r="SVH12" s="319"/>
      <c r="SVI12" s="319"/>
      <c r="SVJ12" s="319"/>
      <c r="SVK12" s="319"/>
      <c r="SVL12" s="319"/>
      <c r="SVM12" s="319"/>
      <c r="SVN12" s="319"/>
      <c r="SVO12" s="319"/>
      <c r="SVP12" s="319"/>
      <c r="SVQ12" s="319"/>
      <c r="SVR12" s="319"/>
      <c r="SVS12" s="319"/>
      <c r="SVT12" s="319"/>
      <c r="SVU12" s="319"/>
      <c r="SVV12" s="319"/>
      <c r="SVW12" s="319"/>
      <c r="SVX12" s="319"/>
      <c r="SVY12" s="319"/>
      <c r="SVZ12" s="319"/>
      <c r="SWA12" s="319"/>
      <c r="SWB12" s="319"/>
      <c r="SWC12" s="319"/>
      <c r="SWD12" s="319"/>
      <c r="SWE12" s="319"/>
      <c r="SWF12" s="319"/>
      <c r="SWG12" s="319"/>
      <c r="SWH12" s="319"/>
      <c r="SWI12" s="319"/>
      <c r="SWJ12" s="319"/>
      <c r="SWK12" s="319"/>
      <c r="SWL12" s="319"/>
      <c r="SWM12" s="319"/>
      <c r="SWN12" s="319"/>
      <c r="SWO12" s="319"/>
      <c r="SWP12" s="319"/>
      <c r="SWQ12" s="319"/>
      <c r="SWR12" s="319"/>
      <c r="SWS12" s="319"/>
      <c r="SWT12" s="319"/>
      <c r="SWU12" s="319"/>
      <c r="SWV12" s="319"/>
      <c r="SWW12" s="319"/>
      <c r="SWX12" s="319"/>
      <c r="SWY12" s="319"/>
      <c r="SWZ12" s="319"/>
      <c r="SXA12" s="319"/>
      <c r="SXB12" s="319"/>
      <c r="SXC12" s="319"/>
      <c r="SXD12" s="319"/>
      <c r="SXE12" s="319"/>
      <c r="SXF12" s="319"/>
      <c r="SXG12" s="319"/>
      <c r="SXH12" s="319"/>
      <c r="SXI12" s="319"/>
      <c r="SXJ12" s="319"/>
      <c r="SXK12" s="319"/>
      <c r="SXL12" s="319"/>
      <c r="SXM12" s="319"/>
      <c r="SXN12" s="319"/>
      <c r="SXO12" s="319"/>
      <c r="SXP12" s="319"/>
      <c r="SXQ12" s="319"/>
      <c r="SXR12" s="319"/>
      <c r="SXS12" s="319"/>
      <c r="SXT12" s="319"/>
      <c r="SXU12" s="319"/>
      <c r="SXV12" s="319"/>
      <c r="SXW12" s="319"/>
      <c r="SXX12" s="319"/>
      <c r="SXY12" s="319"/>
      <c r="SXZ12" s="319"/>
      <c r="SYA12" s="319"/>
      <c r="SYB12" s="319"/>
      <c r="SYC12" s="319"/>
      <c r="SYD12" s="319"/>
      <c r="SYE12" s="319"/>
      <c r="SYF12" s="319"/>
      <c r="SYG12" s="319"/>
      <c r="SYH12" s="319"/>
      <c r="SYI12" s="319"/>
      <c r="SYJ12" s="319"/>
      <c r="SYK12" s="319"/>
      <c r="SYL12" s="319"/>
      <c r="SYM12" s="319"/>
      <c r="SYN12" s="319"/>
      <c r="SYO12" s="319"/>
      <c r="SYP12" s="319"/>
      <c r="SYQ12" s="319"/>
      <c r="SYR12" s="319"/>
      <c r="SYS12" s="319"/>
      <c r="SYT12" s="319"/>
      <c r="SYU12" s="319"/>
      <c r="SYV12" s="319"/>
      <c r="SYW12" s="319"/>
      <c r="SYX12" s="319"/>
      <c r="SYY12" s="319"/>
      <c r="SYZ12" s="319"/>
      <c r="SZA12" s="319"/>
      <c r="SZB12" s="319"/>
      <c r="SZC12" s="319"/>
      <c r="SZD12" s="319"/>
      <c r="SZE12" s="319"/>
      <c r="SZF12" s="319"/>
      <c r="SZG12" s="319"/>
      <c r="SZH12" s="319"/>
      <c r="SZI12" s="319"/>
      <c r="SZJ12" s="319"/>
      <c r="SZK12" s="319"/>
      <c r="SZL12" s="319"/>
      <c r="SZM12" s="319"/>
      <c r="SZN12" s="319"/>
      <c r="SZO12" s="319"/>
      <c r="SZP12" s="319"/>
      <c r="SZQ12" s="319"/>
      <c r="SZR12" s="319"/>
      <c r="SZS12" s="319"/>
      <c r="SZT12" s="319"/>
      <c r="SZU12" s="319"/>
      <c r="SZV12" s="319"/>
      <c r="SZW12" s="319"/>
      <c r="SZX12" s="319"/>
      <c r="SZY12" s="319"/>
      <c r="SZZ12" s="319"/>
      <c r="TAA12" s="319"/>
      <c r="TAB12" s="319"/>
      <c r="TAC12" s="319"/>
      <c r="TAD12" s="319"/>
      <c r="TAE12" s="319"/>
      <c r="TAF12" s="319"/>
      <c r="TAG12" s="319"/>
      <c r="TAH12" s="319"/>
      <c r="TAI12" s="319"/>
      <c r="TAJ12" s="319"/>
      <c r="TAK12" s="319"/>
      <c r="TAL12" s="319"/>
      <c r="TAM12" s="319"/>
      <c r="TAN12" s="319"/>
      <c r="TAO12" s="319"/>
      <c r="TAP12" s="319"/>
      <c r="TAQ12" s="319"/>
      <c r="TAR12" s="319"/>
      <c r="TAS12" s="319"/>
      <c r="TAT12" s="319"/>
      <c r="TAU12" s="319"/>
      <c r="TAV12" s="319"/>
      <c r="TAW12" s="319"/>
      <c r="TAX12" s="319"/>
      <c r="TAY12" s="319"/>
      <c r="TAZ12" s="319"/>
      <c r="TBA12" s="319"/>
      <c r="TBB12" s="319"/>
      <c r="TBC12" s="319"/>
      <c r="TBD12" s="319"/>
      <c r="TBE12" s="319"/>
      <c r="TBF12" s="319"/>
      <c r="TBG12" s="319"/>
      <c r="TBH12" s="319"/>
      <c r="TBI12" s="319"/>
      <c r="TBJ12" s="319"/>
      <c r="TBK12" s="319"/>
      <c r="TBL12" s="319"/>
      <c r="TBM12" s="319"/>
      <c r="TBN12" s="319"/>
      <c r="TBO12" s="319"/>
      <c r="TBP12" s="319"/>
      <c r="TBQ12" s="319"/>
      <c r="TBR12" s="319"/>
      <c r="TBS12" s="319"/>
      <c r="TBT12" s="319"/>
      <c r="TBU12" s="319"/>
      <c r="TBV12" s="319"/>
      <c r="TBW12" s="319"/>
      <c r="TBX12" s="319"/>
      <c r="TBY12" s="319"/>
      <c r="TBZ12" s="319"/>
      <c r="TCA12" s="319"/>
      <c r="TCB12" s="319"/>
      <c r="TCC12" s="319"/>
      <c r="TCD12" s="319"/>
      <c r="TCE12" s="319"/>
      <c r="TCF12" s="319"/>
      <c r="TCG12" s="319"/>
      <c r="TCH12" s="319"/>
      <c r="TCI12" s="319"/>
      <c r="TCJ12" s="319"/>
      <c r="TCK12" s="319"/>
      <c r="TCL12" s="319"/>
      <c r="TCM12" s="319"/>
      <c r="TCN12" s="319"/>
      <c r="TCO12" s="319"/>
      <c r="TCP12" s="319"/>
      <c r="TCQ12" s="319"/>
      <c r="TCR12" s="319"/>
      <c r="TCS12" s="319"/>
      <c r="TCT12" s="319"/>
      <c r="TCU12" s="319"/>
      <c r="TCV12" s="319"/>
      <c r="TCW12" s="319"/>
      <c r="TCX12" s="319"/>
      <c r="TCY12" s="319"/>
      <c r="TCZ12" s="319"/>
      <c r="TDA12" s="319"/>
      <c r="TDB12" s="319"/>
      <c r="TDC12" s="319"/>
      <c r="TDD12" s="319"/>
      <c r="TDE12" s="319"/>
      <c r="TDF12" s="319"/>
      <c r="TDG12" s="319"/>
      <c r="TDH12" s="319"/>
      <c r="TDI12" s="319"/>
      <c r="TDJ12" s="319"/>
      <c r="TDK12" s="319"/>
      <c r="TDL12" s="319"/>
      <c r="TDM12" s="319"/>
      <c r="TDN12" s="319"/>
      <c r="TDO12" s="319"/>
      <c r="TDP12" s="319"/>
      <c r="TDQ12" s="319"/>
      <c r="TDR12" s="319"/>
      <c r="TDS12" s="319"/>
      <c r="TDT12" s="319"/>
      <c r="TDU12" s="319"/>
      <c r="TDV12" s="319"/>
      <c r="TDW12" s="319"/>
      <c r="TDX12" s="319"/>
      <c r="TDY12" s="319"/>
      <c r="TDZ12" s="319"/>
      <c r="TEA12" s="319"/>
      <c r="TEB12" s="319"/>
      <c r="TEC12" s="319"/>
      <c r="TED12" s="319"/>
      <c r="TEE12" s="319"/>
      <c r="TEF12" s="319"/>
      <c r="TEG12" s="319"/>
      <c r="TEH12" s="319"/>
      <c r="TEI12" s="319"/>
      <c r="TEJ12" s="319"/>
      <c r="TEK12" s="319"/>
      <c r="TEL12" s="319"/>
      <c r="TEM12" s="319"/>
      <c r="TEN12" s="319"/>
      <c r="TEO12" s="319"/>
      <c r="TEP12" s="319"/>
      <c r="TEQ12" s="319"/>
      <c r="TER12" s="319"/>
      <c r="TES12" s="319"/>
      <c r="TET12" s="319"/>
      <c r="TEU12" s="319"/>
      <c r="TEV12" s="319"/>
      <c r="TEW12" s="319"/>
      <c r="TEX12" s="319"/>
      <c r="TEY12" s="319"/>
      <c r="TEZ12" s="319"/>
      <c r="TFA12" s="319"/>
      <c r="TFB12" s="319"/>
      <c r="TFC12" s="319"/>
      <c r="TFD12" s="319"/>
      <c r="TFE12" s="319"/>
      <c r="TFF12" s="319"/>
      <c r="TFG12" s="319"/>
      <c r="TFH12" s="319"/>
      <c r="TFI12" s="319"/>
      <c r="TFJ12" s="319"/>
      <c r="TFK12" s="319"/>
      <c r="TFL12" s="319"/>
      <c r="TFM12" s="319"/>
      <c r="TFN12" s="319"/>
      <c r="TFO12" s="319"/>
      <c r="TFP12" s="319"/>
      <c r="TFQ12" s="319"/>
      <c r="TFR12" s="319"/>
      <c r="TFS12" s="319"/>
      <c r="TFT12" s="319"/>
      <c r="TFU12" s="319"/>
      <c r="TFV12" s="319"/>
      <c r="TFW12" s="319"/>
      <c r="TFX12" s="319"/>
      <c r="TFY12" s="319"/>
      <c r="TFZ12" s="319"/>
      <c r="TGA12" s="319"/>
      <c r="TGB12" s="319"/>
      <c r="TGC12" s="319"/>
      <c r="TGD12" s="319"/>
      <c r="TGE12" s="319"/>
      <c r="TGF12" s="319"/>
      <c r="TGG12" s="319"/>
      <c r="TGH12" s="319"/>
      <c r="TGI12" s="319"/>
      <c r="TGJ12" s="319"/>
      <c r="TGK12" s="319"/>
      <c r="TGL12" s="319"/>
      <c r="TGM12" s="319"/>
      <c r="TGN12" s="319"/>
      <c r="TGO12" s="319"/>
      <c r="TGP12" s="319"/>
      <c r="TGQ12" s="319"/>
      <c r="TGR12" s="319"/>
      <c r="TGS12" s="319"/>
      <c r="TGT12" s="319"/>
      <c r="TGU12" s="319"/>
      <c r="TGV12" s="319"/>
      <c r="TGW12" s="319"/>
      <c r="TGX12" s="319"/>
      <c r="TGY12" s="319"/>
      <c r="TGZ12" s="319"/>
      <c r="THA12" s="319"/>
      <c r="THB12" s="319"/>
      <c r="THC12" s="319"/>
      <c r="THD12" s="319"/>
      <c r="THE12" s="319"/>
      <c r="THF12" s="319"/>
      <c r="THG12" s="319"/>
      <c r="THH12" s="319"/>
      <c r="THI12" s="319"/>
      <c r="THJ12" s="319"/>
      <c r="THK12" s="319"/>
      <c r="THL12" s="319"/>
      <c r="THM12" s="319"/>
      <c r="THN12" s="319"/>
      <c r="THO12" s="319"/>
      <c r="THP12" s="319"/>
      <c r="THQ12" s="319"/>
      <c r="THR12" s="319"/>
      <c r="THS12" s="319"/>
      <c r="THT12" s="319"/>
      <c r="THU12" s="319"/>
      <c r="THV12" s="319"/>
      <c r="THW12" s="319"/>
      <c r="THX12" s="319"/>
      <c r="THY12" s="319"/>
      <c r="THZ12" s="319"/>
      <c r="TIA12" s="319"/>
      <c r="TIB12" s="319"/>
      <c r="TIC12" s="319"/>
      <c r="TID12" s="319"/>
      <c r="TIE12" s="319"/>
      <c r="TIF12" s="319"/>
      <c r="TIG12" s="319"/>
      <c r="TIH12" s="319"/>
      <c r="TII12" s="319"/>
      <c r="TIJ12" s="319"/>
      <c r="TIK12" s="319"/>
      <c r="TIL12" s="319"/>
      <c r="TIM12" s="319"/>
      <c r="TIN12" s="319"/>
      <c r="TIO12" s="319"/>
      <c r="TIP12" s="319"/>
      <c r="TIQ12" s="319"/>
      <c r="TIR12" s="319"/>
      <c r="TIS12" s="319"/>
      <c r="TIT12" s="319"/>
      <c r="TIU12" s="319"/>
      <c r="TIV12" s="319"/>
      <c r="TIW12" s="319"/>
      <c r="TIX12" s="319"/>
      <c r="TIY12" s="319"/>
      <c r="TIZ12" s="319"/>
      <c r="TJA12" s="319"/>
      <c r="TJB12" s="319"/>
      <c r="TJC12" s="319"/>
      <c r="TJD12" s="319"/>
      <c r="TJE12" s="319"/>
      <c r="TJF12" s="319"/>
      <c r="TJG12" s="319"/>
      <c r="TJH12" s="319"/>
      <c r="TJI12" s="319"/>
      <c r="TJJ12" s="319"/>
      <c r="TJK12" s="319"/>
      <c r="TJL12" s="319"/>
      <c r="TJM12" s="319"/>
      <c r="TJN12" s="319"/>
      <c r="TJO12" s="319"/>
      <c r="TJP12" s="319"/>
      <c r="TJQ12" s="319"/>
      <c r="TJR12" s="319"/>
      <c r="TJS12" s="319"/>
      <c r="TJT12" s="319"/>
      <c r="TJU12" s="319"/>
      <c r="TJV12" s="319"/>
      <c r="TJW12" s="319"/>
      <c r="TJX12" s="319"/>
      <c r="TJY12" s="319"/>
      <c r="TJZ12" s="319"/>
      <c r="TKA12" s="319"/>
      <c r="TKB12" s="319"/>
      <c r="TKC12" s="319"/>
      <c r="TKD12" s="319"/>
      <c r="TKE12" s="319"/>
      <c r="TKF12" s="319"/>
      <c r="TKG12" s="319"/>
      <c r="TKH12" s="319"/>
      <c r="TKI12" s="319"/>
      <c r="TKJ12" s="319"/>
      <c r="TKK12" s="319"/>
      <c r="TKL12" s="319"/>
      <c r="TKM12" s="319"/>
      <c r="TKN12" s="319"/>
      <c r="TKO12" s="319"/>
      <c r="TKP12" s="319"/>
      <c r="TKQ12" s="319"/>
      <c r="TKR12" s="319"/>
      <c r="TKS12" s="319"/>
      <c r="TKT12" s="319"/>
      <c r="TKU12" s="319"/>
      <c r="TKV12" s="319"/>
      <c r="TKW12" s="319"/>
      <c r="TKX12" s="319"/>
      <c r="TKY12" s="319"/>
      <c r="TKZ12" s="319"/>
      <c r="TLA12" s="319"/>
      <c r="TLB12" s="319"/>
      <c r="TLC12" s="319"/>
      <c r="TLD12" s="319"/>
      <c r="TLE12" s="319"/>
      <c r="TLF12" s="319"/>
      <c r="TLG12" s="319"/>
      <c r="TLH12" s="319"/>
      <c r="TLI12" s="319"/>
      <c r="TLJ12" s="319"/>
      <c r="TLK12" s="319"/>
      <c r="TLL12" s="319"/>
      <c r="TLM12" s="319"/>
      <c r="TLN12" s="319"/>
      <c r="TLO12" s="319"/>
      <c r="TLP12" s="319"/>
      <c r="TLQ12" s="319"/>
      <c r="TLR12" s="319"/>
      <c r="TLS12" s="319"/>
      <c r="TLT12" s="319"/>
      <c r="TLU12" s="319"/>
      <c r="TLV12" s="319"/>
      <c r="TLW12" s="319"/>
      <c r="TLX12" s="319"/>
      <c r="TLY12" s="319"/>
      <c r="TLZ12" s="319"/>
      <c r="TMA12" s="319"/>
      <c r="TMB12" s="319"/>
      <c r="TMC12" s="319"/>
      <c r="TMD12" s="319"/>
      <c r="TME12" s="319"/>
      <c r="TMF12" s="319"/>
      <c r="TMG12" s="319"/>
      <c r="TMH12" s="319"/>
      <c r="TMI12" s="319"/>
      <c r="TMJ12" s="319"/>
      <c r="TMK12" s="319"/>
      <c r="TML12" s="319"/>
      <c r="TMM12" s="319"/>
      <c r="TMN12" s="319"/>
      <c r="TMO12" s="319"/>
      <c r="TMP12" s="319"/>
      <c r="TMQ12" s="319"/>
      <c r="TMR12" s="319"/>
      <c r="TMS12" s="319"/>
      <c r="TMT12" s="319"/>
      <c r="TMU12" s="319"/>
      <c r="TMV12" s="319"/>
      <c r="TMW12" s="319"/>
      <c r="TMX12" s="319"/>
      <c r="TMY12" s="319"/>
      <c r="TMZ12" s="319"/>
      <c r="TNA12" s="319"/>
      <c r="TNB12" s="319"/>
      <c r="TNC12" s="319"/>
      <c r="TND12" s="319"/>
      <c r="TNE12" s="319"/>
      <c r="TNF12" s="319"/>
      <c r="TNG12" s="319"/>
      <c r="TNH12" s="319"/>
      <c r="TNI12" s="319"/>
      <c r="TNJ12" s="319"/>
      <c r="TNK12" s="319"/>
      <c r="TNL12" s="319"/>
      <c r="TNM12" s="319"/>
      <c r="TNN12" s="319"/>
      <c r="TNO12" s="319"/>
      <c r="TNP12" s="319"/>
      <c r="TNQ12" s="319"/>
      <c r="TNR12" s="319"/>
      <c r="TNS12" s="319"/>
      <c r="TNT12" s="319"/>
      <c r="TNU12" s="319"/>
      <c r="TNV12" s="319"/>
      <c r="TNW12" s="319"/>
      <c r="TNX12" s="319"/>
      <c r="TNY12" s="319"/>
      <c r="TNZ12" s="319"/>
      <c r="TOA12" s="319"/>
      <c r="TOB12" s="319"/>
      <c r="TOC12" s="319"/>
      <c r="TOD12" s="319"/>
      <c r="TOE12" s="319"/>
      <c r="TOF12" s="319"/>
      <c r="TOG12" s="319"/>
      <c r="TOH12" s="319"/>
      <c r="TOI12" s="319"/>
      <c r="TOJ12" s="319"/>
      <c r="TOK12" s="319"/>
      <c r="TOL12" s="319"/>
      <c r="TOM12" s="319"/>
      <c r="TON12" s="319"/>
      <c r="TOO12" s="319"/>
      <c r="TOP12" s="319"/>
      <c r="TOQ12" s="319"/>
      <c r="TOR12" s="319"/>
      <c r="TOS12" s="319"/>
      <c r="TOT12" s="319"/>
      <c r="TOU12" s="319"/>
      <c r="TOV12" s="319"/>
      <c r="TOW12" s="319"/>
      <c r="TOX12" s="319"/>
      <c r="TOY12" s="319"/>
      <c r="TOZ12" s="319"/>
      <c r="TPA12" s="319"/>
      <c r="TPB12" s="319"/>
      <c r="TPC12" s="319"/>
      <c r="TPD12" s="319"/>
      <c r="TPE12" s="319"/>
      <c r="TPF12" s="319"/>
      <c r="TPG12" s="319"/>
      <c r="TPH12" s="319"/>
      <c r="TPI12" s="319"/>
      <c r="TPJ12" s="319"/>
      <c r="TPK12" s="319"/>
      <c r="TPL12" s="319"/>
      <c r="TPM12" s="319"/>
      <c r="TPN12" s="319"/>
      <c r="TPO12" s="319"/>
      <c r="TPP12" s="319"/>
      <c r="TPQ12" s="319"/>
      <c r="TPR12" s="319"/>
      <c r="TPS12" s="319"/>
      <c r="TPT12" s="319"/>
      <c r="TPU12" s="319"/>
      <c r="TPV12" s="319"/>
      <c r="TPW12" s="319"/>
      <c r="TPX12" s="319"/>
      <c r="TPY12" s="319"/>
      <c r="TPZ12" s="319"/>
      <c r="TQA12" s="319"/>
      <c r="TQB12" s="319"/>
      <c r="TQC12" s="319"/>
      <c r="TQD12" s="319"/>
      <c r="TQE12" s="319"/>
      <c r="TQF12" s="319"/>
      <c r="TQG12" s="319"/>
      <c r="TQH12" s="319"/>
      <c r="TQI12" s="319"/>
      <c r="TQJ12" s="319"/>
      <c r="TQK12" s="319"/>
      <c r="TQL12" s="319"/>
      <c r="TQM12" s="319"/>
      <c r="TQN12" s="319"/>
      <c r="TQO12" s="319"/>
      <c r="TQP12" s="319"/>
      <c r="TQQ12" s="319"/>
      <c r="TQR12" s="319"/>
      <c r="TQS12" s="319"/>
      <c r="TQT12" s="319"/>
      <c r="TQU12" s="319"/>
      <c r="TQV12" s="319"/>
      <c r="TQW12" s="319"/>
      <c r="TQX12" s="319"/>
      <c r="TQY12" s="319"/>
      <c r="TQZ12" s="319"/>
      <c r="TRA12" s="319"/>
      <c r="TRB12" s="319"/>
      <c r="TRC12" s="319"/>
      <c r="TRD12" s="319"/>
      <c r="TRE12" s="319"/>
      <c r="TRF12" s="319"/>
      <c r="TRG12" s="319"/>
      <c r="TRH12" s="319"/>
      <c r="TRI12" s="319"/>
      <c r="TRJ12" s="319"/>
      <c r="TRK12" s="319"/>
      <c r="TRL12" s="319"/>
      <c r="TRM12" s="319"/>
      <c r="TRN12" s="319"/>
      <c r="TRO12" s="319"/>
      <c r="TRP12" s="319"/>
      <c r="TRQ12" s="319"/>
      <c r="TRR12" s="319"/>
      <c r="TRS12" s="319"/>
      <c r="TRT12" s="319"/>
      <c r="TRU12" s="319"/>
      <c r="TRV12" s="319"/>
      <c r="TRW12" s="319"/>
      <c r="TRX12" s="319"/>
      <c r="TRY12" s="319"/>
      <c r="TRZ12" s="319"/>
      <c r="TSA12" s="319"/>
      <c r="TSB12" s="319"/>
      <c r="TSC12" s="319"/>
      <c r="TSD12" s="319"/>
      <c r="TSE12" s="319"/>
      <c r="TSF12" s="319"/>
      <c r="TSG12" s="319"/>
      <c r="TSH12" s="319"/>
      <c r="TSI12" s="319"/>
      <c r="TSJ12" s="319"/>
      <c r="TSK12" s="319"/>
      <c r="TSL12" s="319"/>
      <c r="TSM12" s="319"/>
      <c r="TSN12" s="319"/>
      <c r="TSO12" s="319"/>
      <c r="TSP12" s="319"/>
      <c r="TSQ12" s="319"/>
      <c r="TSR12" s="319"/>
      <c r="TSS12" s="319"/>
      <c r="TST12" s="319"/>
      <c r="TSU12" s="319"/>
      <c r="TSV12" s="319"/>
      <c r="TSW12" s="319"/>
      <c r="TSX12" s="319"/>
      <c r="TSY12" s="319"/>
      <c r="TSZ12" s="319"/>
      <c r="TTA12" s="319"/>
      <c r="TTB12" s="319"/>
      <c r="TTC12" s="319"/>
      <c r="TTD12" s="319"/>
      <c r="TTE12" s="319"/>
      <c r="TTF12" s="319"/>
      <c r="TTG12" s="319"/>
      <c r="TTH12" s="319"/>
      <c r="TTI12" s="319"/>
      <c r="TTJ12" s="319"/>
      <c r="TTK12" s="319"/>
      <c r="TTL12" s="319"/>
      <c r="TTM12" s="319"/>
      <c r="TTN12" s="319"/>
      <c r="TTO12" s="319"/>
      <c r="TTP12" s="319"/>
      <c r="TTQ12" s="319"/>
      <c r="TTR12" s="319"/>
      <c r="TTS12" s="319"/>
      <c r="TTT12" s="319"/>
      <c r="TTU12" s="319"/>
      <c r="TTV12" s="319"/>
      <c r="TTW12" s="319"/>
      <c r="TTX12" s="319"/>
      <c r="TTY12" s="319"/>
      <c r="TTZ12" s="319"/>
      <c r="TUA12" s="319"/>
      <c r="TUB12" s="319"/>
      <c r="TUC12" s="319"/>
      <c r="TUD12" s="319"/>
      <c r="TUE12" s="319"/>
      <c r="TUF12" s="319"/>
      <c r="TUG12" s="319"/>
      <c r="TUH12" s="319"/>
      <c r="TUI12" s="319"/>
      <c r="TUJ12" s="319"/>
      <c r="TUK12" s="319"/>
      <c r="TUL12" s="319"/>
      <c r="TUM12" s="319"/>
      <c r="TUN12" s="319"/>
      <c r="TUO12" s="319"/>
      <c r="TUP12" s="319"/>
      <c r="TUQ12" s="319"/>
      <c r="TUR12" s="319"/>
      <c r="TUS12" s="319"/>
      <c r="TUT12" s="319"/>
      <c r="TUU12" s="319"/>
      <c r="TUV12" s="319"/>
      <c r="TUW12" s="319"/>
      <c r="TUX12" s="319"/>
      <c r="TUY12" s="319"/>
      <c r="TUZ12" s="319"/>
      <c r="TVA12" s="319"/>
      <c r="TVB12" s="319"/>
      <c r="TVC12" s="319"/>
      <c r="TVD12" s="319"/>
      <c r="TVE12" s="319"/>
      <c r="TVF12" s="319"/>
      <c r="TVG12" s="319"/>
      <c r="TVH12" s="319"/>
      <c r="TVI12" s="319"/>
      <c r="TVJ12" s="319"/>
      <c r="TVK12" s="319"/>
      <c r="TVL12" s="319"/>
      <c r="TVM12" s="319"/>
      <c r="TVN12" s="319"/>
      <c r="TVO12" s="319"/>
      <c r="TVP12" s="319"/>
      <c r="TVQ12" s="319"/>
      <c r="TVR12" s="319"/>
      <c r="TVS12" s="319"/>
      <c r="TVT12" s="319"/>
      <c r="TVU12" s="319"/>
      <c r="TVV12" s="319"/>
      <c r="TVW12" s="319"/>
      <c r="TVX12" s="319"/>
      <c r="TVY12" s="319"/>
      <c r="TVZ12" s="319"/>
      <c r="TWA12" s="319"/>
      <c r="TWB12" s="319"/>
      <c r="TWC12" s="319"/>
      <c r="TWD12" s="319"/>
      <c r="TWE12" s="319"/>
      <c r="TWF12" s="319"/>
      <c r="TWG12" s="319"/>
      <c r="TWH12" s="319"/>
      <c r="TWI12" s="319"/>
      <c r="TWJ12" s="319"/>
      <c r="TWK12" s="319"/>
      <c r="TWL12" s="319"/>
      <c r="TWM12" s="319"/>
      <c r="TWN12" s="319"/>
      <c r="TWO12" s="319"/>
      <c r="TWP12" s="319"/>
      <c r="TWQ12" s="319"/>
      <c r="TWR12" s="319"/>
      <c r="TWS12" s="319"/>
      <c r="TWT12" s="319"/>
      <c r="TWU12" s="319"/>
      <c r="TWV12" s="319"/>
      <c r="TWW12" s="319"/>
      <c r="TWX12" s="319"/>
      <c r="TWY12" s="319"/>
      <c r="TWZ12" s="319"/>
      <c r="TXA12" s="319"/>
      <c r="TXB12" s="319"/>
      <c r="TXC12" s="319"/>
      <c r="TXD12" s="319"/>
      <c r="TXE12" s="319"/>
      <c r="TXF12" s="319"/>
      <c r="TXG12" s="319"/>
      <c r="TXH12" s="319"/>
      <c r="TXI12" s="319"/>
      <c r="TXJ12" s="319"/>
      <c r="TXK12" s="319"/>
      <c r="TXL12" s="319"/>
      <c r="TXM12" s="319"/>
      <c r="TXN12" s="319"/>
      <c r="TXO12" s="319"/>
      <c r="TXP12" s="319"/>
      <c r="TXQ12" s="319"/>
      <c r="TXR12" s="319"/>
      <c r="TXS12" s="319"/>
      <c r="TXT12" s="319"/>
      <c r="TXU12" s="319"/>
      <c r="TXV12" s="319"/>
      <c r="TXW12" s="319"/>
      <c r="TXX12" s="319"/>
      <c r="TXY12" s="319"/>
      <c r="TXZ12" s="319"/>
      <c r="TYA12" s="319"/>
      <c r="TYB12" s="319"/>
      <c r="TYC12" s="319"/>
      <c r="TYD12" s="319"/>
      <c r="TYE12" s="319"/>
      <c r="TYF12" s="319"/>
      <c r="TYG12" s="319"/>
      <c r="TYH12" s="319"/>
      <c r="TYI12" s="319"/>
      <c r="TYJ12" s="319"/>
      <c r="TYK12" s="319"/>
      <c r="TYL12" s="319"/>
      <c r="TYM12" s="319"/>
      <c r="TYN12" s="319"/>
      <c r="TYO12" s="319"/>
      <c r="TYP12" s="319"/>
      <c r="TYQ12" s="319"/>
      <c r="TYR12" s="319"/>
      <c r="TYS12" s="319"/>
      <c r="TYT12" s="319"/>
      <c r="TYU12" s="319"/>
      <c r="TYV12" s="319"/>
      <c r="TYW12" s="319"/>
      <c r="TYX12" s="319"/>
      <c r="TYY12" s="319"/>
      <c r="TYZ12" s="319"/>
      <c r="TZA12" s="319"/>
      <c r="TZB12" s="319"/>
      <c r="TZC12" s="319"/>
      <c r="TZD12" s="319"/>
      <c r="TZE12" s="319"/>
      <c r="TZF12" s="319"/>
      <c r="TZG12" s="319"/>
      <c r="TZH12" s="319"/>
      <c r="TZI12" s="319"/>
      <c r="TZJ12" s="319"/>
      <c r="TZK12" s="319"/>
      <c r="TZL12" s="319"/>
      <c r="TZM12" s="319"/>
      <c r="TZN12" s="319"/>
      <c r="TZO12" s="319"/>
      <c r="TZP12" s="319"/>
      <c r="TZQ12" s="319"/>
      <c r="TZR12" s="319"/>
      <c r="TZS12" s="319"/>
      <c r="TZT12" s="319"/>
      <c r="TZU12" s="319"/>
      <c r="TZV12" s="319"/>
      <c r="TZW12" s="319"/>
      <c r="TZX12" s="319"/>
      <c r="TZY12" s="319"/>
      <c r="TZZ12" s="319"/>
      <c r="UAA12" s="319"/>
      <c r="UAB12" s="319"/>
      <c r="UAC12" s="319"/>
      <c r="UAD12" s="319"/>
      <c r="UAE12" s="319"/>
      <c r="UAF12" s="319"/>
      <c r="UAG12" s="319"/>
      <c r="UAH12" s="319"/>
      <c r="UAI12" s="319"/>
      <c r="UAJ12" s="319"/>
      <c r="UAK12" s="319"/>
      <c r="UAL12" s="319"/>
      <c r="UAM12" s="319"/>
      <c r="UAN12" s="319"/>
      <c r="UAO12" s="319"/>
      <c r="UAP12" s="319"/>
      <c r="UAQ12" s="319"/>
      <c r="UAR12" s="319"/>
      <c r="UAS12" s="319"/>
      <c r="UAT12" s="319"/>
      <c r="UAU12" s="319"/>
      <c r="UAV12" s="319"/>
      <c r="UAW12" s="319"/>
      <c r="UAX12" s="319"/>
      <c r="UAY12" s="319"/>
      <c r="UAZ12" s="319"/>
      <c r="UBA12" s="319"/>
      <c r="UBB12" s="319"/>
      <c r="UBC12" s="319"/>
      <c r="UBD12" s="319"/>
      <c r="UBE12" s="319"/>
      <c r="UBF12" s="319"/>
      <c r="UBG12" s="319"/>
      <c r="UBH12" s="319"/>
      <c r="UBI12" s="319"/>
      <c r="UBJ12" s="319"/>
      <c r="UBK12" s="319"/>
      <c r="UBL12" s="319"/>
      <c r="UBM12" s="319"/>
      <c r="UBN12" s="319"/>
      <c r="UBO12" s="319"/>
      <c r="UBP12" s="319"/>
      <c r="UBQ12" s="319"/>
      <c r="UBR12" s="319"/>
      <c r="UBS12" s="319"/>
      <c r="UBT12" s="319"/>
      <c r="UBU12" s="319"/>
      <c r="UBV12" s="319"/>
      <c r="UBW12" s="319"/>
      <c r="UBX12" s="319"/>
      <c r="UBY12" s="319"/>
      <c r="UBZ12" s="319"/>
      <c r="UCA12" s="319"/>
      <c r="UCB12" s="319"/>
      <c r="UCC12" s="319"/>
      <c r="UCD12" s="319"/>
      <c r="UCE12" s="319"/>
      <c r="UCF12" s="319"/>
      <c r="UCG12" s="319"/>
      <c r="UCH12" s="319"/>
      <c r="UCI12" s="319"/>
      <c r="UCJ12" s="319"/>
      <c r="UCK12" s="319"/>
      <c r="UCL12" s="319"/>
      <c r="UCM12" s="319"/>
      <c r="UCN12" s="319"/>
      <c r="UCO12" s="319"/>
      <c r="UCP12" s="319"/>
      <c r="UCQ12" s="319"/>
      <c r="UCR12" s="319"/>
      <c r="UCS12" s="319"/>
      <c r="UCT12" s="319"/>
      <c r="UCU12" s="319"/>
      <c r="UCV12" s="319"/>
      <c r="UCW12" s="319"/>
      <c r="UCX12" s="319"/>
      <c r="UCY12" s="319"/>
      <c r="UCZ12" s="319"/>
      <c r="UDA12" s="319"/>
      <c r="UDB12" s="319"/>
      <c r="UDC12" s="319"/>
      <c r="UDD12" s="319"/>
      <c r="UDE12" s="319"/>
      <c r="UDF12" s="319"/>
      <c r="UDG12" s="319"/>
      <c r="UDH12" s="319"/>
      <c r="UDI12" s="319"/>
      <c r="UDJ12" s="319"/>
      <c r="UDK12" s="319"/>
      <c r="UDL12" s="319"/>
      <c r="UDM12" s="319"/>
      <c r="UDN12" s="319"/>
      <c r="UDO12" s="319"/>
      <c r="UDP12" s="319"/>
      <c r="UDQ12" s="319"/>
      <c r="UDR12" s="319"/>
      <c r="UDS12" s="319"/>
      <c r="UDT12" s="319"/>
      <c r="UDU12" s="319"/>
      <c r="UDV12" s="319"/>
      <c r="UDW12" s="319"/>
      <c r="UDX12" s="319"/>
      <c r="UDY12" s="319"/>
      <c r="UDZ12" s="319"/>
      <c r="UEA12" s="319"/>
      <c r="UEB12" s="319"/>
      <c r="UEC12" s="319"/>
      <c r="UED12" s="319"/>
      <c r="UEE12" s="319"/>
      <c r="UEF12" s="319"/>
      <c r="UEG12" s="319"/>
      <c r="UEH12" s="319"/>
      <c r="UEI12" s="319"/>
      <c r="UEJ12" s="319"/>
      <c r="UEK12" s="319"/>
      <c r="UEL12" s="319"/>
      <c r="UEM12" s="319"/>
      <c r="UEN12" s="319"/>
      <c r="UEO12" s="319"/>
      <c r="UEP12" s="319"/>
      <c r="UEQ12" s="319"/>
      <c r="UER12" s="319"/>
      <c r="UES12" s="319"/>
      <c r="UET12" s="319"/>
      <c r="UEU12" s="319"/>
      <c r="UEV12" s="319"/>
      <c r="UEW12" s="319"/>
      <c r="UEX12" s="319"/>
      <c r="UEY12" s="319"/>
      <c r="UEZ12" s="319"/>
      <c r="UFA12" s="319"/>
      <c r="UFB12" s="319"/>
      <c r="UFC12" s="319"/>
      <c r="UFD12" s="319"/>
      <c r="UFE12" s="319"/>
      <c r="UFF12" s="319"/>
      <c r="UFG12" s="319"/>
      <c r="UFH12" s="319"/>
      <c r="UFI12" s="319"/>
      <c r="UFJ12" s="319"/>
      <c r="UFK12" s="319"/>
      <c r="UFL12" s="319"/>
      <c r="UFM12" s="319"/>
      <c r="UFN12" s="319"/>
      <c r="UFO12" s="319"/>
      <c r="UFP12" s="319"/>
      <c r="UFQ12" s="319"/>
      <c r="UFR12" s="319"/>
      <c r="UFS12" s="319"/>
      <c r="UFT12" s="319"/>
      <c r="UFU12" s="319"/>
      <c r="UFV12" s="319"/>
      <c r="UFW12" s="319"/>
      <c r="UFX12" s="319"/>
      <c r="UFY12" s="319"/>
      <c r="UFZ12" s="319"/>
      <c r="UGA12" s="319"/>
      <c r="UGB12" s="319"/>
      <c r="UGC12" s="319"/>
      <c r="UGD12" s="319"/>
      <c r="UGE12" s="319"/>
      <c r="UGF12" s="319"/>
      <c r="UGG12" s="319"/>
      <c r="UGH12" s="319"/>
      <c r="UGI12" s="319"/>
      <c r="UGJ12" s="319"/>
      <c r="UGK12" s="319"/>
      <c r="UGL12" s="319"/>
      <c r="UGM12" s="319"/>
      <c r="UGN12" s="319"/>
      <c r="UGO12" s="319"/>
      <c r="UGP12" s="319"/>
      <c r="UGQ12" s="319"/>
      <c r="UGR12" s="319"/>
      <c r="UGS12" s="319"/>
      <c r="UGT12" s="319"/>
      <c r="UGU12" s="319"/>
      <c r="UGV12" s="319"/>
      <c r="UGW12" s="319"/>
      <c r="UGX12" s="319"/>
      <c r="UGY12" s="319"/>
      <c r="UGZ12" s="319"/>
      <c r="UHA12" s="319"/>
      <c r="UHB12" s="319"/>
      <c r="UHC12" s="319"/>
      <c r="UHD12" s="319"/>
      <c r="UHE12" s="319"/>
      <c r="UHF12" s="319"/>
      <c r="UHG12" s="319"/>
      <c r="UHH12" s="319"/>
      <c r="UHI12" s="319"/>
      <c r="UHJ12" s="319"/>
      <c r="UHK12" s="319"/>
      <c r="UHL12" s="319"/>
      <c r="UHM12" s="319"/>
      <c r="UHN12" s="319"/>
      <c r="UHO12" s="319"/>
      <c r="UHP12" s="319"/>
      <c r="UHQ12" s="319"/>
      <c r="UHR12" s="319"/>
      <c r="UHS12" s="319"/>
      <c r="UHT12" s="319"/>
      <c r="UHU12" s="319"/>
      <c r="UHV12" s="319"/>
      <c r="UHW12" s="319"/>
      <c r="UHX12" s="319"/>
      <c r="UHY12" s="319"/>
      <c r="UHZ12" s="319"/>
      <c r="UIA12" s="319"/>
      <c r="UIB12" s="319"/>
      <c r="UIC12" s="319"/>
      <c r="UID12" s="319"/>
      <c r="UIE12" s="319"/>
      <c r="UIF12" s="319"/>
      <c r="UIG12" s="319"/>
      <c r="UIH12" s="319"/>
      <c r="UII12" s="319"/>
      <c r="UIJ12" s="319"/>
      <c r="UIK12" s="319"/>
      <c r="UIL12" s="319"/>
      <c r="UIM12" s="319"/>
      <c r="UIN12" s="319"/>
      <c r="UIO12" s="319"/>
      <c r="UIP12" s="319"/>
      <c r="UIQ12" s="319"/>
      <c r="UIR12" s="319"/>
      <c r="UIS12" s="319"/>
      <c r="UIT12" s="319"/>
      <c r="UIU12" s="319"/>
      <c r="UIV12" s="319"/>
      <c r="UIW12" s="319"/>
      <c r="UIX12" s="319"/>
      <c r="UIY12" s="319"/>
      <c r="UIZ12" s="319"/>
      <c r="UJA12" s="319"/>
      <c r="UJB12" s="319"/>
      <c r="UJC12" s="319"/>
      <c r="UJD12" s="319"/>
      <c r="UJE12" s="319"/>
      <c r="UJF12" s="319"/>
      <c r="UJG12" s="319"/>
      <c r="UJH12" s="319"/>
      <c r="UJI12" s="319"/>
      <c r="UJJ12" s="319"/>
      <c r="UJK12" s="319"/>
      <c r="UJL12" s="319"/>
      <c r="UJM12" s="319"/>
      <c r="UJN12" s="319"/>
      <c r="UJO12" s="319"/>
      <c r="UJP12" s="319"/>
      <c r="UJQ12" s="319"/>
      <c r="UJR12" s="319"/>
      <c r="UJS12" s="319"/>
      <c r="UJT12" s="319"/>
      <c r="UJU12" s="319"/>
      <c r="UJV12" s="319"/>
      <c r="UJW12" s="319"/>
      <c r="UJX12" s="319"/>
      <c r="UJY12" s="319"/>
      <c r="UJZ12" s="319"/>
      <c r="UKA12" s="319"/>
      <c r="UKB12" s="319"/>
      <c r="UKC12" s="319"/>
      <c r="UKD12" s="319"/>
      <c r="UKE12" s="319"/>
      <c r="UKF12" s="319"/>
      <c r="UKG12" s="319"/>
      <c r="UKH12" s="319"/>
      <c r="UKI12" s="319"/>
      <c r="UKJ12" s="319"/>
      <c r="UKK12" s="319"/>
      <c r="UKL12" s="319"/>
      <c r="UKM12" s="319"/>
      <c r="UKN12" s="319"/>
      <c r="UKO12" s="319"/>
      <c r="UKP12" s="319"/>
      <c r="UKQ12" s="319"/>
      <c r="UKR12" s="319"/>
      <c r="UKS12" s="319"/>
      <c r="UKT12" s="319"/>
      <c r="UKU12" s="319"/>
      <c r="UKV12" s="319"/>
      <c r="UKW12" s="319"/>
      <c r="UKX12" s="319"/>
      <c r="UKY12" s="319"/>
      <c r="UKZ12" s="319"/>
      <c r="ULA12" s="319"/>
      <c r="ULB12" s="319"/>
      <c r="ULC12" s="319"/>
      <c r="ULD12" s="319"/>
      <c r="ULE12" s="319"/>
      <c r="ULF12" s="319"/>
      <c r="ULG12" s="319"/>
      <c r="ULH12" s="319"/>
      <c r="ULI12" s="319"/>
      <c r="ULJ12" s="319"/>
      <c r="ULK12" s="319"/>
      <c r="ULL12" s="319"/>
      <c r="ULM12" s="319"/>
      <c r="ULN12" s="319"/>
      <c r="ULO12" s="319"/>
      <c r="ULP12" s="319"/>
      <c r="ULQ12" s="319"/>
      <c r="ULR12" s="319"/>
      <c r="ULS12" s="319"/>
      <c r="ULT12" s="319"/>
      <c r="ULU12" s="319"/>
      <c r="ULV12" s="319"/>
      <c r="ULW12" s="319"/>
      <c r="ULX12" s="319"/>
      <c r="ULY12" s="319"/>
      <c r="ULZ12" s="319"/>
      <c r="UMA12" s="319"/>
      <c r="UMB12" s="319"/>
      <c r="UMC12" s="319"/>
      <c r="UMD12" s="319"/>
      <c r="UME12" s="319"/>
      <c r="UMF12" s="319"/>
      <c r="UMG12" s="319"/>
      <c r="UMH12" s="319"/>
      <c r="UMI12" s="319"/>
      <c r="UMJ12" s="319"/>
      <c r="UMK12" s="319"/>
      <c r="UML12" s="319"/>
      <c r="UMM12" s="319"/>
      <c r="UMN12" s="319"/>
      <c r="UMO12" s="319"/>
      <c r="UMP12" s="319"/>
      <c r="UMQ12" s="319"/>
      <c r="UMR12" s="319"/>
      <c r="UMS12" s="319"/>
      <c r="UMT12" s="319"/>
      <c r="UMU12" s="319"/>
      <c r="UMV12" s="319"/>
      <c r="UMW12" s="319"/>
      <c r="UMX12" s="319"/>
      <c r="UMY12" s="319"/>
      <c r="UMZ12" s="319"/>
      <c r="UNA12" s="319"/>
      <c r="UNB12" s="319"/>
      <c r="UNC12" s="319"/>
      <c r="UND12" s="319"/>
      <c r="UNE12" s="319"/>
      <c r="UNF12" s="319"/>
      <c r="UNG12" s="319"/>
      <c r="UNH12" s="319"/>
      <c r="UNI12" s="319"/>
      <c r="UNJ12" s="319"/>
      <c r="UNK12" s="319"/>
      <c r="UNL12" s="319"/>
      <c r="UNM12" s="319"/>
      <c r="UNN12" s="319"/>
      <c r="UNO12" s="319"/>
      <c r="UNP12" s="319"/>
      <c r="UNQ12" s="319"/>
      <c r="UNR12" s="319"/>
      <c r="UNS12" s="319"/>
      <c r="UNT12" s="319"/>
      <c r="UNU12" s="319"/>
      <c r="UNV12" s="319"/>
      <c r="UNW12" s="319"/>
      <c r="UNX12" s="319"/>
      <c r="UNY12" s="319"/>
      <c r="UNZ12" s="319"/>
      <c r="UOA12" s="319"/>
      <c r="UOB12" s="319"/>
      <c r="UOC12" s="319"/>
      <c r="UOD12" s="319"/>
      <c r="UOE12" s="319"/>
      <c r="UOF12" s="319"/>
      <c r="UOG12" s="319"/>
      <c r="UOH12" s="319"/>
      <c r="UOI12" s="319"/>
      <c r="UOJ12" s="319"/>
      <c r="UOK12" s="319"/>
      <c r="UOL12" s="319"/>
      <c r="UOM12" s="319"/>
      <c r="UON12" s="319"/>
      <c r="UOO12" s="319"/>
      <c r="UOP12" s="319"/>
      <c r="UOQ12" s="319"/>
      <c r="UOR12" s="319"/>
      <c r="UOS12" s="319"/>
      <c r="UOT12" s="319"/>
      <c r="UOU12" s="319"/>
      <c r="UOV12" s="319"/>
      <c r="UOW12" s="319"/>
      <c r="UOX12" s="319"/>
      <c r="UOY12" s="319"/>
      <c r="UOZ12" s="319"/>
      <c r="UPA12" s="319"/>
      <c r="UPB12" s="319"/>
      <c r="UPC12" s="319"/>
      <c r="UPD12" s="319"/>
      <c r="UPE12" s="319"/>
      <c r="UPF12" s="319"/>
      <c r="UPG12" s="319"/>
      <c r="UPH12" s="319"/>
      <c r="UPI12" s="319"/>
      <c r="UPJ12" s="319"/>
      <c r="UPK12" s="319"/>
      <c r="UPL12" s="319"/>
      <c r="UPM12" s="319"/>
      <c r="UPN12" s="319"/>
      <c r="UPO12" s="319"/>
      <c r="UPP12" s="319"/>
      <c r="UPQ12" s="319"/>
      <c r="UPR12" s="319"/>
      <c r="UPS12" s="319"/>
      <c r="UPT12" s="319"/>
      <c r="UPU12" s="319"/>
      <c r="UPV12" s="319"/>
      <c r="UPW12" s="319"/>
      <c r="UPX12" s="319"/>
      <c r="UPY12" s="319"/>
      <c r="UPZ12" s="319"/>
      <c r="UQA12" s="319"/>
      <c r="UQB12" s="319"/>
      <c r="UQC12" s="319"/>
      <c r="UQD12" s="319"/>
      <c r="UQE12" s="319"/>
      <c r="UQF12" s="319"/>
      <c r="UQG12" s="319"/>
      <c r="UQH12" s="319"/>
      <c r="UQI12" s="319"/>
      <c r="UQJ12" s="319"/>
      <c r="UQK12" s="319"/>
      <c r="UQL12" s="319"/>
      <c r="UQM12" s="319"/>
      <c r="UQN12" s="319"/>
      <c r="UQO12" s="319"/>
      <c r="UQP12" s="319"/>
      <c r="UQQ12" s="319"/>
      <c r="UQR12" s="319"/>
      <c r="UQS12" s="319"/>
      <c r="UQT12" s="319"/>
      <c r="UQU12" s="319"/>
      <c r="UQV12" s="319"/>
      <c r="UQW12" s="319"/>
      <c r="UQX12" s="319"/>
      <c r="UQY12" s="319"/>
      <c r="UQZ12" s="319"/>
      <c r="URA12" s="319"/>
      <c r="URB12" s="319"/>
      <c r="URC12" s="319"/>
      <c r="URD12" s="319"/>
      <c r="URE12" s="319"/>
      <c r="URF12" s="319"/>
      <c r="URG12" s="319"/>
      <c r="URH12" s="319"/>
      <c r="URI12" s="319"/>
      <c r="URJ12" s="319"/>
      <c r="URK12" s="319"/>
      <c r="URL12" s="319"/>
      <c r="URM12" s="319"/>
      <c r="URN12" s="319"/>
      <c r="URO12" s="319"/>
      <c r="URP12" s="319"/>
      <c r="URQ12" s="319"/>
      <c r="URR12" s="319"/>
      <c r="URS12" s="319"/>
      <c r="URT12" s="319"/>
      <c r="URU12" s="319"/>
      <c r="URV12" s="319"/>
      <c r="URW12" s="319"/>
      <c r="URX12" s="319"/>
      <c r="URY12" s="319"/>
      <c r="URZ12" s="319"/>
      <c r="USA12" s="319"/>
      <c r="USB12" s="319"/>
      <c r="USC12" s="319"/>
      <c r="USD12" s="319"/>
      <c r="USE12" s="319"/>
      <c r="USF12" s="319"/>
      <c r="USG12" s="319"/>
      <c r="USH12" s="319"/>
      <c r="USI12" s="319"/>
      <c r="USJ12" s="319"/>
      <c r="USK12" s="319"/>
      <c r="USL12" s="319"/>
      <c r="USM12" s="319"/>
      <c r="USN12" s="319"/>
      <c r="USO12" s="319"/>
      <c r="USP12" s="319"/>
      <c r="USQ12" s="319"/>
      <c r="USR12" s="319"/>
      <c r="USS12" s="319"/>
      <c r="UST12" s="319"/>
      <c r="USU12" s="319"/>
      <c r="USV12" s="319"/>
      <c r="USW12" s="319"/>
      <c r="USX12" s="319"/>
      <c r="USY12" s="319"/>
      <c r="USZ12" s="319"/>
      <c r="UTA12" s="319"/>
      <c r="UTB12" s="319"/>
      <c r="UTC12" s="319"/>
      <c r="UTD12" s="319"/>
      <c r="UTE12" s="319"/>
      <c r="UTF12" s="319"/>
      <c r="UTG12" s="319"/>
      <c r="UTH12" s="319"/>
      <c r="UTI12" s="319"/>
      <c r="UTJ12" s="319"/>
      <c r="UTK12" s="319"/>
      <c r="UTL12" s="319"/>
      <c r="UTM12" s="319"/>
      <c r="UTN12" s="319"/>
      <c r="UTO12" s="319"/>
      <c r="UTP12" s="319"/>
      <c r="UTQ12" s="319"/>
      <c r="UTR12" s="319"/>
      <c r="UTS12" s="319"/>
      <c r="UTT12" s="319"/>
      <c r="UTU12" s="319"/>
      <c r="UTV12" s="319"/>
      <c r="UTW12" s="319"/>
      <c r="UTX12" s="319"/>
      <c r="UTY12" s="319"/>
      <c r="UTZ12" s="319"/>
      <c r="UUA12" s="319"/>
      <c r="UUB12" s="319"/>
      <c r="UUC12" s="319"/>
      <c r="UUD12" s="319"/>
      <c r="UUE12" s="319"/>
      <c r="UUF12" s="319"/>
      <c r="UUG12" s="319"/>
      <c r="UUH12" s="319"/>
      <c r="UUI12" s="319"/>
      <c r="UUJ12" s="319"/>
      <c r="UUK12" s="319"/>
      <c r="UUL12" s="319"/>
      <c r="UUM12" s="319"/>
      <c r="UUN12" s="319"/>
      <c r="UUO12" s="319"/>
      <c r="UUP12" s="319"/>
      <c r="UUQ12" s="319"/>
      <c r="UUR12" s="319"/>
      <c r="UUS12" s="319"/>
      <c r="UUT12" s="319"/>
      <c r="UUU12" s="319"/>
      <c r="UUV12" s="319"/>
      <c r="UUW12" s="319"/>
      <c r="UUX12" s="319"/>
      <c r="UUY12" s="319"/>
      <c r="UUZ12" s="319"/>
      <c r="UVA12" s="319"/>
      <c r="UVB12" s="319"/>
      <c r="UVC12" s="319"/>
      <c r="UVD12" s="319"/>
      <c r="UVE12" s="319"/>
      <c r="UVF12" s="319"/>
      <c r="UVG12" s="319"/>
      <c r="UVH12" s="319"/>
      <c r="UVI12" s="319"/>
      <c r="UVJ12" s="319"/>
      <c r="UVK12" s="319"/>
      <c r="UVL12" s="319"/>
      <c r="UVM12" s="319"/>
      <c r="UVN12" s="319"/>
      <c r="UVO12" s="319"/>
      <c r="UVP12" s="319"/>
      <c r="UVQ12" s="319"/>
      <c r="UVR12" s="319"/>
      <c r="UVS12" s="319"/>
      <c r="UVT12" s="319"/>
      <c r="UVU12" s="319"/>
      <c r="UVV12" s="319"/>
      <c r="UVW12" s="319"/>
      <c r="UVX12" s="319"/>
      <c r="UVY12" s="319"/>
      <c r="UVZ12" s="319"/>
      <c r="UWA12" s="319"/>
      <c r="UWB12" s="319"/>
      <c r="UWC12" s="319"/>
      <c r="UWD12" s="319"/>
      <c r="UWE12" s="319"/>
      <c r="UWF12" s="319"/>
      <c r="UWG12" s="319"/>
      <c r="UWH12" s="319"/>
      <c r="UWI12" s="319"/>
      <c r="UWJ12" s="319"/>
      <c r="UWK12" s="319"/>
      <c r="UWL12" s="319"/>
      <c r="UWM12" s="319"/>
      <c r="UWN12" s="319"/>
      <c r="UWO12" s="319"/>
      <c r="UWP12" s="319"/>
      <c r="UWQ12" s="319"/>
      <c r="UWR12" s="319"/>
      <c r="UWS12" s="319"/>
      <c r="UWT12" s="319"/>
      <c r="UWU12" s="319"/>
      <c r="UWV12" s="319"/>
      <c r="UWW12" s="319"/>
      <c r="UWX12" s="319"/>
      <c r="UWY12" s="319"/>
      <c r="UWZ12" s="319"/>
      <c r="UXA12" s="319"/>
      <c r="UXB12" s="319"/>
      <c r="UXC12" s="319"/>
      <c r="UXD12" s="319"/>
      <c r="UXE12" s="319"/>
      <c r="UXF12" s="319"/>
      <c r="UXG12" s="319"/>
      <c r="UXH12" s="319"/>
      <c r="UXI12" s="319"/>
      <c r="UXJ12" s="319"/>
      <c r="UXK12" s="319"/>
      <c r="UXL12" s="319"/>
      <c r="UXM12" s="319"/>
      <c r="UXN12" s="319"/>
      <c r="UXO12" s="319"/>
      <c r="UXP12" s="319"/>
      <c r="UXQ12" s="319"/>
      <c r="UXR12" s="319"/>
      <c r="UXS12" s="319"/>
      <c r="UXT12" s="319"/>
      <c r="UXU12" s="319"/>
      <c r="UXV12" s="319"/>
      <c r="UXW12" s="319"/>
      <c r="UXX12" s="319"/>
      <c r="UXY12" s="319"/>
      <c r="UXZ12" s="319"/>
      <c r="UYA12" s="319"/>
      <c r="UYB12" s="319"/>
      <c r="UYC12" s="319"/>
      <c r="UYD12" s="319"/>
      <c r="UYE12" s="319"/>
      <c r="UYF12" s="319"/>
      <c r="UYG12" s="319"/>
      <c r="UYH12" s="319"/>
      <c r="UYI12" s="319"/>
      <c r="UYJ12" s="319"/>
      <c r="UYK12" s="319"/>
      <c r="UYL12" s="319"/>
      <c r="UYM12" s="319"/>
      <c r="UYN12" s="319"/>
      <c r="UYO12" s="319"/>
      <c r="UYP12" s="319"/>
      <c r="UYQ12" s="319"/>
      <c r="UYR12" s="319"/>
      <c r="UYS12" s="319"/>
      <c r="UYT12" s="319"/>
      <c r="UYU12" s="319"/>
      <c r="UYV12" s="319"/>
      <c r="UYW12" s="319"/>
      <c r="UYX12" s="319"/>
      <c r="UYY12" s="319"/>
      <c r="UYZ12" s="319"/>
      <c r="UZA12" s="319"/>
      <c r="UZB12" s="319"/>
      <c r="UZC12" s="319"/>
      <c r="UZD12" s="319"/>
      <c r="UZE12" s="319"/>
      <c r="UZF12" s="319"/>
      <c r="UZG12" s="319"/>
      <c r="UZH12" s="319"/>
      <c r="UZI12" s="319"/>
      <c r="UZJ12" s="319"/>
      <c r="UZK12" s="319"/>
      <c r="UZL12" s="319"/>
      <c r="UZM12" s="319"/>
      <c r="UZN12" s="319"/>
      <c r="UZO12" s="319"/>
      <c r="UZP12" s="319"/>
      <c r="UZQ12" s="319"/>
      <c r="UZR12" s="319"/>
      <c r="UZS12" s="319"/>
      <c r="UZT12" s="319"/>
      <c r="UZU12" s="319"/>
      <c r="UZV12" s="319"/>
      <c r="UZW12" s="319"/>
      <c r="UZX12" s="319"/>
      <c r="UZY12" s="319"/>
      <c r="UZZ12" s="319"/>
      <c r="VAA12" s="319"/>
      <c r="VAB12" s="319"/>
      <c r="VAC12" s="319"/>
      <c r="VAD12" s="319"/>
      <c r="VAE12" s="319"/>
      <c r="VAF12" s="319"/>
      <c r="VAG12" s="319"/>
      <c r="VAH12" s="319"/>
      <c r="VAI12" s="319"/>
      <c r="VAJ12" s="319"/>
      <c r="VAK12" s="319"/>
      <c r="VAL12" s="319"/>
      <c r="VAM12" s="319"/>
      <c r="VAN12" s="319"/>
      <c r="VAO12" s="319"/>
      <c r="VAP12" s="319"/>
      <c r="VAQ12" s="319"/>
      <c r="VAR12" s="319"/>
      <c r="VAS12" s="319"/>
      <c r="VAT12" s="319"/>
      <c r="VAU12" s="319"/>
      <c r="VAV12" s="319"/>
      <c r="VAW12" s="319"/>
      <c r="VAX12" s="319"/>
      <c r="VAY12" s="319"/>
      <c r="VAZ12" s="319"/>
      <c r="VBA12" s="319"/>
      <c r="VBB12" s="319"/>
      <c r="VBC12" s="319"/>
      <c r="VBD12" s="319"/>
      <c r="VBE12" s="319"/>
      <c r="VBF12" s="319"/>
      <c r="VBG12" s="319"/>
      <c r="VBH12" s="319"/>
      <c r="VBI12" s="319"/>
      <c r="VBJ12" s="319"/>
      <c r="VBK12" s="319"/>
      <c r="VBL12" s="319"/>
      <c r="VBM12" s="319"/>
      <c r="VBN12" s="319"/>
      <c r="VBO12" s="319"/>
      <c r="VBP12" s="319"/>
      <c r="VBQ12" s="319"/>
      <c r="VBR12" s="319"/>
      <c r="VBS12" s="319"/>
      <c r="VBT12" s="319"/>
      <c r="VBU12" s="319"/>
      <c r="VBV12" s="319"/>
      <c r="VBW12" s="319"/>
      <c r="VBX12" s="319"/>
      <c r="VBY12" s="319"/>
      <c r="VBZ12" s="319"/>
      <c r="VCA12" s="319"/>
      <c r="VCB12" s="319"/>
      <c r="VCC12" s="319"/>
      <c r="VCD12" s="319"/>
      <c r="VCE12" s="319"/>
      <c r="VCF12" s="319"/>
      <c r="VCG12" s="319"/>
      <c r="VCH12" s="319"/>
      <c r="VCI12" s="319"/>
      <c r="VCJ12" s="319"/>
      <c r="VCK12" s="319"/>
      <c r="VCL12" s="319"/>
      <c r="VCM12" s="319"/>
      <c r="VCN12" s="319"/>
      <c r="VCO12" s="319"/>
      <c r="VCP12" s="319"/>
      <c r="VCQ12" s="319"/>
      <c r="VCR12" s="319"/>
      <c r="VCS12" s="319"/>
      <c r="VCT12" s="319"/>
      <c r="VCU12" s="319"/>
      <c r="VCV12" s="319"/>
      <c r="VCW12" s="319"/>
      <c r="VCX12" s="319"/>
      <c r="VCY12" s="319"/>
      <c r="VCZ12" s="319"/>
      <c r="VDA12" s="319"/>
      <c r="VDB12" s="319"/>
      <c r="VDC12" s="319"/>
      <c r="VDD12" s="319"/>
      <c r="VDE12" s="319"/>
      <c r="VDF12" s="319"/>
      <c r="VDG12" s="319"/>
      <c r="VDH12" s="319"/>
      <c r="VDI12" s="319"/>
      <c r="VDJ12" s="319"/>
      <c r="VDK12" s="319"/>
      <c r="VDL12" s="319"/>
      <c r="VDM12" s="319"/>
      <c r="VDN12" s="319"/>
      <c r="VDO12" s="319"/>
      <c r="VDP12" s="319"/>
      <c r="VDQ12" s="319"/>
      <c r="VDR12" s="319"/>
      <c r="VDS12" s="319"/>
      <c r="VDT12" s="319"/>
      <c r="VDU12" s="319"/>
      <c r="VDV12" s="319"/>
      <c r="VDW12" s="319"/>
      <c r="VDX12" s="319"/>
      <c r="VDY12" s="319"/>
      <c r="VDZ12" s="319"/>
      <c r="VEA12" s="319"/>
      <c r="VEB12" s="319"/>
      <c r="VEC12" s="319"/>
      <c r="VED12" s="319"/>
      <c r="VEE12" s="319"/>
      <c r="VEF12" s="319"/>
      <c r="VEG12" s="319"/>
      <c r="VEH12" s="319"/>
      <c r="VEI12" s="319"/>
      <c r="VEJ12" s="319"/>
      <c r="VEK12" s="319"/>
      <c r="VEL12" s="319"/>
      <c r="VEM12" s="319"/>
      <c r="VEN12" s="319"/>
      <c r="VEO12" s="319"/>
      <c r="VEP12" s="319"/>
      <c r="VEQ12" s="319"/>
      <c r="VER12" s="319"/>
      <c r="VES12" s="319"/>
      <c r="VET12" s="319"/>
      <c r="VEU12" s="319"/>
      <c r="VEV12" s="319"/>
      <c r="VEW12" s="319"/>
      <c r="VEX12" s="319"/>
      <c r="VEY12" s="319"/>
      <c r="VEZ12" s="319"/>
      <c r="VFA12" s="319"/>
      <c r="VFB12" s="319"/>
      <c r="VFC12" s="319"/>
      <c r="VFD12" s="319"/>
      <c r="VFE12" s="319"/>
      <c r="VFF12" s="319"/>
      <c r="VFG12" s="319"/>
      <c r="VFH12" s="319"/>
      <c r="VFI12" s="319"/>
      <c r="VFJ12" s="319"/>
      <c r="VFK12" s="319"/>
      <c r="VFL12" s="319"/>
      <c r="VFM12" s="319"/>
      <c r="VFN12" s="319"/>
      <c r="VFO12" s="319"/>
      <c r="VFP12" s="319"/>
      <c r="VFQ12" s="319"/>
      <c r="VFR12" s="319"/>
      <c r="VFS12" s="319"/>
      <c r="VFT12" s="319"/>
      <c r="VFU12" s="319"/>
      <c r="VFV12" s="319"/>
      <c r="VFW12" s="319"/>
      <c r="VFX12" s="319"/>
      <c r="VFY12" s="319"/>
      <c r="VFZ12" s="319"/>
      <c r="VGA12" s="319"/>
      <c r="VGB12" s="319"/>
      <c r="VGC12" s="319"/>
      <c r="VGD12" s="319"/>
      <c r="VGE12" s="319"/>
      <c r="VGF12" s="319"/>
      <c r="VGG12" s="319"/>
      <c r="VGH12" s="319"/>
      <c r="VGI12" s="319"/>
      <c r="VGJ12" s="319"/>
      <c r="VGK12" s="319"/>
      <c r="VGL12" s="319"/>
      <c r="VGM12" s="319"/>
      <c r="VGN12" s="319"/>
      <c r="VGO12" s="319"/>
      <c r="VGP12" s="319"/>
      <c r="VGQ12" s="319"/>
      <c r="VGR12" s="319"/>
      <c r="VGS12" s="319"/>
      <c r="VGT12" s="319"/>
      <c r="VGU12" s="319"/>
      <c r="VGV12" s="319"/>
      <c r="VGW12" s="319"/>
      <c r="VGX12" s="319"/>
      <c r="VGY12" s="319"/>
      <c r="VGZ12" s="319"/>
      <c r="VHA12" s="319"/>
      <c r="VHB12" s="319"/>
      <c r="VHC12" s="319"/>
      <c r="VHD12" s="319"/>
      <c r="VHE12" s="319"/>
      <c r="VHF12" s="319"/>
      <c r="VHG12" s="319"/>
      <c r="VHH12" s="319"/>
      <c r="VHI12" s="319"/>
      <c r="VHJ12" s="319"/>
      <c r="VHK12" s="319"/>
      <c r="VHL12" s="319"/>
      <c r="VHM12" s="319"/>
      <c r="VHN12" s="319"/>
      <c r="VHO12" s="319"/>
      <c r="VHP12" s="319"/>
      <c r="VHQ12" s="319"/>
      <c r="VHR12" s="319"/>
      <c r="VHS12" s="319"/>
      <c r="VHT12" s="319"/>
      <c r="VHU12" s="319"/>
      <c r="VHV12" s="319"/>
      <c r="VHW12" s="319"/>
      <c r="VHX12" s="319"/>
      <c r="VHY12" s="319"/>
      <c r="VHZ12" s="319"/>
      <c r="VIA12" s="319"/>
      <c r="VIB12" s="319"/>
      <c r="VIC12" s="319"/>
      <c r="VID12" s="319"/>
      <c r="VIE12" s="319"/>
      <c r="VIF12" s="319"/>
      <c r="VIG12" s="319"/>
      <c r="VIH12" s="319"/>
      <c r="VII12" s="319"/>
      <c r="VIJ12" s="319"/>
      <c r="VIK12" s="319"/>
      <c r="VIL12" s="319"/>
      <c r="VIM12" s="319"/>
      <c r="VIN12" s="319"/>
      <c r="VIO12" s="319"/>
      <c r="VIP12" s="319"/>
      <c r="VIQ12" s="319"/>
      <c r="VIR12" s="319"/>
      <c r="VIS12" s="319"/>
      <c r="VIT12" s="319"/>
      <c r="VIU12" s="319"/>
      <c r="VIV12" s="319"/>
      <c r="VIW12" s="319"/>
      <c r="VIX12" s="319"/>
      <c r="VIY12" s="319"/>
      <c r="VIZ12" s="319"/>
      <c r="VJA12" s="319"/>
      <c r="VJB12" s="319"/>
      <c r="VJC12" s="319"/>
      <c r="VJD12" s="319"/>
      <c r="VJE12" s="319"/>
      <c r="VJF12" s="319"/>
      <c r="VJG12" s="319"/>
      <c r="VJH12" s="319"/>
      <c r="VJI12" s="319"/>
      <c r="VJJ12" s="319"/>
      <c r="VJK12" s="319"/>
      <c r="VJL12" s="319"/>
      <c r="VJM12" s="319"/>
      <c r="VJN12" s="319"/>
      <c r="VJO12" s="319"/>
      <c r="VJP12" s="319"/>
      <c r="VJQ12" s="319"/>
      <c r="VJR12" s="319"/>
      <c r="VJS12" s="319"/>
      <c r="VJT12" s="319"/>
      <c r="VJU12" s="319"/>
      <c r="VJV12" s="319"/>
      <c r="VJW12" s="319"/>
      <c r="VJX12" s="319"/>
      <c r="VJY12" s="319"/>
      <c r="VJZ12" s="319"/>
      <c r="VKA12" s="319"/>
      <c r="VKB12" s="319"/>
      <c r="VKC12" s="319"/>
      <c r="VKD12" s="319"/>
      <c r="VKE12" s="319"/>
      <c r="VKF12" s="319"/>
      <c r="VKG12" s="319"/>
      <c r="VKH12" s="319"/>
      <c r="VKI12" s="319"/>
      <c r="VKJ12" s="319"/>
      <c r="VKK12" s="319"/>
      <c r="VKL12" s="319"/>
      <c r="VKM12" s="319"/>
      <c r="VKN12" s="319"/>
      <c r="VKO12" s="319"/>
      <c r="VKP12" s="319"/>
      <c r="VKQ12" s="319"/>
      <c r="VKR12" s="319"/>
      <c r="VKS12" s="319"/>
      <c r="VKT12" s="319"/>
      <c r="VKU12" s="319"/>
      <c r="VKV12" s="319"/>
      <c r="VKW12" s="319"/>
      <c r="VKX12" s="319"/>
      <c r="VKY12" s="319"/>
      <c r="VKZ12" s="319"/>
      <c r="VLA12" s="319"/>
      <c r="VLB12" s="319"/>
      <c r="VLC12" s="319"/>
      <c r="VLD12" s="319"/>
      <c r="VLE12" s="319"/>
      <c r="VLF12" s="319"/>
      <c r="VLG12" s="319"/>
      <c r="VLH12" s="319"/>
      <c r="VLI12" s="319"/>
      <c r="VLJ12" s="319"/>
      <c r="VLK12" s="319"/>
      <c r="VLL12" s="319"/>
      <c r="VLM12" s="319"/>
      <c r="VLN12" s="319"/>
      <c r="VLO12" s="319"/>
      <c r="VLP12" s="319"/>
      <c r="VLQ12" s="319"/>
      <c r="VLR12" s="319"/>
      <c r="VLS12" s="319"/>
      <c r="VLT12" s="319"/>
      <c r="VLU12" s="319"/>
      <c r="VLV12" s="319"/>
      <c r="VLW12" s="319"/>
      <c r="VLX12" s="319"/>
      <c r="VLY12" s="319"/>
      <c r="VLZ12" s="319"/>
      <c r="VMA12" s="319"/>
      <c r="VMB12" s="319"/>
      <c r="VMC12" s="319"/>
      <c r="VMD12" s="319"/>
      <c r="VME12" s="319"/>
      <c r="VMF12" s="319"/>
      <c r="VMG12" s="319"/>
      <c r="VMH12" s="319"/>
      <c r="VMI12" s="319"/>
      <c r="VMJ12" s="319"/>
      <c r="VMK12" s="319"/>
      <c r="VML12" s="319"/>
      <c r="VMM12" s="319"/>
      <c r="VMN12" s="319"/>
      <c r="VMO12" s="319"/>
      <c r="VMP12" s="319"/>
      <c r="VMQ12" s="319"/>
      <c r="VMR12" s="319"/>
      <c r="VMS12" s="319"/>
      <c r="VMT12" s="319"/>
      <c r="VMU12" s="319"/>
      <c r="VMV12" s="319"/>
      <c r="VMW12" s="319"/>
      <c r="VMX12" s="319"/>
      <c r="VMY12" s="319"/>
      <c r="VMZ12" s="319"/>
      <c r="VNA12" s="319"/>
      <c r="VNB12" s="319"/>
      <c r="VNC12" s="319"/>
      <c r="VND12" s="319"/>
      <c r="VNE12" s="319"/>
      <c r="VNF12" s="319"/>
      <c r="VNG12" s="319"/>
      <c r="VNH12" s="319"/>
      <c r="VNI12" s="319"/>
      <c r="VNJ12" s="319"/>
      <c r="VNK12" s="319"/>
      <c r="VNL12" s="319"/>
      <c r="VNM12" s="319"/>
      <c r="VNN12" s="319"/>
      <c r="VNO12" s="319"/>
      <c r="VNP12" s="319"/>
      <c r="VNQ12" s="319"/>
      <c r="VNR12" s="319"/>
      <c r="VNS12" s="319"/>
      <c r="VNT12" s="319"/>
      <c r="VNU12" s="319"/>
      <c r="VNV12" s="319"/>
      <c r="VNW12" s="319"/>
      <c r="VNX12" s="319"/>
      <c r="VNY12" s="319"/>
      <c r="VNZ12" s="319"/>
      <c r="VOA12" s="319"/>
      <c r="VOB12" s="319"/>
      <c r="VOC12" s="319"/>
      <c r="VOD12" s="319"/>
      <c r="VOE12" s="319"/>
      <c r="VOF12" s="319"/>
      <c r="VOG12" s="319"/>
      <c r="VOH12" s="319"/>
      <c r="VOI12" s="319"/>
      <c r="VOJ12" s="319"/>
      <c r="VOK12" s="319"/>
      <c r="VOL12" s="319"/>
      <c r="VOM12" s="319"/>
      <c r="VON12" s="319"/>
      <c r="VOO12" s="319"/>
      <c r="VOP12" s="319"/>
      <c r="VOQ12" s="319"/>
      <c r="VOR12" s="319"/>
      <c r="VOS12" s="319"/>
      <c r="VOT12" s="319"/>
      <c r="VOU12" s="319"/>
      <c r="VOV12" s="319"/>
      <c r="VOW12" s="319"/>
      <c r="VOX12" s="319"/>
      <c r="VOY12" s="319"/>
      <c r="VOZ12" s="319"/>
      <c r="VPA12" s="319"/>
      <c r="VPB12" s="319"/>
      <c r="VPC12" s="319"/>
      <c r="VPD12" s="319"/>
      <c r="VPE12" s="319"/>
      <c r="VPF12" s="319"/>
      <c r="VPG12" s="319"/>
      <c r="VPH12" s="319"/>
      <c r="VPI12" s="319"/>
      <c r="VPJ12" s="319"/>
      <c r="VPK12" s="319"/>
      <c r="VPL12" s="319"/>
      <c r="VPM12" s="319"/>
      <c r="VPN12" s="319"/>
      <c r="VPO12" s="319"/>
      <c r="VPP12" s="319"/>
      <c r="VPQ12" s="319"/>
      <c r="VPR12" s="319"/>
      <c r="VPS12" s="319"/>
      <c r="VPT12" s="319"/>
      <c r="VPU12" s="319"/>
      <c r="VPV12" s="319"/>
      <c r="VPW12" s="319"/>
      <c r="VPX12" s="319"/>
      <c r="VPY12" s="319"/>
      <c r="VPZ12" s="319"/>
      <c r="VQA12" s="319"/>
      <c r="VQB12" s="319"/>
      <c r="VQC12" s="319"/>
      <c r="VQD12" s="319"/>
      <c r="VQE12" s="319"/>
      <c r="VQF12" s="319"/>
      <c r="VQG12" s="319"/>
      <c r="VQH12" s="319"/>
      <c r="VQI12" s="319"/>
      <c r="VQJ12" s="319"/>
      <c r="VQK12" s="319"/>
      <c r="VQL12" s="319"/>
      <c r="VQM12" s="319"/>
      <c r="VQN12" s="319"/>
      <c r="VQO12" s="319"/>
      <c r="VQP12" s="319"/>
      <c r="VQQ12" s="319"/>
      <c r="VQR12" s="319"/>
      <c r="VQS12" s="319"/>
      <c r="VQT12" s="319"/>
      <c r="VQU12" s="319"/>
      <c r="VQV12" s="319"/>
      <c r="VQW12" s="319"/>
      <c r="VQX12" s="319"/>
      <c r="VQY12" s="319"/>
      <c r="VQZ12" s="319"/>
      <c r="VRA12" s="319"/>
      <c r="VRB12" s="319"/>
      <c r="VRC12" s="319"/>
      <c r="VRD12" s="319"/>
      <c r="VRE12" s="319"/>
      <c r="VRF12" s="319"/>
      <c r="VRG12" s="319"/>
      <c r="VRH12" s="319"/>
      <c r="VRI12" s="319"/>
      <c r="VRJ12" s="319"/>
      <c r="VRK12" s="319"/>
      <c r="VRL12" s="319"/>
      <c r="VRM12" s="319"/>
      <c r="VRN12" s="319"/>
      <c r="VRO12" s="319"/>
      <c r="VRP12" s="319"/>
      <c r="VRQ12" s="319"/>
      <c r="VRR12" s="319"/>
      <c r="VRS12" s="319"/>
      <c r="VRT12" s="319"/>
      <c r="VRU12" s="319"/>
      <c r="VRV12" s="319"/>
      <c r="VRW12" s="319"/>
      <c r="VRX12" s="319"/>
      <c r="VRY12" s="319"/>
      <c r="VRZ12" s="319"/>
      <c r="VSA12" s="319"/>
      <c r="VSB12" s="319"/>
      <c r="VSC12" s="319"/>
      <c r="VSD12" s="319"/>
      <c r="VSE12" s="319"/>
      <c r="VSF12" s="319"/>
      <c r="VSG12" s="319"/>
      <c r="VSH12" s="319"/>
      <c r="VSI12" s="319"/>
      <c r="VSJ12" s="319"/>
      <c r="VSK12" s="319"/>
      <c r="VSL12" s="319"/>
      <c r="VSM12" s="319"/>
      <c r="VSN12" s="319"/>
      <c r="VSO12" s="319"/>
      <c r="VSP12" s="319"/>
      <c r="VSQ12" s="319"/>
      <c r="VSR12" s="319"/>
      <c r="VSS12" s="319"/>
      <c r="VST12" s="319"/>
      <c r="VSU12" s="319"/>
      <c r="VSV12" s="319"/>
      <c r="VSW12" s="319"/>
      <c r="VSX12" s="319"/>
      <c r="VSY12" s="319"/>
      <c r="VSZ12" s="319"/>
      <c r="VTA12" s="319"/>
      <c r="VTB12" s="319"/>
      <c r="VTC12" s="319"/>
      <c r="VTD12" s="319"/>
      <c r="VTE12" s="319"/>
      <c r="VTF12" s="319"/>
      <c r="VTG12" s="319"/>
      <c r="VTH12" s="319"/>
      <c r="VTI12" s="319"/>
      <c r="VTJ12" s="319"/>
      <c r="VTK12" s="319"/>
      <c r="VTL12" s="319"/>
      <c r="VTM12" s="319"/>
      <c r="VTN12" s="319"/>
      <c r="VTO12" s="319"/>
      <c r="VTP12" s="319"/>
      <c r="VTQ12" s="319"/>
      <c r="VTR12" s="319"/>
      <c r="VTS12" s="319"/>
      <c r="VTT12" s="319"/>
      <c r="VTU12" s="319"/>
      <c r="VTV12" s="319"/>
      <c r="VTW12" s="319"/>
      <c r="VTX12" s="319"/>
      <c r="VTY12" s="319"/>
      <c r="VTZ12" s="319"/>
      <c r="VUA12" s="319"/>
      <c r="VUB12" s="319"/>
      <c r="VUC12" s="319"/>
      <c r="VUD12" s="319"/>
      <c r="VUE12" s="319"/>
      <c r="VUF12" s="319"/>
      <c r="VUG12" s="319"/>
      <c r="VUH12" s="319"/>
      <c r="VUI12" s="319"/>
      <c r="VUJ12" s="319"/>
      <c r="VUK12" s="319"/>
      <c r="VUL12" s="319"/>
      <c r="VUM12" s="319"/>
      <c r="VUN12" s="319"/>
      <c r="VUO12" s="319"/>
      <c r="VUP12" s="319"/>
      <c r="VUQ12" s="319"/>
      <c r="VUR12" s="319"/>
      <c r="VUS12" s="319"/>
      <c r="VUT12" s="319"/>
      <c r="VUU12" s="319"/>
      <c r="VUV12" s="319"/>
      <c r="VUW12" s="319"/>
      <c r="VUX12" s="319"/>
      <c r="VUY12" s="319"/>
      <c r="VUZ12" s="319"/>
      <c r="VVA12" s="319"/>
      <c r="VVB12" s="319"/>
      <c r="VVC12" s="319"/>
      <c r="VVD12" s="319"/>
      <c r="VVE12" s="319"/>
      <c r="VVF12" s="319"/>
      <c r="VVG12" s="319"/>
      <c r="VVH12" s="319"/>
      <c r="VVI12" s="319"/>
      <c r="VVJ12" s="319"/>
      <c r="VVK12" s="319"/>
      <c r="VVL12" s="319"/>
      <c r="VVM12" s="319"/>
      <c r="VVN12" s="319"/>
      <c r="VVO12" s="319"/>
      <c r="VVP12" s="319"/>
      <c r="VVQ12" s="319"/>
      <c r="VVR12" s="319"/>
      <c r="VVS12" s="319"/>
      <c r="VVT12" s="319"/>
      <c r="VVU12" s="319"/>
      <c r="VVV12" s="319"/>
      <c r="VVW12" s="319"/>
      <c r="VVX12" s="319"/>
      <c r="VVY12" s="319"/>
      <c r="VVZ12" s="319"/>
      <c r="VWA12" s="319"/>
      <c r="VWB12" s="319"/>
      <c r="VWC12" s="319"/>
      <c r="VWD12" s="319"/>
      <c r="VWE12" s="319"/>
      <c r="VWF12" s="319"/>
      <c r="VWG12" s="319"/>
      <c r="VWH12" s="319"/>
      <c r="VWI12" s="319"/>
      <c r="VWJ12" s="319"/>
      <c r="VWK12" s="319"/>
      <c r="VWL12" s="319"/>
      <c r="VWM12" s="319"/>
      <c r="VWN12" s="319"/>
      <c r="VWO12" s="319"/>
      <c r="VWP12" s="319"/>
      <c r="VWQ12" s="319"/>
      <c r="VWR12" s="319"/>
      <c r="VWS12" s="319"/>
      <c r="VWT12" s="319"/>
      <c r="VWU12" s="319"/>
      <c r="VWV12" s="319"/>
      <c r="VWW12" s="319"/>
      <c r="VWX12" s="319"/>
      <c r="VWY12" s="319"/>
      <c r="VWZ12" s="319"/>
      <c r="VXA12" s="319"/>
      <c r="VXB12" s="319"/>
      <c r="VXC12" s="319"/>
      <c r="VXD12" s="319"/>
      <c r="VXE12" s="319"/>
      <c r="VXF12" s="319"/>
      <c r="VXG12" s="319"/>
      <c r="VXH12" s="319"/>
      <c r="VXI12" s="319"/>
      <c r="VXJ12" s="319"/>
      <c r="VXK12" s="319"/>
      <c r="VXL12" s="319"/>
      <c r="VXM12" s="319"/>
      <c r="VXN12" s="319"/>
      <c r="VXO12" s="319"/>
      <c r="VXP12" s="319"/>
      <c r="VXQ12" s="319"/>
      <c r="VXR12" s="319"/>
      <c r="VXS12" s="319"/>
      <c r="VXT12" s="319"/>
      <c r="VXU12" s="319"/>
      <c r="VXV12" s="319"/>
      <c r="VXW12" s="319"/>
      <c r="VXX12" s="319"/>
      <c r="VXY12" s="319"/>
      <c r="VXZ12" s="319"/>
      <c r="VYA12" s="319"/>
      <c r="VYB12" s="319"/>
      <c r="VYC12" s="319"/>
      <c r="VYD12" s="319"/>
      <c r="VYE12" s="319"/>
      <c r="VYF12" s="319"/>
      <c r="VYG12" s="319"/>
      <c r="VYH12" s="319"/>
      <c r="VYI12" s="319"/>
      <c r="VYJ12" s="319"/>
      <c r="VYK12" s="319"/>
      <c r="VYL12" s="319"/>
      <c r="VYM12" s="319"/>
      <c r="VYN12" s="319"/>
      <c r="VYO12" s="319"/>
      <c r="VYP12" s="319"/>
      <c r="VYQ12" s="319"/>
      <c r="VYR12" s="319"/>
      <c r="VYS12" s="319"/>
      <c r="VYT12" s="319"/>
      <c r="VYU12" s="319"/>
      <c r="VYV12" s="319"/>
      <c r="VYW12" s="319"/>
      <c r="VYX12" s="319"/>
      <c r="VYY12" s="319"/>
      <c r="VYZ12" s="319"/>
      <c r="VZA12" s="319"/>
      <c r="VZB12" s="319"/>
      <c r="VZC12" s="319"/>
      <c r="VZD12" s="319"/>
      <c r="VZE12" s="319"/>
      <c r="VZF12" s="319"/>
      <c r="VZG12" s="319"/>
      <c r="VZH12" s="319"/>
      <c r="VZI12" s="319"/>
      <c r="VZJ12" s="319"/>
      <c r="VZK12" s="319"/>
      <c r="VZL12" s="319"/>
      <c r="VZM12" s="319"/>
      <c r="VZN12" s="319"/>
      <c r="VZO12" s="319"/>
      <c r="VZP12" s="319"/>
      <c r="VZQ12" s="319"/>
      <c r="VZR12" s="319"/>
      <c r="VZS12" s="319"/>
      <c r="VZT12" s="319"/>
      <c r="VZU12" s="319"/>
      <c r="VZV12" s="319"/>
      <c r="VZW12" s="319"/>
      <c r="VZX12" s="319"/>
      <c r="VZY12" s="319"/>
      <c r="VZZ12" s="319"/>
      <c r="WAA12" s="319"/>
      <c r="WAB12" s="319"/>
      <c r="WAC12" s="319"/>
      <c r="WAD12" s="319"/>
      <c r="WAE12" s="319"/>
      <c r="WAF12" s="319"/>
      <c r="WAG12" s="319"/>
      <c r="WAH12" s="319"/>
      <c r="WAI12" s="319"/>
      <c r="WAJ12" s="319"/>
      <c r="WAK12" s="319"/>
      <c r="WAL12" s="319"/>
      <c r="WAM12" s="319"/>
      <c r="WAN12" s="319"/>
      <c r="WAO12" s="319"/>
      <c r="WAP12" s="319"/>
      <c r="WAQ12" s="319"/>
      <c r="WAR12" s="319"/>
      <c r="WAS12" s="319"/>
      <c r="WAT12" s="319"/>
      <c r="WAU12" s="319"/>
      <c r="WAV12" s="319"/>
      <c r="WAW12" s="319"/>
      <c r="WAX12" s="319"/>
      <c r="WAY12" s="319"/>
      <c r="WAZ12" s="319"/>
      <c r="WBA12" s="319"/>
      <c r="WBB12" s="319"/>
      <c r="WBC12" s="319"/>
      <c r="WBD12" s="319"/>
      <c r="WBE12" s="319"/>
      <c r="WBF12" s="319"/>
      <c r="WBG12" s="319"/>
      <c r="WBH12" s="319"/>
      <c r="WBI12" s="319"/>
      <c r="WBJ12" s="319"/>
      <c r="WBK12" s="319"/>
      <c r="WBL12" s="319"/>
      <c r="WBM12" s="319"/>
      <c r="WBN12" s="319"/>
      <c r="WBO12" s="319"/>
      <c r="WBP12" s="319"/>
      <c r="WBQ12" s="319"/>
      <c r="WBR12" s="319"/>
      <c r="WBS12" s="319"/>
      <c r="WBT12" s="319"/>
      <c r="WBU12" s="319"/>
      <c r="WBV12" s="319"/>
      <c r="WBW12" s="319"/>
      <c r="WBX12" s="319"/>
      <c r="WBY12" s="319"/>
      <c r="WBZ12" s="319"/>
      <c r="WCA12" s="319"/>
      <c r="WCB12" s="319"/>
      <c r="WCC12" s="319"/>
      <c r="WCD12" s="319"/>
      <c r="WCE12" s="319"/>
      <c r="WCF12" s="319"/>
      <c r="WCG12" s="319"/>
      <c r="WCH12" s="319"/>
      <c r="WCI12" s="319"/>
      <c r="WCJ12" s="319"/>
      <c r="WCK12" s="319"/>
      <c r="WCL12" s="319"/>
      <c r="WCM12" s="319"/>
      <c r="WCN12" s="319"/>
      <c r="WCO12" s="319"/>
      <c r="WCP12" s="319"/>
      <c r="WCQ12" s="319"/>
      <c r="WCR12" s="319"/>
      <c r="WCS12" s="319"/>
      <c r="WCT12" s="319"/>
      <c r="WCU12" s="319"/>
      <c r="WCV12" s="319"/>
      <c r="WCW12" s="319"/>
      <c r="WCX12" s="319"/>
      <c r="WCY12" s="319"/>
      <c r="WCZ12" s="319"/>
      <c r="WDA12" s="319"/>
      <c r="WDB12" s="319"/>
      <c r="WDC12" s="319"/>
      <c r="WDD12" s="319"/>
      <c r="WDE12" s="319"/>
      <c r="WDF12" s="319"/>
      <c r="WDG12" s="319"/>
      <c r="WDH12" s="319"/>
      <c r="WDI12" s="319"/>
      <c r="WDJ12" s="319"/>
      <c r="WDK12" s="319"/>
      <c r="WDL12" s="319"/>
      <c r="WDM12" s="319"/>
      <c r="WDN12" s="319"/>
      <c r="WDO12" s="319"/>
      <c r="WDP12" s="319"/>
      <c r="WDQ12" s="319"/>
      <c r="WDR12" s="319"/>
      <c r="WDS12" s="319"/>
      <c r="WDT12" s="319"/>
      <c r="WDU12" s="319"/>
      <c r="WDV12" s="319"/>
      <c r="WDW12" s="319"/>
      <c r="WDX12" s="319"/>
      <c r="WDY12" s="319"/>
      <c r="WDZ12" s="319"/>
      <c r="WEA12" s="319"/>
      <c r="WEB12" s="319"/>
      <c r="WEC12" s="319"/>
      <c r="WED12" s="319"/>
      <c r="WEE12" s="319"/>
      <c r="WEF12" s="319"/>
      <c r="WEG12" s="319"/>
      <c r="WEH12" s="319"/>
      <c r="WEI12" s="319"/>
      <c r="WEJ12" s="319"/>
      <c r="WEK12" s="319"/>
      <c r="WEL12" s="319"/>
      <c r="WEM12" s="319"/>
      <c r="WEN12" s="319"/>
      <c r="WEO12" s="319"/>
      <c r="WEP12" s="319"/>
      <c r="WEQ12" s="319"/>
      <c r="WER12" s="319"/>
      <c r="WES12" s="319"/>
      <c r="WET12" s="319"/>
      <c r="WEU12" s="319"/>
      <c r="WEV12" s="319"/>
      <c r="WEW12" s="319"/>
      <c r="WEX12" s="319"/>
      <c r="WEY12" s="319"/>
      <c r="WEZ12" s="319"/>
      <c r="WFA12" s="319"/>
      <c r="WFB12" s="319"/>
      <c r="WFC12" s="319"/>
      <c r="WFD12" s="319"/>
      <c r="WFE12" s="319"/>
      <c r="WFF12" s="319"/>
      <c r="WFG12" s="319"/>
      <c r="WFH12" s="319"/>
      <c r="WFI12" s="319"/>
      <c r="WFJ12" s="319"/>
      <c r="WFK12" s="319"/>
      <c r="WFL12" s="319"/>
      <c r="WFM12" s="319"/>
      <c r="WFN12" s="319"/>
      <c r="WFO12" s="319"/>
      <c r="WFP12" s="319"/>
      <c r="WFQ12" s="319"/>
      <c r="WFR12" s="319"/>
      <c r="WFS12" s="319"/>
      <c r="WFT12" s="319"/>
      <c r="WFU12" s="319"/>
      <c r="WFV12" s="319"/>
      <c r="WFW12" s="319"/>
      <c r="WFX12" s="319"/>
      <c r="WFY12" s="319"/>
      <c r="WFZ12" s="319"/>
      <c r="WGA12" s="319"/>
      <c r="WGB12" s="319"/>
      <c r="WGC12" s="319"/>
      <c r="WGD12" s="319"/>
      <c r="WGE12" s="319"/>
      <c r="WGF12" s="319"/>
      <c r="WGG12" s="319"/>
      <c r="WGH12" s="319"/>
      <c r="WGI12" s="319"/>
      <c r="WGJ12" s="319"/>
      <c r="WGK12" s="319"/>
      <c r="WGL12" s="319"/>
      <c r="WGM12" s="319"/>
      <c r="WGN12" s="319"/>
      <c r="WGO12" s="319"/>
      <c r="WGP12" s="319"/>
      <c r="WGQ12" s="319"/>
      <c r="WGR12" s="319"/>
      <c r="WGS12" s="319"/>
      <c r="WGT12" s="319"/>
      <c r="WGU12" s="319"/>
      <c r="WGV12" s="319"/>
      <c r="WGW12" s="319"/>
      <c r="WGX12" s="319"/>
      <c r="WGY12" s="319"/>
      <c r="WGZ12" s="319"/>
      <c r="WHA12" s="319"/>
      <c r="WHB12" s="319"/>
      <c r="WHC12" s="319"/>
      <c r="WHD12" s="319"/>
      <c r="WHE12" s="319"/>
      <c r="WHF12" s="319"/>
      <c r="WHG12" s="319"/>
      <c r="WHH12" s="319"/>
      <c r="WHI12" s="319"/>
      <c r="WHJ12" s="319"/>
      <c r="WHK12" s="319"/>
      <c r="WHL12" s="319"/>
      <c r="WHM12" s="319"/>
      <c r="WHN12" s="319"/>
      <c r="WHO12" s="319"/>
      <c r="WHP12" s="319"/>
      <c r="WHQ12" s="319"/>
      <c r="WHR12" s="319"/>
      <c r="WHS12" s="319"/>
      <c r="WHT12" s="319"/>
      <c r="WHU12" s="319"/>
      <c r="WHV12" s="319"/>
      <c r="WHW12" s="319"/>
      <c r="WHX12" s="319"/>
      <c r="WHY12" s="319"/>
      <c r="WHZ12" s="319"/>
      <c r="WIA12" s="319"/>
      <c r="WIB12" s="319"/>
      <c r="WIC12" s="319"/>
      <c r="WID12" s="319"/>
      <c r="WIE12" s="319"/>
      <c r="WIF12" s="319"/>
      <c r="WIG12" s="319"/>
      <c r="WIH12" s="319"/>
      <c r="WII12" s="319"/>
      <c r="WIJ12" s="319"/>
      <c r="WIK12" s="319"/>
      <c r="WIL12" s="319"/>
      <c r="WIM12" s="319"/>
      <c r="WIN12" s="319"/>
      <c r="WIO12" s="319"/>
      <c r="WIP12" s="319"/>
      <c r="WIQ12" s="319"/>
      <c r="WIR12" s="319"/>
      <c r="WIS12" s="319"/>
      <c r="WIT12" s="319"/>
      <c r="WIU12" s="319"/>
      <c r="WIV12" s="319"/>
      <c r="WIW12" s="319"/>
      <c r="WIX12" s="319"/>
      <c r="WIY12" s="319"/>
      <c r="WIZ12" s="319"/>
      <c r="WJA12" s="319"/>
      <c r="WJB12" s="319"/>
      <c r="WJC12" s="319"/>
      <c r="WJD12" s="319"/>
      <c r="WJE12" s="319"/>
      <c r="WJF12" s="319"/>
      <c r="WJG12" s="319"/>
      <c r="WJH12" s="319"/>
      <c r="WJI12" s="319"/>
      <c r="WJJ12" s="319"/>
      <c r="WJK12" s="319"/>
      <c r="WJL12" s="319"/>
      <c r="WJM12" s="319"/>
      <c r="WJN12" s="319"/>
      <c r="WJO12" s="319"/>
      <c r="WJP12" s="319"/>
      <c r="WJQ12" s="319"/>
      <c r="WJR12" s="319"/>
      <c r="WJS12" s="319"/>
      <c r="WJT12" s="319"/>
      <c r="WJU12" s="319"/>
      <c r="WJV12" s="319"/>
      <c r="WJW12" s="319"/>
      <c r="WJX12" s="319"/>
      <c r="WJY12" s="319"/>
      <c r="WJZ12" s="319"/>
      <c r="WKA12" s="319"/>
      <c r="WKB12" s="319"/>
      <c r="WKC12" s="319"/>
      <c r="WKD12" s="319"/>
      <c r="WKE12" s="319"/>
      <c r="WKF12" s="319"/>
      <c r="WKG12" s="319"/>
      <c r="WKH12" s="319"/>
      <c r="WKI12" s="319"/>
      <c r="WKJ12" s="319"/>
      <c r="WKK12" s="319"/>
      <c r="WKL12" s="319"/>
      <c r="WKM12" s="319"/>
      <c r="WKN12" s="319"/>
      <c r="WKO12" s="319"/>
      <c r="WKP12" s="319"/>
      <c r="WKQ12" s="319"/>
      <c r="WKR12" s="319"/>
      <c r="WKS12" s="319"/>
      <c r="WKT12" s="319"/>
      <c r="WKU12" s="319"/>
      <c r="WKV12" s="319"/>
      <c r="WKW12" s="319"/>
      <c r="WKX12" s="319"/>
      <c r="WKY12" s="319"/>
      <c r="WKZ12" s="319"/>
      <c r="WLA12" s="319"/>
      <c r="WLB12" s="319"/>
      <c r="WLC12" s="319"/>
      <c r="WLD12" s="319"/>
      <c r="WLE12" s="319"/>
      <c r="WLF12" s="319"/>
      <c r="WLG12" s="319"/>
      <c r="WLH12" s="319"/>
      <c r="WLI12" s="319"/>
      <c r="WLJ12" s="319"/>
      <c r="WLK12" s="319"/>
      <c r="WLL12" s="319"/>
      <c r="WLM12" s="319"/>
      <c r="WLN12" s="319"/>
      <c r="WLO12" s="319"/>
      <c r="WLP12" s="319"/>
      <c r="WLQ12" s="319"/>
      <c r="WLR12" s="319"/>
      <c r="WLS12" s="319"/>
      <c r="WLT12" s="319"/>
      <c r="WLU12" s="319"/>
      <c r="WLV12" s="319"/>
      <c r="WLW12" s="319"/>
      <c r="WLX12" s="319"/>
      <c r="WLY12" s="319"/>
      <c r="WLZ12" s="319"/>
      <c r="WMA12" s="319"/>
      <c r="WMB12" s="319"/>
      <c r="WMC12" s="319"/>
      <c r="WMD12" s="319"/>
      <c r="WME12" s="319"/>
      <c r="WMF12" s="319"/>
      <c r="WMG12" s="319"/>
      <c r="WMH12" s="319"/>
      <c r="WMI12" s="319"/>
      <c r="WMJ12" s="319"/>
      <c r="WMK12" s="319"/>
      <c r="WML12" s="319"/>
      <c r="WMM12" s="319"/>
      <c r="WMN12" s="319"/>
      <c r="WMO12" s="319"/>
      <c r="WMP12" s="319"/>
      <c r="WMQ12" s="319"/>
      <c r="WMR12" s="319"/>
      <c r="WMS12" s="319"/>
      <c r="WMT12" s="319"/>
      <c r="WMU12" s="319"/>
      <c r="WMV12" s="319"/>
      <c r="WMW12" s="319"/>
      <c r="WMX12" s="319"/>
      <c r="WMY12" s="319"/>
      <c r="WMZ12" s="319"/>
      <c r="WNA12" s="319"/>
      <c r="WNB12" s="319"/>
      <c r="WNC12" s="319"/>
      <c r="WND12" s="319"/>
      <c r="WNE12" s="319"/>
      <c r="WNF12" s="319"/>
      <c r="WNG12" s="319"/>
      <c r="WNH12" s="319"/>
      <c r="WNI12" s="319"/>
      <c r="WNJ12" s="319"/>
      <c r="WNK12" s="319"/>
      <c r="WNL12" s="319"/>
      <c r="WNM12" s="319"/>
      <c r="WNN12" s="319"/>
      <c r="WNO12" s="319"/>
      <c r="WNP12" s="319"/>
      <c r="WNQ12" s="319"/>
      <c r="WNR12" s="319"/>
      <c r="WNS12" s="319"/>
      <c r="WNT12" s="319"/>
      <c r="WNU12" s="319"/>
      <c r="WNV12" s="319"/>
      <c r="WNW12" s="319"/>
      <c r="WNX12" s="319"/>
      <c r="WNY12" s="319"/>
      <c r="WNZ12" s="319"/>
      <c r="WOA12" s="319"/>
      <c r="WOB12" s="319"/>
      <c r="WOC12" s="319"/>
      <c r="WOD12" s="319"/>
      <c r="WOE12" s="319"/>
      <c r="WOF12" s="319"/>
      <c r="WOG12" s="319"/>
      <c r="WOH12" s="319"/>
      <c r="WOI12" s="319"/>
      <c r="WOJ12" s="319"/>
      <c r="WOK12" s="319"/>
      <c r="WOL12" s="319"/>
      <c r="WOM12" s="319"/>
      <c r="WON12" s="319"/>
      <c r="WOO12" s="319"/>
      <c r="WOP12" s="319"/>
      <c r="WOQ12" s="319"/>
      <c r="WOR12" s="319"/>
      <c r="WOS12" s="319"/>
      <c r="WOT12" s="319"/>
      <c r="WOU12" s="319"/>
      <c r="WOV12" s="319"/>
      <c r="WOW12" s="319"/>
      <c r="WOX12" s="319"/>
      <c r="WOY12" s="319"/>
      <c r="WOZ12" s="319"/>
      <c r="WPA12" s="319"/>
      <c r="WPB12" s="319"/>
      <c r="WPC12" s="319"/>
      <c r="WPD12" s="319"/>
      <c r="WPE12" s="319"/>
      <c r="WPF12" s="319"/>
      <c r="WPG12" s="319"/>
      <c r="WPH12" s="319"/>
      <c r="WPI12" s="319"/>
      <c r="WPJ12" s="319"/>
      <c r="WPK12" s="319"/>
      <c r="WPL12" s="319"/>
      <c r="WPM12" s="319"/>
      <c r="WPN12" s="319"/>
      <c r="WPO12" s="319"/>
      <c r="WPP12" s="319"/>
      <c r="WPQ12" s="319"/>
      <c r="WPR12" s="319"/>
      <c r="WPS12" s="319"/>
      <c r="WPT12" s="319"/>
      <c r="WPU12" s="319"/>
      <c r="WPV12" s="319"/>
      <c r="WPW12" s="319"/>
      <c r="WPX12" s="319"/>
      <c r="WPY12" s="319"/>
      <c r="WPZ12" s="319"/>
      <c r="WQA12" s="319"/>
      <c r="WQB12" s="319"/>
      <c r="WQC12" s="319"/>
      <c r="WQD12" s="319"/>
      <c r="WQE12" s="319"/>
      <c r="WQF12" s="319"/>
      <c r="WQG12" s="319"/>
      <c r="WQH12" s="319"/>
      <c r="WQI12" s="319"/>
      <c r="WQJ12" s="319"/>
      <c r="WQK12" s="319"/>
      <c r="WQL12" s="319"/>
      <c r="WQM12" s="319"/>
      <c r="WQN12" s="319"/>
      <c r="WQO12" s="319"/>
      <c r="WQP12" s="319"/>
      <c r="WQQ12" s="319"/>
      <c r="WQR12" s="319"/>
      <c r="WQS12" s="319"/>
      <c r="WQT12" s="319"/>
      <c r="WQU12" s="319"/>
      <c r="WQV12" s="319"/>
      <c r="WQW12" s="319"/>
      <c r="WQX12" s="319"/>
      <c r="WQY12" s="319"/>
      <c r="WQZ12" s="319"/>
      <c r="WRA12" s="319"/>
      <c r="WRB12" s="319"/>
      <c r="WRC12" s="319"/>
      <c r="WRD12" s="319"/>
      <c r="WRE12" s="319"/>
      <c r="WRF12" s="319"/>
      <c r="WRG12" s="319"/>
      <c r="WRH12" s="319"/>
      <c r="WRI12" s="319"/>
      <c r="WRJ12" s="319"/>
      <c r="WRK12" s="319"/>
      <c r="WRL12" s="319"/>
      <c r="WRM12" s="319"/>
      <c r="WRN12" s="319"/>
      <c r="WRO12" s="319"/>
      <c r="WRP12" s="319"/>
      <c r="WRQ12" s="319"/>
      <c r="WRR12" s="319"/>
      <c r="WRS12" s="319"/>
      <c r="WRT12" s="319"/>
      <c r="WRU12" s="319"/>
      <c r="WRV12" s="319"/>
      <c r="WRW12" s="319"/>
      <c r="WRX12" s="319"/>
      <c r="WRY12" s="319"/>
      <c r="WRZ12" s="319"/>
      <c r="WSA12" s="319"/>
      <c r="WSB12" s="319"/>
      <c r="WSC12" s="319"/>
      <c r="WSD12" s="319"/>
      <c r="WSE12" s="319"/>
      <c r="WSF12" s="319"/>
      <c r="WSG12" s="319"/>
      <c r="WSH12" s="319"/>
      <c r="WSI12" s="319"/>
      <c r="WSJ12" s="319"/>
      <c r="WSK12" s="319"/>
      <c r="WSL12" s="319"/>
      <c r="WSM12" s="319"/>
      <c r="WSN12" s="319"/>
      <c r="WSO12" s="319"/>
      <c r="WSP12" s="319"/>
      <c r="WSQ12" s="319"/>
      <c r="WSR12" s="319"/>
      <c r="WSS12" s="319"/>
      <c r="WST12" s="319"/>
      <c r="WSU12" s="319"/>
      <c r="WSV12" s="319"/>
      <c r="WSW12" s="319"/>
      <c r="WSX12" s="319"/>
      <c r="WSY12" s="319"/>
      <c r="WSZ12" s="319"/>
      <c r="WTA12" s="319"/>
      <c r="WTB12" s="319"/>
      <c r="WTC12" s="319"/>
      <c r="WTD12" s="319"/>
      <c r="WTE12" s="319"/>
      <c r="WTF12" s="319"/>
      <c r="WTG12" s="319"/>
      <c r="WTH12" s="319"/>
      <c r="WTI12" s="319"/>
      <c r="WTJ12" s="319"/>
      <c r="WTK12" s="319"/>
      <c r="WTL12" s="319"/>
      <c r="WTM12" s="319"/>
      <c r="WTN12" s="319"/>
      <c r="WTO12" s="319"/>
      <c r="WTP12" s="319"/>
      <c r="WTQ12" s="319"/>
      <c r="WTR12" s="319"/>
      <c r="WTS12" s="319"/>
      <c r="WTT12" s="319"/>
      <c r="WTU12" s="319"/>
      <c r="WTV12" s="319"/>
      <c r="WTW12" s="319"/>
      <c r="WTX12" s="319"/>
      <c r="WTY12" s="319"/>
      <c r="WTZ12" s="319"/>
      <c r="WUA12" s="319"/>
      <c r="WUB12" s="319"/>
      <c r="WUC12" s="319"/>
      <c r="WUD12" s="319"/>
      <c r="WUE12" s="319"/>
      <c r="WUF12" s="319"/>
      <c r="WUG12" s="319"/>
      <c r="WUH12" s="319"/>
      <c r="WUI12" s="319"/>
      <c r="WUJ12" s="319"/>
      <c r="WUK12" s="319"/>
      <c r="WUL12" s="319"/>
      <c r="WUM12" s="319"/>
      <c r="WUN12" s="319"/>
      <c r="WUO12" s="319"/>
      <c r="WUP12" s="319"/>
      <c r="WUQ12" s="319"/>
      <c r="WUR12" s="319"/>
      <c r="WUS12" s="319"/>
      <c r="WUT12" s="319"/>
      <c r="WUU12" s="319"/>
      <c r="WUV12" s="319"/>
      <c r="WUW12" s="319"/>
      <c r="WUX12" s="319"/>
      <c r="WUY12" s="319"/>
      <c r="WUZ12" s="319"/>
      <c r="WVA12" s="319"/>
      <c r="WVB12" s="319"/>
      <c r="WVC12" s="319"/>
      <c r="WVD12" s="319"/>
      <c r="WVE12" s="319"/>
      <c r="WVF12" s="319"/>
      <c r="WVG12" s="319"/>
      <c r="WVH12" s="319"/>
      <c r="WVI12" s="319"/>
      <c r="WVJ12" s="319"/>
      <c r="WVK12" s="319"/>
      <c r="WVL12" s="319"/>
      <c r="WVM12" s="319"/>
      <c r="WVN12" s="319"/>
      <c r="WVO12" s="319"/>
      <c r="WVP12" s="319"/>
      <c r="WVQ12" s="319"/>
      <c r="WVR12" s="319"/>
      <c r="WVS12" s="319"/>
      <c r="WVT12" s="319"/>
      <c r="WVU12" s="319"/>
      <c r="WVV12" s="319"/>
      <c r="WVW12" s="319"/>
      <c r="WVX12" s="319"/>
      <c r="WVY12" s="319"/>
      <c r="WVZ12" s="319"/>
      <c r="WWA12" s="319"/>
      <c r="WWB12" s="319"/>
      <c r="WWC12" s="319"/>
      <c r="WWD12" s="319"/>
      <c r="WWE12" s="319"/>
      <c r="WWF12" s="319"/>
      <c r="WWG12" s="319"/>
      <c r="WWH12" s="319"/>
      <c r="WWI12" s="319"/>
      <c r="WWJ12" s="319"/>
      <c r="WWK12" s="319"/>
      <c r="WWL12" s="319"/>
      <c r="WWM12" s="319"/>
      <c r="WWN12" s="319"/>
      <c r="WWO12" s="319"/>
      <c r="WWP12" s="319"/>
      <c r="WWQ12" s="319"/>
      <c r="WWR12" s="319"/>
      <c r="WWS12" s="319"/>
      <c r="WWT12" s="319"/>
      <c r="WWU12" s="319"/>
      <c r="WWV12" s="319"/>
      <c r="WWW12" s="319"/>
      <c r="WWX12" s="319"/>
      <c r="WWY12" s="319"/>
      <c r="WWZ12" s="319"/>
      <c r="WXA12" s="319"/>
      <c r="WXB12" s="319"/>
      <c r="WXC12" s="319"/>
      <c r="WXD12" s="319"/>
      <c r="WXE12" s="319"/>
      <c r="WXF12" s="319"/>
      <c r="WXG12" s="319"/>
      <c r="WXH12" s="319"/>
      <c r="WXI12" s="319"/>
      <c r="WXJ12" s="319"/>
      <c r="WXK12" s="319"/>
      <c r="WXL12" s="319"/>
      <c r="WXM12" s="319"/>
      <c r="WXN12" s="319"/>
      <c r="WXO12" s="319"/>
      <c r="WXP12" s="319"/>
      <c r="WXQ12" s="319"/>
      <c r="WXR12" s="319"/>
      <c r="WXS12" s="319"/>
      <c r="WXT12" s="319"/>
      <c r="WXU12" s="319"/>
      <c r="WXV12" s="319"/>
      <c r="WXW12" s="319"/>
      <c r="WXX12" s="319"/>
      <c r="WXY12" s="319"/>
      <c r="WXZ12" s="319"/>
      <c r="WYA12" s="319"/>
      <c r="WYB12" s="319"/>
      <c r="WYC12" s="319"/>
      <c r="WYD12" s="319"/>
      <c r="WYE12" s="319"/>
      <c r="WYF12" s="319"/>
      <c r="WYG12" s="319"/>
      <c r="WYH12" s="319"/>
      <c r="WYI12" s="319"/>
      <c r="WYJ12" s="319"/>
      <c r="WYK12" s="319"/>
      <c r="WYL12" s="319"/>
      <c r="WYM12" s="319"/>
      <c r="WYN12" s="319"/>
      <c r="WYO12" s="319"/>
      <c r="WYP12" s="319"/>
      <c r="WYQ12" s="319"/>
      <c r="WYR12" s="319"/>
      <c r="WYS12" s="319"/>
      <c r="WYT12" s="319"/>
      <c r="WYU12" s="319"/>
      <c r="WYV12" s="319"/>
      <c r="WYW12" s="319"/>
      <c r="WYX12" s="319"/>
      <c r="WYY12" s="319"/>
      <c r="WYZ12" s="319"/>
      <c r="WZA12" s="319"/>
      <c r="WZB12" s="319"/>
      <c r="WZC12" s="319"/>
      <c r="WZD12" s="319"/>
      <c r="WZE12" s="319"/>
      <c r="WZF12" s="319"/>
      <c r="WZG12" s="319"/>
      <c r="WZH12" s="319"/>
      <c r="WZI12" s="319"/>
      <c r="WZJ12" s="319"/>
      <c r="WZK12" s="319"/>
      <c r="WZL12" s="319"/>
      <c r="WZM12" s="319"/>
      <c r="WZN12" s="319"/>
      <c r="WZO12" s="319"/>
      <c r="WZP12" s="319"/>
      <c r="WZQ12" s="319"/>
      <c r="WZR12" s="319"/>
      <c r="WZS12" s="319"/>
      <c r="WZT12" s="319"/>
      <c r="WZU12" s="319"/>
      <c r="WZV12" s="319"/>
      <c r="WZW12" s="319"/>
      <c r="WZX12" s="319"/>
      <c r="WZY12" s="319"/>
      <c r="WZZ12" s="319"/>
      <c r="XAA12" s="319"/>
      <c r="XAB12" s="319"/>
      <c r="XAC12" s="319"/>
      <c r="XAD12" s="319"/>
      <c r="XAE12" s="319"/>
      <c r="XAF12" s="319"/>
      <c r="XAG12" s="319"/>
      <c r="XAH12" s="319"/>
      <c r="XAI12" s="319"/>
      <c r="XAJ12" s="319"/>
      <c r="XAK12" s="319"/>
      <c r="XAL12" s="319"/>
      <c r="XAM12" s="319"/>
      <c r="XAN12" s="319"/>
      <c r="XAO12" s="319"/>
      <c r="XAP12" s="319"/>
      <c r="XAQ12" s="319"/>
      <c r="XAR12" s="319"/>
      <c r="XAS12" s="319"/>
      <c r="XAT12" s="319"/>
      <c r="XAU12" s="319"/>
      <c r="XAV12" s="319"/>
      <c r="XAW12" s="319"/>
      <c r="XAX12" s="319"/>
      <c r="XAY12" s="319"/>
      <c r="XAZ12" s="319"/>
      <c r="XBA12" s="319"/>
      <c r="XBB12" s="319"/>
      <c r="XBC12" s="319"/>
      <c r="XBD12" s="319"/>
      <c r="XBE12" s="319"/>
      <c r="XBF12" s="319"/>
      <c r="XBG12" s="319"/>
      <c r="XBH12" s="319"/>
      <c r="XBI12" s="319"/>
      <c r="XBJ12" s="319"/>
      <c r="XBK12" s="319"/>
      <c r="XBL12" s="319"/>
      <c r="XBM12" s="319"/>
      <c r="XBN12" s="319"/>
      <c r="XBO12" s="319"/>
      <c r="XBP12" s="319"/>
      <c r="XBQ12" s="319"/>
      <c r="XBR12" s="319"/>
      <c r="XBS12" s="319"/>
      <c r="XBT12" s="319"/>
      <c r="XBU12" s="319"/>
      <c r="XBV12" s="319"/>
      <c r="XBW12" s="319"/>
      <c r="XBX12" s="319"/>
      <c r="XBY12" s="319"/>
      <c r="XBZ12" s="319"/>
      <c r="XCA12" s="319"/>
      <c r="XCB12" s="319"/>
      <c r="XCC12" s="319"/>
      <c r="XCD12" s="319"/>
      <c r="XCE12" s="319"/>
      <c r="XCF12" s="319"/>
      <c r="XCG12" s="319"/>
      <c r="XCH12" s="319"/>
      <c r="XCI12" s="319"/>
      <c r="XCJ12" s="319"/>
      <c r="XCK12" s="319"/>
      <c r="XCL12" s="319"/>
      <c r="XCM12" s="319"/>
      <c r="XCN12" s="319"/>
      <c r="XCO12" s="319"/>
      <c r="XCP12" s="319"/>
      <c r="XCQ12" s="319"/>
      <c r="XCR12" s="319"/>
      <c r="XCS12" s="319"/>
      <c r="XCT12" s="319"/>
      <c r="XCU12" s="319"/>
      <c r="XCV12" s="319"/>
      <c r="XCW12" s="319"/>
      <c r="XCX12" s="319"/>
      <c r="XCY12" s="319"/>
      <c r="XCZ12" s="319"/>
      <c r="XDA12" s="319"/>
      <c r="XDB12" s="319"/>
      <c r="XDC12" s="319"/>
      <c r="XDD12" s="319"/>
      <c r="XDE12" s="319"/>
      <c r="XDF12" s="319"/>
      <c r="XDG12" s="319"/>
      <c r="XDH12" s="319"/>
      <c r="XDI12" s="319"/>
      <c r="XDJ12" s="319"/>
      <c r="XDK12" s="319"/>
      <c r="XDL12" s="319"/>
      <c r="XDM12" s="319"/>
      <c r="XDN12" s="319"/>
      <c r="XDO12" s="319"/>
      <c r="XDP12" s="319"/>
      <c r="XDQ12" s="319"/>
      <c r="XDR12" s="319"/>
      <c r="XDS12" s="319"/>
      <c r="XDT12" s="319"/>
      <c r="XDU12" s="319"/>
      <c r="XDV12" s="319"/>
      <c r="XDW12" s="319"/>
      <c r="XDX12" s="319"/>
      <c r="XDY12" s="319"/>
      <c r="XDZ12" s="319"/>
      <c r="XEA12" s="319"/>
      <c r="XEB12" s="319"/>
      <c r="XEC12" s="319"/>
      <c r="XED12" s="319"/>
      <c r="XEE12" s="319"/>
      <c r="XEF12" s="319"/>
      <c r="XEG12" s="319"/>
      <c r="XEH12" s="319"/>
      <c r="XEI12" s="319"/>
      <c r="XEJ12" s="319"/>
      <c r="XEK12" s="319"/>
      <c r="XEL12" s="319"/>
      <c r="XEM12" s="319"/>
      <c r="XEN12" s="319"/>
      <c r="XEO12" s="319"/>
      <c r="XEP12" s="319"/>
      <c r="XEQ12" s="319"/>
      <c r="XER12" s="319"/>
      <c r="XES12" s="319"/>
      <c r="XET12" s="319"/>
      <c r="XEU12" s="319"/>
      <c r="XEV12" s="319"/>
      <c r="XEW12" s="319"/>
      <c r="XEX12" s="319"/>
      <c r="XEY12" s="319"/>
      <c r="XEZ12" s="319"/>
      <c r="XFA12" s="319"/>
      <c r="XFB12" s="319"/>
      <c r="XFC12" s="319"/>
      <c r="XFD12" s="319"/>
    </row>
    <row r="13" spans="1:16384" ht="57.75" customHeight="1">
      <c r="A13" s="348"/>
      <c r="B13" s="348"/>
      <c r="C13" s="348"/>
      <c r="D13" s="348"/>
      <c r="E13" s="348"/>
      <c r="F13" s="348"/>
      <c r="G13" s="348"/>
      <c r="H13" s="348"/>
      <c r="I13" s="348"/>
      <c r="J13" s="348"/>
      <c r="K13" s="348"/>
      <c r="L13" s="348"/>
      <c r="Q13" s="348"/>
      <c r="R13" s="348"/>
      <c r="S13" s="348"/>
      <c r="T13" s="348"/>
      <c r="U13" s="348"/>
      <c r="V13" s="348"/>
      <c r="W13" s="348"/>
      <c r="X13" s="348"/>
      <c r="Y13" s="348"/>
      <c r="Z13" s="348"/>
      <c r="AA13" s="348"/>
      <c r="AB13" s="348"/>
    </row>
    <row r="14" spans="1:16384" ht="66" customHeight="1">
      <c r="A14" s="348"/>
      <c r="B14" s="348"/>
      <c r="C14" s="348"/>
      <c r="D14" s="348"/>
      <c r="E14" s="348"/>
      <c r="F14" s="348"/>
      <c r="G14" s="348"/>
      <c r="H14" s="348"/>
      <c r="I14" s="348"/>
      <c r="J14" s="348"/>
      <c r="K14" s="348"/>
      <c r="L14" s="348"/>
      <c r="Q14" s="348"/>
      <c r="R14" s="348"/>
      <c r="S14" s="348"/>
      <c r="T14" s="348"/>
      <c r="U14" s="348"/>
      <c r="V14" s="348"/>
      <c r="W14" s="348"/>
      <c r="X14" s="348"/>
      <c r="Y14" s="348"/>
      <c r="Z14" s="348"/>
      <c r="AA14" s="348"/>
      <c r="AB14" s="348"/>
    </row>
    <row r="15" spans="1:16384" ht="168" customHeight="1">
      <c r="A15" s="348"/>
      <c r="B15" s="348"/>
      <c r="C15" s="348"/>
      <c r="D15" s="348"/>
      <c r="E15" s="348"/>
      <c r="F15" s="348"/>
      <c r="G15" s="348"/>
      <c r="H15" s="348"/>
      <c r="I15" s="348"/>
      <c r="J15" s="348"/>
      <c r="K15" s="348"/>
      <c r="L15" s="348"/>
    </row>
    <row r="16" spans="1:16384" ht="90.75" customHeight="1">
      <c r="A16" s="352" t="s">
        <v>243</v>
      </c>
      <c r="B16" s="348"/>
      <c r="C16" s="348"/>
      <c r="D16" s="348"/>
      <c r="E16" s="348"/>
      <c r="F16" s="348"/>
      <c r="G16" s="348"/>
      <c r="H16" s="348"/>
      <c r="I16" s="348"/>
      <c r="J16" s="348"/>
      <c r="K16" s="348"/>
      <c r="L16" s="348"/>
      <c r="M16" s="319"/>
      <c r="N16" s="319"/>
      <c r="O16" s="319"/>
      <c r="P16" s="319"/>
      <c r="Q16" s="319"/>
      <c r="R16" s="319"/>
      <c r="S16" s="319"/>
      <c r="T16" s="319"/>
      <c r="U16" s="319"/>
      <c r="V16" s="319"/>
      <c r="W16" s="319"/>
      <c r="X16" s="319"/>
      <c r="Y16" s="319"/>
      <c r="Z16" s="319"/>
      <c r="AA16" s="319"/>
      <c r="AB16" s="319"/>
      <c r="AC16" s="319"/>
      <c r="AD16" s="319"/>
      <c r="AE16" s="319"/>
      <c r="AF16" s="319"/>
      <c r="AG16" s="319"/>
      <c r="AH16" s="319"/>
      <c r="AI16" s="319"/>
      <c r="AJ16" s="319"/>
      <c r="AK16" s="319"/>
      <c r="AL16" s="319"/>
      <c r="AM16" s="319"/>
      <c r="AN16" s="319"/>
      <c r="AO16" s="319"/>
      <c r="AP16" s="319"/>
      <c r="AQ16" s="319"/>
      <c r="AR16" s="319"/>
      <c r="AS16" s="319"/>
      <c r="AT16" s="319"/>
      <c r="AU16" s="319"/>
      <c r="AV16" s="319"/>
      <c r="AW16" s="319"/>
      <c r="AX16" s="319"/>
      <c r="AY16" s="319"/>
      <c r="AZ16" s="319"/>
      <c r="BA16" s="319"/>
      <c r="BB16" s="319"/>
      <c r="BC16" s="319"/>
      <c r="BD16" s="319"/>
      <c r="BE16" s="319"/>
      <c r="BF16" s="319"/>
      <c r="BG16" s="319"/>
      <c r="BH16" s="319"/>
      <c r="BI16" s="319"/>
      <c r="BJ16" s="319"/>
      <c r="BK16" s="319"/>
      <c r="BL16" s="319"/>
      <c r="BM16" s="319"/>
      <c r="BN16" s="319"/>
      <c r="BO16" s="319"/>
      <c r="BP16" s="319"/>
      <c r="BQ16" s="319"/>
      <c r="BR16" s="319"/>
      <c r="BS16" s="319"/>
      <c r="BT16" s="319"/>
      <c r="BU16" s="319"/>
      <c r="BV16" s="319"/>
      <c r="BW16" s="319"/>
      <c r="BX16" s="319"/>
      <c r="BY16" s="319"/>
      <c r="BZ16" s="319"/>
      <c r="CA16" s="319"/>
      <c r="CB16" s="319"/>
      <c r="CC16" s="319"/>
      <c r="CD16" s="319"/>
      <c r="CE16" s="319"/>
      <c r="CF16" s="319"/>
      <c r="CG16" s="319"/>
      <c r="CH16" s="319"/>
      <c r="CI16" s="319"/>
      <c r="CJ16" s="319"/>
      <c r="CK16" s="319"/>
      <c r="CL16" s="319"/>
      <c r="CM16" s="319"/>
      <c r="CN16" s="319"/>
      <c r="CO16" s="319"/>
      <c r="CP16" s="319"/>
      <c r="CQ16" s="319"/>
      <c r="CR16" s="319"/>
      <c r="CS16" s="319"/>
      <c r="CT16" s="319"/>
      <c r="CU16" s="319"/>
      <c r="CV16" s="319"/>
      <c r="CW16" s="319"/>
      <c r="CX16" s="319"/>
      <c r="CY16" s="319"/>
      <c r="CZ16" s="319"/>
      <c r="DA16" s="319"/>
      <c r="DB16" s="319"/>
      <c r="DC16" s="319"/>
      <c r="DD16" s="319"/>
      <c r="DE16" s="319"/>
      <c r="DF16" s="319"/>
      <c r="DG16" s="319"/>
      <c r="DH16" s="319"/>
      <c r="DI16" s="319"/>
      <c r="DJ16" s="319"/>
      <c r="DK16" s="319"/>
      <c r="DL16" s="319"/>
      <c r="DM16" s="319"/>
      <c r="DN16" s="319"/>
      <c r="DO16" s="319"/>
      <c r="DP16" s="319"/>
      <c r="DQ16" s="319"/>
      <c r="DR16" s="319"/>
      <c r="DS16" s="319"/>
      <c r="DT16" s="319"/>
      <c r="DU16" s="319"/>
      <c r="DV16" s="319"/>
      <c r="DW16" s="319"/>
      <c r="DX16" s="319"/>
      <c r="DY16" s="319"/>
      <c r="DZ16" s="319"/>
      <c r="EA16" s="319"/>
      <c r="EB16" s="319"/>
      <c r="EC16" s="319"/>
      <c r="ED16" s="319"/>
      <c r="EE16" s="319"/>
      <c r="EF16" s="319"/>
      <c r="EG16" s="319"/>
      <c r="EH16" s="319"/>
      <c r="EI16" s="319"/>
      <c r="EJ16" s="319"/>
      <c r="EK16" s="319"/>
      <c r="EL16" s="319"/>
      <c r="EM16" s="319"/>
      <c r="EN16" s="319"/>
      <c r="EO16" s="319"/>
      <c r="EP16" s="319"/>
      <c r="EQ16" s="319"/>
      <c r="ER16" s="319"/>
      <c r="ES16" s="319"/>
      <c r="ET16" s="319"/>
      <c r="EU16" s="319"/>
      <c r="EV16" s="319"/>
      <c r="EW16" s="319"/>
      <c r="EX16" s="319"/>
      <c r="EY16" s="319"/>
      <c r="EZ16" s="319"/>
      <c r="FA16" s="319"/>
      <c r="FB16" s="319"/>
      <c r="FC16" s="319"/>
      <c r="FD16" s="319"/>
      <c r="FE16" s="319"/>
      <c r="FF16" s="319"/>
      <c r="FG16" s="319"/>
      <c r="FH16" s="319"/>
      <c r="FI16" s="319"/>
      <c r="FJ16" s="319"/>
      <c r="FK16" s="319"/>
      <c r="FL16" s="319"/>
      <c r="FM16" s="319"/>
      <c r="FN16" s="319"/>
      <c r="FO16" s="319"/>
      <c r="FP16" s="319"/>
      <c r="FQ16" s="319"/>
      <c r="FR16" s="319"/>
      <c r="FS16" s="319"/>
      <c r="FT16" s="319"/>
      <c r="FU16" s="319"/>
      <c r="FV16" s="319"/>
      <c r="FW16" s="319"/>
      <c r="FX16" s="319"/>
      <c r="FY16" s="319"/>
      <c r="FZ16" s="319"/>
      <c r="GA16" s="319"/>
      <c r="GB16" s="319"/>
      <c r="GC16" s="319"/>
      <c r="GD16" s="319"/>
      <c r="GE16" s="319"/>
      <c r="GF16" s="319"/>
      <c r="GG16" s="319"/>
      <c r="GH16" s="319"/>
      <c r="GI16" s="319"/>
      <c r="GJ16" s="319"/>
      <c r="GK16" s="319"/>
      <c r="GL16" s="319"/>
      <c r="GM16" s="319"/>
      <c r="GN16" s="319"/>
      <c r="GO16" s="319"/>
      <c r="GP16" s="319"/>
      <c r="GQ16" s="319"/>
      <c r="GR16" s="319"/>
      <c r="GS16" s="319"/>
      <c r="GT16" s="319"/>
      <c r="GU16" s="319"/>
      <c r="GV16" s="319"/>
      <c r="GW16" s="319"/>
      <c r="GX16" s="319"/>
      <c r="GY16" s="319"/>
      <c r="GZ16" s="319"/>
      <c r="HA16" s="319"/>
      <c r="HB16" s="319"/>
      <c r="HC16" s="319"/>
      <c r="HD16" s="319"/>
      <c r="HE16" s="319"/>
      <c r="HF16" s="319"/>
      <c r="HG16" s="319"/>
      <c r="HH16" s="319"/>
      <c r="HI16" s="319"/>
      <c r="HJ16" s="319"/>
      <c r="HK16" s="319"/>
      <c r="HL16" s="319"/>
      <c r="HM16" s="319"/>
      <c r="HN16" s="319"/>
      <c r="HO16" s="319"/>
      <c r="HP16" s="319"/>
      <c r="HQ16" s="319"/>
      <c r="HR16" s="319"/>
      <c r="HS16" s="319"/>
      <c r="HT16" s="319"/>
      <c r="HU16" s="319"/>
      <c r="HV16" s="319"/>
      <c r="HW16" s="319"/>
      <c r="HX16" s="319"/>
      <c r="HY16" s="319"/>
      <c r="HZ16" s="319"/>
      <c r="IA16" s="319"/>
      <c r="IB16" s="319"/>
      <c r="IC16" s="319"/>
      <c r="ID16" s="319"/>
      <c r="IE16" s="319"/>
      <c r="IF16" s="319"/>
      <c r="IG16" s="319"/>
      <c r="IH16" s="319"/>
      <c r="II16" s="319"/>
      <c r="IJ16" s="319"/>
      <c r="IK16" s="319"/>
      <c r="IL16" s="319"/>
      <c r="IM16" s="319"/>
      <c r="IN16" s="319"/>
      <c r="IO16" s="319"/>
      <c r="IP16" s="319"/>
      <c r="IQ16" s="319"/>
      <c r="IR16" s="319"/>
      <c r="IS16" s="319"/>
      <c r="IT16" s="319"/>
      <c r="IU16" s="319"/>
      <c r="IV16" s="319"/>
      <c r="IW16" s="319"/>
      <c r="IX16" s="319"/>
      <c r="IY16" s="319"/>
      <c r="IZ16" s="319"/>
      <c r="JA16" s="319"/>
      <c r="JB16" s="319"/>
      <c r="JC16" s="319"/>
      <c r="JD16" s="319"/>
      <c r="JE16" s="319"/>
      <c r="JF16" s="319"/>
      <c r="JG16" s="319"/>
      <c r="JH16" s="319"/>
      <c r="JI16" s="319"/>
      <c r="JJ16" s="319"/>
      <c r="JK16" s="319"/>
      <c r="JL16" s="319"/>
      <c r="JM16" s="319"/>
      <c r="JN16" s="319"/>
      <c r="JO16" s="319"/>
      <c r="JP16" s="319"/>
      <c r="JQ16" s="319"/>
      <c r="JR16" s="319"/>
      <c r="JS16" s="319"/>
      <c r="JT16" s="319"/>
      <c r="JU16" s="319"/>
      <c r="JV16" s="319"/>
      <c r="JW16" s="319"/>
      <c r="JX16" s="319"/>
      <c r="JY16" s="319"/>
      <c r="JZ16" s="319"/>
      <c r="KA16" s="319"/>
      <c r="KB16" s="319"/>
      <c r="KC16" s="319"/>
      <c r="KD16" s="319"/>
      <c r="KE16" s="319"/>
      <c r="KF16" s="319"/>
      <c r="KG16" s="319"/>
      <c r="KH16" s="319"/>
      <c r="KI16" s="319"/>
      <c r="KJ16" s="319"/>
      <c r="KK16" s="319"/>
      <c r="KL16" s="319"/>
      <c r="KM16" s="319"/>
      <c r="KN16" s="319"/>
      <c r="KO16" s="319"/>
      <c r="KP16" s="319"/>
      <c r="KQ16" s="319"/>
      <c r="KR16" s="319"/>
      <c r="KS16" s="319"/>
      <c r="KT16" s="319"/>
      <c r="KU16" s="319"/>
      <c r="KV16" s="319"/>
      <c r="KW16" s="319"/>
      <c r="KX16" s="319"/>
      <c r="KY16" s="319"/>
      <c r="KZ16" s="319"/>
      <c r="LA16" s="319"/>
      <c r="LB16" s="319"/>
      <c r="LC16" s="319"/>
      <c r="LD16" s="319"/>
      <c r="LE16" s="319"/>
      <c r="LF16" s="319"/>
      <c r="LG16" s="319"/>
      <c r="LH16" s="319"/>
      <c r="LI16" s="319"/>
      <c r="LJ16" s="319"/>
      <c r="LK16" s="319"/>
      <c r="LL16" s="319"/>
      <c r="LM16" s="319"/>
      <c r="LN16" s="319"/>
      <c r="LO16" s="319"/>
      <c r="LP16" s="319"/>
      <c r="LQ16" s="319"/>
      <c r="LR16" s="319"/>
      <c r="LS16" s="319"/>
      <c r="LT16" s="319"/>
      <c r="LU16" s="319"/>
      <c r="LV16" s="319"/>
      <c r="LW16" s="319"/>
      <c r="LX16" s="319"/>
      <c r="LY16" s="319"/>
      <c r="LZ16" s="319"/>
      <c r="MA16" s="319"/>
      <c r="MB16" s="319"/>
      <c r="MC16" s="319"/>
      <c r="MD16" s="319"/>
      <c r="ME16" s="319"/>
      <c r="MF16" s="319"/>
      <c r="MG16" s="319"/>
      <c r="MH16" s="319"/>
      <c r="MI16" s="319"/>
      <c r="MJ16" s="319"/>
      <c r="MK16" s="319"/>
      <c r="ML16" s="319"/>
      <c r="MM16" s="319"/>
      <c r="MN16" s="319"/>
      <c r="MO16" s="319"/>
      <c r="MP16" s="319"/>
      <c r="MQ16" s="319"/>
      <c r="MR16" s="319"/>
      <c r="MS16" s="319"/>
      <c r="MT16" s="319"/>
      <c r="MU16" s="319"/>
      <c r="MV16" s="319"/>
      <c r="MW16" s="319"/>
      <c r="MX16" s="319"/>
      <c r="MY16" s="319"/>
      <c r="MZ16" s="319"/>
      <c r="NA16" s="319"/>
      <c r="NB16" s="319"/>
      <c r="NC16" s="319"/>
      <c r="ND16" s="319"/>
      <c r="NE16" s="319"/>
      <c r="NF16" s="319"/>
      <c r="NG16" s="319"/>
      <c r="NH16" s="319"/>
      <c r="NI16" s="319"/>
      <c r="NJ16" s="319"/>
      <c r="NK16" s="319"/>
      <c r="NL16" s="319"/>
      <c r="NM16" s="319"/>
      <c r="NN16" s="319"/>
      <c r="NO16" s="319"/>
      <c r="NP16" s="319"/>
      <c r="NQ16" s="319"/>
      <c r="NR16" s="319"/>
      <c r="NS16" s="319"/>
      <c r="NT16" s="319"/>
      <c r="NU16" s="319"/>
      <c r="NV16" s="319"/>
      <c r="NW16" s="319"/>
      <c r="NX16" s="319"/>
      <c r="NY16" s="319"/>
      <c r="NZ16" s="319"/>
      <c r="OA16" s="319"/>
      <c r="OB16" s="319"/>
      <c r="OC16" s="319"/>
      <c r="OD16" s="319"/>
      <c r="OE16" s="319"/>
      <c r="OF16" s="319"/>
      <c r="OG16" s="319"/>
      <c r="OH16" s="319"/>
      <c r="OI16" s="319"/>
      <c r="OJ16" s="319"/>
      <c r="OK16" s="319"/>
      <c r="OL16" s="319"/>
      <c r="OM16" s="319"/>
      <c r="ON16" s="319"/>
      <c r="OO16" s="319"/>
      <c r="OP16" s="319"/>
      <c r="OQ16" s="319"/>
      <c r="OR16" s="319"/>
      <c r="OS16" s="319"/>
      <c r="OT16" s="319"/>
      <c r="OU16" s="319"/>
      <c r="OV16" s="319"/>
      <c r="OW16" s="319"/>
      <c r="OX16" s="319"/>
      <c r="OY16" s="319"/>
      <c r="OZ16" s="319"/>
      <c r="PA16" s="319"/>
      <c r="PB16" s="319"/>
      <c r="PC16" s="319"/>
      <c r="PD16" s="319"/>
      <c r="PE16" s="319"/>
      <c r="PF16" s="319"/>
      <c r="PG16" s="319"/>
      <c r="PH16" s="319"/>
      <c r="PI16" s="319"/>
      <c r="PJ16" s="319"/>
      <c r="PK16" s="319"/>
      <c r="PL16" s="319"/>
      <c r="PM16" s="319"/>
      <c r="PN16" s="319"/>
      <c r="PO16" s="319"/>
      <c r="PP16" s="319"/>
      <c r="PQ16" s="319"/>
      <c r="PR16" s="319"/>
      <c r="PS16" s="319"/>
      <c r="PT16" s="319"/>
      <c r="PU16" s="319"/>
      <c r="PV16" s="319"/>
      <c r="PW16" s="319"/>
      <c r="PX16" s="319"/>
      <c r="PY16" s="319"/>
      <c r="PZ16" s="319"/>
      <c r="QA16" s="319"/>
      <c r="QB16" s="319"/>
      <c r="QC16" s="319"/>
      <c r="QD16" s="319"/>
      <c r="QE16" s="319"/>
      <c r="QF16" s="319"/>
      <c r="QG16" s="319"/>
      <c r="QH16" s="319"/>
      <c r="QI16" s="319"/>
      <c r="QJ16" s="319"/>
      <c r="QK16" s="319"/>
      <c r="QL16" s="319"/>
      <c r="QM16" s="319"/>
      <c r="QN16" s="319"/>
      <c r="QO16" s="319"/>
      <c r="QP16" s="319"/>
      <c r="QQ16" s="319"/>
      <c r="QR16" s="319"/>
      <c r="QS16" s="319"/>
      <c r="QT16" s="319"/>
      <c r="QU16" s="319"/>
      <c r="QV16" s="319"/>
      <c r="QW16" s="319"/>
      <c r="QX16" s="319"/>
      <c r="QY16" s="319"/>
      <c r="QZ16" s="319"/>
      <c r="RA16" s="319"/>
      <c r="RB16" s="319"/>
      <c r="RC16" s="319"/>
      <c r="RD16" s="319"/>
      <c r="RE16" s="319"/>
      <c r="RF16" s="319"/>
      <c r="RG16" s="319"/>
      <c r="RH16" s="319"/>
      <c r="RI16" s="319"/>
      <c r="RJ16" s="319"/>
      <c r="RK16" s="319"/>
      <c r="RL16" s="319"/>
      <c r="RM16" s="319"/>
      <c r="RN16" s="319"/>
      <c r="RO16" s="319"/>
      <c r="RP16" s="319"/>
      <c r="RQ16" s="319"/>
      <c r="RR16" s="319"/>
      <c r="RS16" s="319"/>
      <c r="RT16" s="319"/>
      <c r="RU16" s="319"/>
      <c r="RV16" s="319"/>
      <c r="RW16" s="319"/>
      <c r="RX16" s="319"/>
      <c r="RY16" s="319"/>
      <c r="RZ16" s="319"/>
      <c r="SA16" s="319"/>
      <c r="SB16" s="319"/>
      <c r="SC16" s="319"/>
      <c r="SD16" s="319"/>
      <c r="SE16" s="319"/>
      <c r="SF16" s="319"/>
      <c r="SG16" s="319"/>
      <c r="SH16" s="319"/>
      <c r="SI16" s="319"/>
      <c r="SJ16" s="319"/>
      <c r="SK16" s="319"/>
      <c r="SL16" s="319"/>
      <c r="SM16" s="319"/>
      <c r="SN16" s="319"/>
      <c r="SO16" s="319"/>
      <c r="SP16" s="319"/>
      <c r="SQ16" s="319"/>
      <c r="SR16" s="319"/>
      <c r="SS16" s="319"/>
      <c r="ST16" s="319"/>
      <c r="SU16" s="319"/>
      <c r="SV16" s="319"/>
      <c r="SW16" s="319"/>
      <c r="SX16" s="319"/>
      <c r="SY16" s="319"/>
      <c r="SZ16" s="319"/>
      <c r="TA16" s="319"/>
      <c r="TB16" s="319"/>
      <c r="TC16" s="319"/>
      <c r="TD16" s="319"/>
      <c r="TE16" s="319"/>
      <c r="TF16" s="319"/>
      <c r="TG16" s="319"/>
      <c r="TH16" s="319"/>
      <c r="TI16" s="319"/>
      <c r="TJ16" s="319"/>
      <c r="TK16" s="319"/>
      <c r="TL16" s="319"/>
      <c r="TM16" s="319"/>
      <c r="TN16" s="319"/>
      <c r="TO16" s="319"/>
      <c r="TP16" s="319"/>
      <c r="TQ16" s="319"/>
      <c r="TR16" s="319"/>
      <c r="TS16" s="319"/>
      <c r="TT16" s="319"/>
      <c r="TU16" s="319"/>
      <c r="TV16" s="319"/>
      <c r="TW16" s="319"/>
      <c r="TX16" s="319"/>
      <c r="TY16" s="319"/>
      <c r="TZ16" s="319"/>
      <c r="UA16" s="319"/>
      <c r="UB16" s="319"/>
      <c r="UC16" s="319"/>
      <c r="UD16" s="319"/>
      <c r="UE16" s="319"/>
      <c r="UF16" s="319"/>
      <c r="UG16" s="319"/>
      <c r="UH16" s="319"/>
      <c r="UI16" s="319"/>
      <c r="UJ16" s="319"/>
      <c r="UK16" s="319"/>
      <c r="UL16" s="319"/>
      <c r="UM16" s="319"/>
      <c r="UN16" s="319"/>
      <c r="UO16" s="319"/>
      <c r="UP16" s="319"/>
      <c r="UQ16" s="319"/>
      <c r="UR16" s="319"/>
      <c r="US16" s="319"/>
      <c r="UT16" s="319"/>
      <c r="UU16" s="319"/>
      <c r="UV16" s="319"/>
      <c r="UW16" s="319"/>
      <c r="UX16" s="319"/>
      <c r="UY16" s="319"/>
      <c r="UZ16" s="319"/>
      <c r="VA16" s="319"/>
      <c r="VB16" s="319"/>
      <c r="VC16" s="319"/>
      <c r="VD16" s="319"/>
      <c r="VE16" s="319"/>
      <c r="VF16" s="319"/>
      <c r="VG16" s="319"/>
      <c r="VH16" s="319"/>
      <c r="VI16" s="319"/>
      <c r="VJ16" s="319"/>
      <c r="VK16" s="319"/>
      <c r="VL16" s="319"/>
      <c r="VM16" s="319"/>
      <c r="VN16" s="319"/>
      <c r="VO16" s="319"/>
      <c r="VP16" s="319"/>
      <c r="VQ16" s="319"/>
      <c r="VR16" s="319"/>
      <c r="VS16" s="319"/>
      <c r="VT16" s="319"/>
      <c r="VU16" s="319"/>
      <c r="VV16" s="319"/>
      <c r="VW16" s="319"/>
      <c r="VX16" s="319"/>
      <c r="VY16" s="319"/>
      <c r="VZ16" s="319"/>
      <c r="WA16" s="319"/>
      <c r="WB16" s="319"/>
      <c r="WC16" s="319"/>
      <c r="WD16" s="319"/>
      <c r="WE16" s="319"/>
      <c r="WF16" s="319"/>
      <c r="WG16" s="319"/>
      <c r="WH16" s="319"/>
      <c r="WI16" s="319"/>
      <c r="WJ16" s="319"/>
      <c r="WK16" s="319"/>
      <c r="WL16" s="319"/>
      <c r="WM16" s="319"/>
      <c r="WN16" s="319"/>
      <c r="WO16" s="319"/>
      <c r="WP16" s="319"/>
      <c r="WQ16" s="319"/>
      <c r="WR16" s="319"/>
      <c r="WS16" s="319"/>
      <c r="WT16" s="319"/>
      <c r="WU16" s="319"/>
      <c r="WV16" s="319"/>
      <c r="WW16" s="319"/>
      <c r="WX16" s="319"/>
      <c r="WY16" s="319"/>
      <c r="WZ16" s="319"/>
      <c r="XA16" s="319"/>
      <c r="XB16" s="319"/>
      <c r="XC16" s="319"/>
      <c r="XD16" s="319"/>
      <c r="XE16" s="319"/>
      <c r="XF16" s="319"/>
      <c r="XG16" s="319"/>
      <c r="XH16" s="319"/>
      <c r="XI16" s="319"/>
      <c r="XJ16" s="319"/>
      <c r="XK16" s="319"/>
      <c r="XL16" s="319"/>
      <c r="XM16" s="319"/>
      <c r="XN16" s="319"/>
      <c r="XO16" s="319"/>
      <c r="XP16" s="319"/>
      <c r="XQ16" s="319"/>
      <c r="XR16" s="319"/>
      <c r="XS16" s="319"/>
      <c r="XT16" s="319"/>
      <c r="XU16" s="319"/>
      <c r="XV16" s="319"/>
      <c r="XW16" s="319"/>
      <c r="XX16" s="319"/>
      <c r="XY16" s="319"/>
      <c r="XZ16" s="319"/>
      <c r="YA16" s="319"/>
      <c r="YB16" s="319"/>
      <c r="YC16" s="319"/>
      <c r="YD16" s="319"/>
      <c r="YE16" s="319"/>
      <c r="YF16" s="319"/>
      <c r="YG16" s="319"/>
      <c r="YH16" s="319"/>
      <c r="YI16" s="319"/>
      <c r="YJ16" s="319"/>
      <c r="YK16" s="319"/>
      <c r="YL16" s="319"/>
      <c r="YM16" s="319"/>
      <c r="YN16" s="319"/>
      <c r="YO16" s="319"/>
      <c r="YP16" s="319"/>
      <c r="YQ16" s="319"/>
      <c r="YR16" s="319"/>
      <c r="YS16" s="319"/>
      <c r="YT16" s="319"/>
      <c r="YU16" s="319"/>
      <c r="YV16" s="319"/>
      <c r="YW16" s="319"/>
      <c r="YX16" s="319"/>
      <c r="YY16" s="319"/>
      <c r="YZ16" s="319"/>
      <c r="ZA16" s="319"/>
      <c r="ZB16" s="319"/>
      <c r="ZC16" s="319"/>
      <c r="ZD16" s="319"/>
      <c r="ZE16" s="319"/>
      <c r="ZF16" s="319"/>
      <c r="ZG16" s="319"/>
      <c r="ZH16" s="319"/>
      <c r="ZI16" s="319"/>
      <c r="ZJ16" s="319"/>
      <c r="ZK16" s="319"/>
      <c r="ZL16" s="319"/>
      <c r="ZM16" s="319"/>
      <c r="ZN16" s="319"/>
      <c r="ZO16" s="319"/>
      <c r="ZP16" s="319"/>
      <c r="ZQ16" s="319"/>
      <c r="ZR16" s="319"/>
      <c r="ZS16" s="319"/>
      <c r="ZT16" s="319"/>
      <c r="ZU16" s="319"/>
      <c r="ZV16" s="319"/>
      <c r="ZW16" s="319"/>
      <c r="ZX16" s="319"/>
      <c r="ZY16" s="319"/>
      <c r="ZZ16" s="319"/>
      <c r="AAA16" s="319"/>
      <c r="AAB16" s="319"/>
      <c r="AAC16" s="319"/>
      <c r="AAD16" s="319"/>
      <c r="AAE16" s="319"/>
      <c r="AAF16" s="319"/>
      <c r="AAG16" s="319"/>
      <c r="AAH16" s="319"/>
      <c r="AAI16" s="319"/>
      <c r="AAJ16" s="319"/>
      <c r="AAK16" s="319"/>
      <c r="AAL16" s="319"/>
      <c r="AAM16" s="319"/>
      <c r="AAN16" s="319"/>
      <c r="AAO16" s="319"/>
      <c r="AAP16" s="319"/>
      <c r="AAQ16" s="319"/>
      <c r="AAR16" s="319"/>
      <c r="AAS16" s="319"/>
      <c r="AAT16" s="319"/>
      <c r="AAU16" s="319"/>
      <c r="AAV16" s="319"/>
      <c r="AAW16" s="319"/>
      <c r="AAX16" s="319"/>
      <c r="AAY16" s="319"/>
      <c r="AAZ16" s="319"/>
      <c r="ABA16" s="319"/>
      <c r="ABB16" s="319"/>
      <c r="ABC16" s="319"/>
      <c r="ABD16" s="319"/>
      <c r="ABE16" s="319"/>
      <c r="ABF16" s="319"/>
      <c r="ABG16" s="319"/>
      <c r="ABH16" s="319"/>
      <c r="ABI16" s="319"/>
      <c r="ABJ16" s="319"/>
      <c r="ABK16" s="319"/>
      <c r="ABL16" s="319"/>
      <c r="ABM16" s="319"/>
      <c r="ABN16" s="319"/>
      <c r="ABO16" s="319"/>
      <c r="ABP16" s="319"/>
      <c r="ABQ16" s="319"/>
      <c r="ABR16" s="319"/>
      <c r="ABS16" s="319"/>
      <c r="ABT16" s="319"/>
      <c r="ABU16" s="319"/>
      <c r="ABV16" s="319"/>
      <c r="ABW16" s="319"/>
      <c r="ABX16" s="319"/>
      <c r="ABY16" s="319"/>
      <c r="ABZ16" s="319"/>
      <c r="ACA16" s="319"/>
      <c r="ACB16" s="319"/>
      <c r="ACC16" s="319"/>
      <c r="ACD16" s="319"/>
      <c r="ACE16" s="319"/>
      <c r="ACF16" s="319"/>
      <c r="ACG16" s="319"/>
      <c r="ACH16" s="319"/>
      <c r="ACI16" s="319"/>
      <c r="ACJ16" s="319"/>
      <c r="ACK16" s="319"/>
      <c r="ACL16" s="319"/>
      <c r="ACM16" s="319"/>
      <c r="ACN16" s="319"/>
      <c r="ACO16" s="319"/>
      <c r="ACP16" s="319"/>
      <c r="ACQ16" s="319"/>
      <c r="ACR16" s="319"/>
      <c r="ACS16" s="319"/>
      <c r="ACT16" s="319"/>
      <c r="ACU16" s="319"/>
      <c r="ACV16" s="319"/>
      <c r="ACW16" s="319"/>
      <c r="ACX16" s="319"/>
      <c r="ACY16" s="319"/>
      <c r="ACZ16" s="319"/>
      <c r="ADA16" s="319"/>
      <c r="ADB16" s="319"/>
      <c r="ADC16" s="319"/>
      <c r="ADD16" s="319"/>
      <c r="ADE16" s="319"/>
      <c r="ADF16" s="319"/>
      <c r="ADG16" s="319"/>
      <c r="ADH16" s="319"/>
      <c r="ADI16" s="319"/>
      <c r="ADJ16" s="319"/>
      <c r="ADK16" s="319"/>
      <c r="ADL16" s="319"/>
      <c r="ADM16" s="319"/>
      <c r="ADN16" s="319"/>
      <c r="ADO16" s="319"/>
      <c r="ADP16" s="319"/>
      <c r="ADQ16" s="319"/>
      <c r="ADR16" s="319"/>
      <c r="ADS16" s="319"/>
      <c r="ADT16" s="319"/>
      <c r="ADU16" s="319"/>
      <c r="ADV16" s="319"/>
      <c r="ADW16" s="319"/>
      <c r="ADX16" s="319"/>
      <c r="ADY16" s="319"/>
      <c r="ADZ16" s="319"/>
      <c r="AEA16" s="319"/>
      <c r="AEB16" s="319"/>
      <c r="AEC16" s="319"/>
      <c r="AED16" s="319"/>
      <c r="AEE16" s="319"/>
      <c r="AEF16" s="319"/>
      <c r="AEG16" s="319"/>
      <c r="AEH16" s="319"/>
      <c r="AEI16" s="319"/>
      <c r="AEJ16" s="319"/>
      <c r="AEK16" s="319"/>
      <c r="AEL16" s="319"/>
      <c r="AEM16" s="319"/>
      <c r="AEN16" s="319"/>
      <c r="AEO16" s="319"/>
      <c r="AEP16" s="319"/>
      <c r="AEQ16" s="319"/>
      <c r="AER16" s="319"/>
      <c r="AES16" s="319"/>
      <c r="AET16" s="319"/>
      <c r="AEU16" s="319"/>
      <c r="AEV16" s="319"/>
      <c r="AEW16" s="319"/>
      <c r="AEX16" s="319"/>
      <c r="AEY16" s="319"/>
      <c r="AEZ16" s="319"/>
      <c r="AFA16" s="319"/>
      <c r="AFB16" s="319"/>
      <c r="AFC16" s="319"/>
      <c r="AFD16" s="319"/>
      <c r="AFE16" s="319"/>
      <c r="AFF16" s="319"/>
      <c r="AFG16" s="319"/>
      <c r="AFH16" s="319"/>
      <c r="AFI16" s="319"/>
      <c r="AFJ16" s="319"/>
      <c r="AFK16" s="319"/>
      <c r="AFL16" s="319"/>
      <c r="AFM16" s="319"/>
      <c r="AFN16" s="319"/>
      <c r="AFO16" s="319"/>
      <c r="AFP16" s="319"/>
      <c r="AFQ16" s="319"/>
      <c r="AFR16" s="319"/>
      <c r="AFS16" s="319"/>
      <c r="AFT16" s="319"/>
      <c r="AFU16" s="319"/>
      <c r="AFV16" s="319"/>
      <c r="AFW16" s="319"/>
      <c r="AFX16" s="319"/>
      <c r="AFY16" s="319"/>
      <c r="AFZ16" s="319"/>
      <c r="AGA16" s="319"/>
      <c r="AGB16" s="319"/>
      <c r="AGC16" s="319"/>
      <c r="AGD16" s="319"/>
      <c r="AGE16" s="319"/>
      <c r="AGF16" s="319"/>
      <c r="AGG16" s="319"/>
      <c r="AGH16" s="319"/>
      <c r="AGI16" s="319"/>
      <c r="AGJ16" s="319"/>
      <c r="AGK16" s="319"/>
      <c r="AGL16" s="319"/>
      <c r="AGM16" s="319"/>
      <c r="AGN16" s="319"/>
      <c r="AGO16" s="319"/>
      <c r="AGP16" s="319"/>
      <c r="AGQ16" s="319"/>
      <c r="AGR16" s="319"/>
      <c r="AGS16" s="319"/>
      <c r="AGT16" s="319"/>
      <c r="AGU16" s="319"/>
      <c r="AGV16" s="319"/>
      <c r="AGW16" s="319"/>
      <c r="AGX16" s="319"/>
      <c r="AGY16" s="319"/>
      <c r="AGZ16" s="319"/>
      <c r="AHA16" s="319"/>
      <c r="AHB16" s="319"/>
      <c r="AHC16" s="319"/>
      <c r="AHD16" s="319"/>
      <c r="AHE16" s="319"/>
      <c r="AHF16" s="319"/>
      <c r="AHG16" s="319"/>
      <c r="AHH16" s="319"/>
      <c r="AHI16" s="319"/>
      <c r="AHJ16" s="319"/>
      <c r="AHK16" s="319"/>
      <c r="AHL16" s="319"/>
      <c r="AHM16" s="319"/>
      <c r="AHN16" s="319"/>
      <c r="AHO16" s="319"/>
      <c r="AHP16" s="319"/>
      <c r="AHQ16" s="319"/>
      <c r="AHR16" s="319"/>
      <c r="AHS16" s="319"/>
      <c r="AHT16" s="319"/>
      <c r="AHU16" s="319"/>
      <c r="AHV16" s="319"/>
      <c r="AHW16" s="319"/>
      <c r="AHX16" s="319"/>
      <c r="AHY16" s="319"/>
      <c r="AHZ16" s="319"/>
      <c r="AIA16" s="319"/>
      <c r="AIB16" s="319"/>
      <c r="AIC16" s="319"/>
      <c r="AID16" s="319"/>
      <c r="AIE16" s="319"/>
      <c r="AIF16" s="319"/>
      <c r="AIG16" s="319"/>
      <c r="AIH16" s="319"/>
      <c r="AII16" s="319"/>
      <c r="AIJ16" s="319"/>
      <c r="AIK16" s="319"/>
      <c r="AIL16" s="319"/>
      <c r="AIM16" s="319"/>
      <c r="AIN16" s="319"/>
      <c r="AIO16" s="319"/>
      <c r="AIP16" s="319"/>
      <c r="AIQ16" s="319"/>
      <c r="AIR16" s="319"/>
      <c r="AIS16" s="319"/>
      <c r="AIT16" s="319"/>
      <c r="AIU16" s="319"/>
      <c r="AIV16" s="319"/>
      <c r="AIW16" s="319"/>
      <c r="AIX16" s="319"/>
      <c r="AIY16" s="319"/>
      <c r="AIZ16" s="319"/>
      <c r="AJA16" s="319"/>
      <c r="AJB16" s="319"/>
      <c r="AJC16" s="319"/>
      <c r="AJD16" s="319"/>
      <c r="AJE16" s="319"/>
      <c r="AJF16" s="319"/>
      <c r="AJG16" s="319"/>
      <c r="AJH16" s="319"/>
      <c r="AJI16" s="319"/>
      <c r="AJJ16" s="319"/>
      <c r="AJK16" s="319"/>
      <c r="AJL16" s="319"/>
      <c r="AJM16" s="319"/>
      <c r="AJN16" s="319"/>
      <c r="AJO16" s="319"/>
      <c r="AJP16" s="319"/>
      <c r="AJQ16" s="319"/>
      <c r="AJR16" s="319"/>
      <c r="AJS16" s="319"/>
      <c r="AJT16" s="319"/>
      <c r="AJU16" s="319"/>
      <c r="AJV16" s="319"/>
      <c r="AJW16" s="319"/>
      <c r="AJX16" s="319"/>
      <c r="AJY16" s="319"/>
      <c r="AJZ16" s="319"/>
      <c r="AKA16" s="319"/>
      <c r="AKB16" s="319"/>
      <c r="AKC16" s="319"/>
      <c r="AKD16" s="319"/>
      <c r="AKE16" s="319"/>
      <c r="AKF16" s="319"/>
      <c r="AKG16" s="319"/>
      <c r="AKH16" s="319"/>
      <c r="AKI16" s="319"/>
      <c r="AKJ16" s="319"/>
      <c r="AKK16" s="319"/>
      <c r="AKL16" s="319"/>
      <c r="AKM16" s="319"/>
      <c r="AKN16" s="319"/>
      <c r="AKO16" s="319"/>
      <c r="AKP16" s="319"/>
      <c r="AKQ16" s="319"/>
      <c r="AKR16" s="319"/>
      <c r="AKS16" s="319"/>
      <c r="AKT16" s="319"/>
      <c r="AKU16" s="319"/>
      <c r="AKV16" s="319"/>
      <c r="AKW16" s="319"/>
      <c r="AKX16" s="319"/>
      <c r="AKY16" s="319"/>
      <c r="AKZ16" s="319"/>
      <c r="ALA16" s="319"/>
      <c r="ALB16" s="319"/>
      <c r="ALC16" s="319"/>
      <c r="ALD16" s="319"/>
      <c r="ALE16" s="319"/>
      <c r="ALF16" s="319"/>
      <c r="ALG16" s="319"/>
      <c r="ALH16" s="319"/>
      <c r="ALI16" s="319"/>
      <c r="ALJ16" s="319"/>
      <c r="ALK16" s="319"/>
      <c r="ALL16" s="319"/>
      <c r="ALM16" s="319"/>
      <c r="ALN16" s="319"/>
      <c r="ALO16" s="319"/>
      <c r="ALP16" s="319"/>
      <c r="ALQ16" s="319"/>
      <c r="ALR16" s="319"/>
      <c r="ALS16" s="319"/>
      <c r="ALT16" s="319"/>
      <c r="ALU16" s="319"/>
      <c r="ALV16" s="319"/>
      <c r="ALW16" s="319"/>
      <c r="ALX16" s="319"/>
      <c r="ALY16" s="319"/>
      <c r="ALZ16" s="319"/>
      <c r="AMA16" s="319"/>
      <c r="AMB16" s="319"/>
      <c r="AMC16" s="319"/>
      <c r="AMD16" s="319"/>
      <c r="AME16" s="319"/>
      <c r="AMF16" s="319"/>
      <c r="AMG16" s="319"/>
      <c r="AMH16" s="319"/>
      <c r="AMI16" s="319"/>
      <c r="AMJ16" s="319"/>
      <c r="AMK16" s="319"/>
      <c r="AML16" s="319"/>
      <c r="AMM16" s="319"/>
      <c r="AMN16" s="319"/>
      <c r="AMO16" s="319"/>
      <c r="AMP16" s="319"/>
      <c r="AMQ16" s="319"/>
      <c r="AMR16" s="319"/>
      <c r="AMS16" s="319"/>
      <c r="AMT16" s="319"/>
      <c r="AMU16" s="319"/>
      <c r="AMV16" s="319"/>
      <c r="AMW16" s="319"/>
      <c r="AMX16" s="319"/>
      <c r="AMY16" s="319"/>
      <c r="AMZ16" s="319"/>
      <c r="ANA16" s="319"/>
      <c r="ANB16" s="319"/>
      <c r="ANC16" s="319"/>
      <c r="AND16" s="319"/>
      <c r="ANE16" s="319"/>
      <c r="ANF16" s="319"/>
      <c r="ANG16" s="319"/>
      <c r="ANH16" s="319"/>
      <c r="ANI16" s="319"/>
      <c r="ANJ16" s="319"/>
      <c r="ANK16" s="319"/>
      <c r="ANL16" s="319"/>
      <c r="ANM16" s="319"/>
      <c r="ANN16" s="319"/>
      <c r="ANO16" s="319"/>
      <c r="ANP16" s="319"/>
      <c r="ANQ16" s="319"/>
      <c r="ANR16" s="319"/>
      <c r="ANS16" s="319"/>
      <c r="ANT16" s="319"/>
      <c r="ANU16" s="319"/>
      <c r="ANV16" s="319"/>
      <c r="ANW16" s="319"/>
      <c r="ANX16" s="319"/>
      <c r="ANY16" s="319"/>
      <c r="ANZ16" s="319"/>
      <c r="AOA16" s="319"/>
      <c r="AOB16" s="319"/>
      <c r="AOC16" s="319"/>
      <c r="AOD16" s="319"/>
      <c r="AOE16" s="319"/>
      <c r="AOF16" s="319"/>
      <c r="AOG16" s="319"/>
      <c r="AOH16" s="319"/>
      <c r="AOI16" s="319"/>
      <c r="AOJ16" s="319"/>
      <c r="AOK16" s="319"/>
      <c r="AOL16" s="319"/>
      <c r="AOM16" s="319"/>
      <c r="AON16" s="319"/>
      <c r="AOO16" s="319"/>
      <c r="AOP16" s="319"/>
      <c r="AOQ16" s="319"/>
      <c r="AOR16" s="319"/>
      <c r="AOS16" s="319"/>
      <c r="AOT16" s="319"/>
      <c r="AOU16" s="319"/>
      <c r="AOV16" s="319"/>
      <c r="AOW16" s="319"/>
      <c r="AOX16" s="319"/>
      <c r="AOY16" s="319"/>
      <c r="AOZ16" s="319"/>
      <c r="APA16" s="319"/>
      <c r="APB16" s="319"/>
      <c r="APC16" s="319"/>
      <c r="APD16" s="319"/>
      <c r="APE16" s="319"/>
      <c r="APF16" s="319"/>
      <c r="APG16" s="319"/>
      <c r="APH16" s="319"/>
      <c r="API16" s="319"/>
      <c r="APJ16" s="319"/>
      <c r="APK16" s="319"/>
      <c r="APL16" s="319"/>
      <c r="APM16" s="319"/>
      <c r="APN16" s="319"/>
      <c r="APO16" s="319"/>
      <c r="APP16" s="319"/>
      <c r="APQ16" s="319"/>
      <c r="APR16" s="319"/>
      <c r="APS16" s="319"/>
      <c r="APT16" s="319"/>
      <c r="APU16" s="319"/>
      <c r="APV16" s="319"/>
      <c r="APW16" s="319"/>
      <c r="APX16" s="319"/>
      <c r="APY16" s="319"/>
      <c r="APZ16" s="319"/>
      <c r="AQA16" s="319"/>
      <c r="AQB16" s="319"/>
      <c r="AQC16" s="319"/>
      <c r="AQD16" s="319"/>
      <c r="AQE16" s="319"/>
      <c r="AQF16" s="319"/>
      <c r="AQG16" s="319"/>
      <c r="AQH16" s="319"/>
      <c r="AQI16" s="319"/>
      <c r="AQJ16" s="319"/>
      <c r="AQK16" s="319"/>
      <c r="AQL16" s="319"/>
      <c r="AQM16" s="319"/>
      <c r="AQN16" s="319"/>
      <c r="AQO16" s="319"/>
      <c r="AQP16" s="319"/>
      <c r="AQQ16" s="319"/>
      <c r="AQR16" s="319"/>
      <c r="AQS16" s="319"/>
      <c r="AQT16" s="319"/>
      <c r="AQU16" s="319"/>
      <c r="AQV16" s="319"/>
      <c r="AQW16" s="319"/>
      <c r="AQX16" s="319"/>
      <c r="AQY16" s="319"/>
      <c r="AQZ16" s="319"/>
      <c r="ARA16" s="319"/>
      <c r="ARB16" s="319"/>
      <c r="ARC16" s="319"/>
      <c r="ARD16" s="319"/>
      <c r="ARE16" s="319"/>
      <c r="ARF16" s="319"/>
      <c r="ARG16" s="319"/>
      <c r="ARH16" s="319"/>
      <c r="ARI16" s="319"/>
      <c r="ARJ16" s="319"/>
      <c r="ARK16" s="319"/>
      <c r="ARL16" s="319"/>
      <c r="ARM16" s="319"/>
      <c r="ARN16" s="319"/>
      <c r="ARO16" s="319"/>
      <c r="ARP16" s="319"/>
      <c r="ARQ16" s="319"/>
      <c r="ARR16" s="319"/>
      <c r="ARS16" s="319"/>
      <c r="ART16" s="319"/>
      <c r="ARU16" s="319"/>
      <c r="ARV16" s="319"/>
      <c r="ARW16" s="319"/>
      <c r="ARX16" s="319"/>
      <c r="ARY16" s="319"/>
      <c r="ARZ16" s="319"/>
      <c r="ASA16" s="319"/>
      <c r="ASB16" s="319"/>
      <c r="ASC16" s="319"/>
      <c r="ASD16" s="319"/>
      <c r="ASE16" s="319"/>
      <c r="ASF16" s="319"/>
      <c r="ASG16" s="319"/>
      <c r="ASH16" s="319"/>
      <c r="ASI16" s="319"/>
      <c r="ASJ16" s="319"/>
      <c r="ASK16" s="319"/>
      <c r="ASL16" s="319"/>
      <c r="ASM16" s="319"/>
      <c r="ASN16" s="319"/>
      <c r="ASO16" s="319"/>
      <c r="ASP16" s="319"/>
      <c r="ASQ16" s="319"/>
      <c r="ASR16" s="319"/>
      <c r="ASS16" s="319"/>
      <c r="AST16" s="319"/>
      <c r="ASU16" s="319"/>
      <c r="ASV16" s="319"/>
      <c r="ASW16" s="319"/>
      <c r="ASX16" s="319"/>
      <c r="ASY16" s="319"/>
      <c r="ASZ16" s="319"/>
      <c r="ATA16" s="319"/>
      <c r="ATB16" s="319"/>
      <c r="ATC16" s="319"/>
      <c r="ATD16" s="319"/>
      <c r="ATE16" s="319"/>
      <c r="ATF16" s="319"/>
      <c r="ATG16" s="319"/>
      <c r="ATH16" s="319"/>
      <c r="ATI16" s="319"/>
      <c r="ATJ16" s="319"/>
      <c r="ATK16" s="319"/>
      <c r="ATL16" s="319"/>
      <c r="ATM16" s="319"/>
      <c r="ATN16" s="319"/>
      <c r="ATO16" s="319"/>
      <c r="ATP16" s="319"/>
      <c r="ATQ16" s="319"/>
      <c r="ATR16" s="319"/>
      <c r="ATS16" s="319"/>
      <c r="ATT16" s="319"/>
      <c r="ATU16" s="319"/>
      <c r="ATV16" s="319"/>
      <c r="ATW16" s="319"/>
      <c r="ATX16" s="319"/>
      <c r="ATY16" s="319"/>
      <c r="ATZ16" s="319"/>
      <c r="AUA16" s="319"/>
      <c r="AUB16" s="319"/>
      <c r="AUC16" s="319"/>
      <c r="AUD16" s="319"/>
      <c r="AUE16" s="319"/>
      <c r="AUF16" s="319"/>
      <c r="AUG16" s="319"/>
      <c r="AUH16" s="319"/>
      <c r="AUI16" s="319"/>
      <c r="AUJ16" s="319"/>
      <c r="AUK16" s="319"/>
      <c r="AUL16" s="319"/>
      <c r="AUM16" s="319"/>
      <c r="AUN16" s="319"/>
      <c r="AUO16" s="319"/>
      <c r="AUP16" s="319"/>
      <c r="AUQ16" s="319"/>
      <c r="AUR16" s="319"/>
      <c r="AUS16" s="319"/>
      <c r="AUT16" s="319"/>
      <c r="AUU16" s="319"/>
      <c r="AUV16" s="319"/>
      <c r="AUW16" s="319"/>
      <c r="AUX16" s="319"/>
      <c r="AUY16" s="319"/>
      <c r="AUZ16" s="319"/>
      <c r="AVA16" s="319"/>
      <c r="AVB16" s="319"/>
      <c r="AVC16" s="319"/>
      <c r="AVD16" s="319"/>
      <c r="AVE16" s="319"/>
      <c r="AVF16" s="319"/>
      <c r="AVG16" s="319"/>
      <c r="AVH16" s="319"/>
      <c r="AVI16" s="319"/>
      <c r="AVJ16" s="319"/>
      <c r="AVK16" s="319"/>
      <c r="AVL16" s="319"/>
      <c r="AVM16" s="319"/>
      <c r="AVN16" s="319"/>
      <c r="AVO16" s="319"/>
      <c r="AVP16" s="319"/>
      <c r="AVQ16" s="319"/>
      <c r="AVR16" s="319"/>
      <c r="AVS16" s="319"/>
      <c r="AVT16" s="319"/>
      <c r="AVU16" s="319"/>
      <c r="AVV16" s="319"/>
      <c r="AVW16" s="319"/>
      <c r="AVX16" s="319"/>
      <c r="AVY16" s="319"/>
      <c r="AVZ16" s="319"/>
      <c r="AWA16" s="319"/>
      <c r="AWB16" s="319"/>
      <c r="AWC16" s="319"/>
      <c r="AWD16" s="319"/>
      <c r="AWE16" s="319"/>
      <c r="AWF16" s="319"/>
      <c r="AWG16" s="319"/>
      <c r="AWH16" s="319"/>
      <c r="AWI16" s="319"/>
      <c r="AWJ16" s="319"/>
      <c r="AWK16" s="319"/>
      <c r="AWL16" s="319"/>
      <c r="AWM16" s="319"/>
      <c r="AWN16" s="319"/>
      <c r="AWO16" s="319"/>
      <c r="AWP16" s="319"/>
      <c r="AWQ16" s="319"/>
      <c r="AWR16" s="319"/>
      <c r="AWS16" s="319"/>
      <c r="AWT16" s="319"/>
      <c r="AWU16" s="319"/>
      <c r="AWV16" s="319"/>
      <c r="AWW16" s="319"/>
      <c r="AWX16" s="319"/>
      <c r="AWY16" s="319"/>
      <c r="AWZ16" s="319"/>
      <c r="AXA16" s="319"/>
      <c r="AXB16" s="319"/>
      <c r="AXC16" s="319"/>
      <c r="AXD16" s="319"/>
      <c r="AXE16" s="319"/>
      <c r="AXF16" s="319"/>
      <c r="AXG16" s="319"/>
      <c r="AXH16" s="319"/>
      <c r="AXI16" s="319"/>
      <c r="AXJ16" s="319"/>
      <c r="AXK16" s="319"/>
      <c r="AXL16" s="319"/>
      <c r="AXM16" s="319"/>
      <c r="AXN16" s="319"/>
      <c r="AXO16" s="319"/>
      <c r="AXP16" s="319"/>
      <c r="AXQ16" s="319"/>
      <c r="AXR16" s="319"/>
      <c r="AXS16" s="319"/>
      <c r="AXT16" s="319"/>
      <c r="AXU16" s="319"/>
      <c r="AXV16" s="319"/>
      <c r="AXW16" s="319"/>
      <c r="AXX16" s="319"/>
      <c r="AXY16" s="319"/>
      <c r="AXZ16" s="319"/>
      <c r="AYA16" s="319"/>
      <c r="AYB16" s="319"/>
      <c r="AYC16" s="319"/>
      <c r="AYD16" s="319"/>
      <c r="AYE16" s="319"/>
      <c r="AYF16" s="319"/>
      <c r="AYG16" s="319"/>
      <c r="AYH16" s="319"/>
      <c r="AYI16" s="319"/>
      <c r="AYJ16" s="319"/>
      <c r="AYK16" s="319"/>
      <c r="AYL16" s="319"/>
      <c r="AYM16" s="319"/>
      <c r="AYN16" s="319"/>
      <c r="AYO16" s="319"/>
      <c r="AYP16" s="319"/>
      <c r="AYQ16" s="319"/>
      <c r="AYR16" s="319"/>
      <c r="AYS16" s="319"/>
      <c r="AYT16" s="319"/>
      <c r="AYU16" s="319"/>
      <c r="AYV16" s="319"/>
      <c r="AYW16" s="319"/>
      <c r="AYX16" s="319"/>
      <c r="AYY16" s="319"/>
      <c r="AYZ16" s="319"/>
      <c r="AZA16" s="319"/>
      <c r="AZB16" s="319"/>
      <c r="AZC16" s="319"/>
      <c r="AZD16" s="319"/>
      <c r="AZE16" s="319"/>
      <c r="AZF16" s="319"/>
      <c r="AZG16" s="319"/>
      <c r="AZH16" s="319"/>
      <c r="AZI16" s="319"/>
      <c r="AZJ16" s="319"/>
      <c r="AZK16" s="319"/>
      <c r="AZL16" s="319"/>
      <c r="AZM16" s="319"/>
      <c r="AZN16" s="319"/>
      <c r="AZO16" s="319"/>
      <c r="AZP16" s="319"/>
      <c r="AZQ16" s="319"/>
      <c r="AZR16" s="319"/>
      <c r="AZS16" s="319"/>
      <c r="AZT16" s="319"/>
      <c r="AZU16" s="319"/>
      <c r="AZV16" s="319"/>
      <c r="AZW16" s="319"/>
      <c r="AZX16" s="319"/>
      <c r="AZY16" s="319"/>
      <c r="AZZ16" s="319"/>
      <c r="BAA16" s="319"/>
      <c r="BAB16" s="319"/>
      <c r="BAC16" s="319"/>
      <c r="BAD16" s="319"/>
      <c r="BAE16" s="319"/>
      <c r="BAF16" s="319"/>
      <c r="BAG16" s="319"/>
      <c r="BAH16" s="319"/>
      <c r="BAI16" s="319"/>
      <c r="BAJ16" s="319"/>
      <c r="BAK16" s="319"/>
      <c r="BAL16" s="319"/>
      <c r="BAM16" s="319"/>
      <c r="BAN16" s="319"/>
      <c r="BAO16" s="319"/>
      <c r="BAP16" s="319"/>
      <c r="BAQ16" s="319"/>
      <c r="BAR16" s="319"/>
      <c r="BAS16" s="319"/>
      <c r="BAT16" s="319"/>
      <c r="BAU16" s="319"/>
      <c r="BAV16" s="319"/>
      <c r="BAW16" s="319"/>
      <c r="BAX16" s="319"/>
      <c r="BAY16" s="319"/>
      <c r="BAZ16" s="319"/>
      <c r="BBA16" s="319"/>
      <c r="BBB16" s="319"/>
      <c r="BBC16" s="319"/>
      <c r="BBD16" s="319"/>
      <c r="BBE16" s="319"/>
      <c r="BBF16" s="319"/>
      <c r="BBG16" s="319"/>
      <c r="BBH16" s="319"/>
      <c r="BBI16" s="319"/>
      <c r="BBJ16" s="319"/>
      <c r="BBK16" s="319"/>
      <c r="BBL16" s="319"/>
      <c r="BBM16" s="319"/>
      <c r="BBN16" s="319"/>
      <c r="BBO16" s="319"/>
      <c r="BBP16" s="319"/>
      <c r="BBQ16" s="319"/>
      <c r="BBR16" s="319"/>
      <c r="BBS16" s="319"/>
      <c r="BBT16" s="319"/>
      <c r="BBU16" s="319"/>
      <c r="BBV16" s="319"/>
      <c r="BBW16" s="319"/>
      <c r="BBX16" s="319"/>
      <c r="BBY16" s="319"/>
      <c r="BBZ16" s="319"/>
      <c r="BCA16" s="319"/>
      <c r="BCB16" s="319"/>
      <c r="BCC16" s="319"/>
      <c r="BCD16" s="319"/>
      <c r="BCE16" s="319"/>
      <c r="BCF16" s="319"/>
      <c r="BCG16" s="319"/>
      <c r="BCH16" s="319"/>
      <c r="BCI16" s="319"/>
      <c r="BCJ16" s="319"/>
      <c r="BCK16" s="319"/>
      <c r="BCL16" s="319"/>
      <c r="BCM16" s="319"/>
      <c r="BCN16" s="319"/>
      <c r="BCO16" s="319"/>
      <c r="BCP16" s="319"/>
      <c r="BCQ16" s="319"/>
      <c r="BCR16" s="319"/>
      <c r="BCS16" s="319"/>
      <c r="BCT16" s="319"/>
      <c r="BCU16" s="319"/>
      <c r="BCV16" s="319"/>
      <c r="BCW16" s="319"/>
      <c r="BCX16" s="319"/>
      <c r="BCY16" s="319"/>
      <c r="BCZ16" s="319"/>
      <c r="BDA16" s="319"/>
      <c r="BDB16" s="319"/>
      <c r="BDC16" s="319"/>
      <c r="BDD16" s="319"/>
      <c r="BDE16" s="319"/>
      <c r="BDF16" s="319"/>
      <c r="BDG16" s="319"/>
      <c r="BDH16" s="319"/>
      <c r="BDI16" s="319"/>
      <c r="BDJ16" s="319"/>
      <c r="BDK16" s="319"/>
      <c r="BDL16" s="319"/>
      <c r="BDM16" s="319"/>
      <c r="BDN16" s="319"/>
      <c r="BDO16" s="319"/>
      <c r="BDP16" s="319"/>
      <c r="BDQ16" s="319"/>
      <c r="BDR16" s="319"/>
      <c r="BDS16" s="319"/>
      <c r="BDT16" s="319"/>
      <c r="BDU16" s="319"/>
      <c r="BDV16" s="319"/>
      <c r="BDW16" s="319"/>
      <c r="BDX16" s="319"/>
      <c r="BDY16" s="319"/>
      <c r="BDZ16" s="319"/>
      <c r="BEA16" s="319"/>
      <c r="BEB16" s="319"/>
      <c r="BEC16" s="319"/>
      <c r="BED16" s="319"/>
      <c r="BEE16" s="319"/>
      <c r="BEF16" s="319"/>
      <c r="BEG16" s="319"/>
      <c r="BEH16" s="319"/>
      <c r="BEI16" s="319"/>
      <c r="BEJ16" s="319"/>
      <c r="BEK16" s="319"/>
      <c r="BEL16" s="319"/>
      <c r="BEM16" s="319"/>
      <c r="BEN16" s="319"/>
      <c r="BEO16" s="319"/>
      <c r="BEP16" s="319"/>
      <c r="BEQ16" s="319"/>
      <c r="BER16" s="319"/>
      <c r="BES16" s="319"/>
      <c r="BET16" s="319"/>
      <c r="BEU16" s="319"/>
      <c r="BEV16" s="319"/>
      <c r="BEW16" s="319"/>
      <c r="BEX16" s="319"/>
      <c r="BEY16" s="319"/>
      <c r="BEZ16" s="319"/>
      <c r="BFA16" s="319"/>
      <c r="BFB16" s="319"/>
      <c r="BFC16" s="319"/>
      <c r="BFD16" s="319"/>
      <c r="BFE16" s="319"/>
      <c r="BFF16" s="319"/>
      <c r="BFG16" s="319"/>
      <c r="BFH16" s="319"/>
      <c r="BFI16" s="319"/>
      <c r="BFJ16" s="319"/>
      <c r="BFK16" s="319"/>
      <c r="BFL16" s="319"/>
      <c r="BFM16" s="319"/>
      <c r="BFN16" s="319"/>
      <c r="BFO16" s="319"/>
      <c r="BFP16" s="319"/>
      <c r="BFQ16" s="319"/>
      <c r="BFR16" s="319"/>
      <c r="BFS16" s="319"/>
      <c r="BFT16" s="319"/>
      <c r="BFU16" s="319"/>
      <c r="BFV16" s="319"/>
      <c r="BFW16" s="319"/>
      <c r="BFX16" s="319"/>
      <c r="BFY16" s="319"/>
      <c r="BFZ16" s="319"/>
      <c r="BGA16" s="319"/>
      <c r="BGB16" s="319"/>
      <c r="BGC16" s="319"/>
      <c r="BGD16" s="319"/>
      <c r="BGE16" s="319"/>
      <c r="BGF16" s="319"/>
      <c r="BGG16" s="319"/>
      <c r="BGH16" s="319"/>
      <c r="BGI16" s="319"/>
      <c r="BGJ16" s="319"/>
      <c r="BGK16" s="319"/>
      <c r="BGL16" s="319"/>
      <c r="BGM16" s="319"/>
      <c r="BGN16" s="319"/>
      <c r="BGO16" s="319"/>
      <c r="BGP16" s="319"/>
      <c r="BGQ16" s="319"/>
      <c r="BGR16" s="319"/>
      <c r="BGS16" s="319"/>
      <c r="BGT16" s="319"/>
      <c r="BGU16" s="319"/>
      <c r="BGV16" s="319"/>
      <c r="BGW16" s="319"/>
      <c r="BGX16" s="319"/>
      <c r="BGY16" s="319"/>
      <c r="BGZ16" s="319"/>
      <c r="BHA16" s="319"/>
      <c r="BHB16" s="319"/>
      <c r="BHC16" s="319"/>
      <c r="BHD16" s="319"/>
      <c r="BHE16" s="319"/>
      <c r="BHF16" s="319"/>
      <c r="BHG16" s="319"/>
      <c r="BHH16" s="319"/>
      <c r="BHI16" s="319"/>
      <c r="BHJ16" s="319"/>
      <c r="BHK16" s="319"/>
      <c r="BHL16" s="319"/>
      <c r="BHM16" s="319"/>
      <c r="BHN16" s="319"/>
      <c r="BHO16" s="319"/>
      <c r="BHP16" s="319"/>
      <c r="BHQ16" s="319"/>
      <c r="BHR16" s="319"/>
      <c r="BHS16" s="319"/>
      <c r="BHT16" s="319"/>
      <c r="BHU16" s="319"/>
      <c r="BHV16" s="319"/>
      <c r="BHW16" s="319"/>
      <c r="BHX16" s="319"/>
      <c r="BHY16" s="319"/>
      <c r="BHZ16" s="319"/>
      <c r="BIA16" s="319"/>
      <c r="BIB16" s="319"/>
      <c r="BIC16" s="319"/>
      <c r="BID16" s="319"/>
      <c r="BIE16" s="319"/>
      <c r="BIF16" s="319"/>
      <c r="BIG16" s="319"/>
      <c r="BIH16" s="319"/>
      <c r="BII16" s="319"/>
      <c r="BIJ16" s="319"/>
      <c r="BIK16" s="319"/>
      <c r="BIL16" s="319"/>
      <c r="BIM16" s="319"/>
      <c r="BIN16" s="319"/>
      <c r="BIO16" s="319"/>
      <c r="BIP16" s="319"/>
      <c r="BIQ16" s="319"/>
      <c r="BIR16" s="319"/>
      <c r="BIS16" s="319"/>
      <c r="BIT16" s="319"/>
      <c r="BIU16" s="319"/>
      <c r="BIV16" s="319"/>
      <c r="BIW16" s="319"/>
      <c r="BIX16" s="319"/>
      <c r="BIY16" s="319"/>
      <c r="BIZ16" s="319"/>
      <c r="BJA16" s="319"/>
      <c r="BJB16" s="319"/>
      <c r="BJC16" s="319"/>
      <c r="BJD16" s="319"/>
      <c r="BJE16" s="319"/>
      <c r="BJF16" s="319"/>
      <c r="BJG16" s="319"/>
      <c r="BJH16" s="319"/>
      <c r="BJI16" s="319"/>
      <c r="BJJ16" s="319"/>
      <c r="BJK16" s="319"/>
      <c r="BJL16" s="319"/>
      <c r="BJM16" s="319"/>
      <c r="BJN16" s="319"/>
      <c r="BJO16" s="319"/>
      <c r="BJP16" s="319"/>
      <c r="BJQ16" s="319"/>
      <c r="BJR16" s="319"/>
      <c r="BJS16" s="319"/>
      <c r="BJT16" s="319"/>
      <c r="BJU16" s="319"/>
      <c r="BJV16" s="319"/>
      <c r="BJW16" s="319"/>
      <c r="BJX16" s="319"/>
      <c r="BJY16" s="319"/>
      <c r="BJZ16" s="319"/>
      <c r="BKA16" s="319"/>
      <c r="BKB16" s="319"/>
      <c r="BKC16" s="319"/>
      <c r="BKD16" s="319"/>
      <c r="BKE16" s="319"/>
      <c r="BKF16" s="319"/>
      <c r="BKG16" s="319"/>
      <c r="BKH16" s="319"/>
      <c r="BKI16" s="319"/>
      <c r="BKJ16" s="319"/>
      <c r="BKK16" s="319"/>
      <c r="BKL16" s="319"/>
      <c r="BKM16" s="319"/>
      <c r="BKN16" s="319"/>
      <c r="BKO16" s="319"/>
      <c r="BKP16" s="319"/>
      <c r="BKQ16" s="319"/>
      <c r="BKR16" s="319"/>
      <c r="BKS16" s="319"/>
      <c r="BKT16" s="319"/>
      <c r="BKU16" s="319"/>
      <c r="BKV16" s="319"/>
      <c r="BKW16" s="319"/>
      <c r="BKX16" s="319"/>
      <c r="BKY16" s="319"/>
      <c r="BKZ16" s="319"/>
      <c r="BLA16" s="319"/>
      <c r="BLB16" s="319"/>
      <c r="BLC16" s="319"/>
      <c r="BLD16" s="319"/>
      <c r="BLE16" s="319"/>
      <c r="BLF16" s="319"/>
      <c r="BLG16" s="319"/>
      <c r="BLH16" s="319"/>
      <c r="BLI16" s="319"/>
      <c r="BLJ16" s="319"/>
      <c r="BLK16" s="319"/>
      <c r="BLL16" s="319"/>
      <c r="BLM16" s="319"/>
      <c r="BLN16" s="319"/>
      <c r="BLO16" s="319"/>
      <c r="BLP16" s="319"/>
      <c r="BLQ16" s="319"/>
      <c r="BLR16" s="319"/>
      <c r="BLS16" s="319"/>
      <c r="BLT16" s="319"/>
      <c r="BLU16" s="319"/>
      <c r="BLV16" s="319"/>
      <c r="BLW16" s="319"/>
      <c r="BLX16" s="319"/>
      <c r="BLY16" s="319"/>
      <c r="BLZ16" s="319"/>
      <c r="BMA16" s="319"/>
      <c r="BMB16" s="319"/>
      <c r="BMC16" s="319"/>
      <c r="BMD16" s="319"/>
      <c r="BME16" s="319"/>
      <c r="BMF16" s="319"/>
      <c r="BMG16" s="319"/>
      <c r="BMH16" s="319"/>
      <c r="BMI16" s="319"/>
      <c r="BMJ16" s="319"/>
      <c r="BMK16" s="319"/>
      <c r="BML16" s="319"/>
      <c r="BMM16" s="319"/>
      <c r="BMN16" s="319"/>
      <c r="BMO16" s="319"/>
      <c r="BMP16" s="319"/>
      <c r="BMQ16" s="319"/>
      <c r="BMR16" s="319"/>
      <c r="BMS16" s="319"/>
      <c r="BMT16" s="319"/>
      <c r="BMU16" s="319"/>
      <c r="BMV16" s="319"/>
      <c r="BMW16" s="319"/>
      <c r="BMX16" s="319"/>
      <c r="BMY16" s="319"/>
      <c r="BMZ16" s="319"/>
      <c r="BNA16" s="319"/>
      <c r="BNB16" s="319"/>
      <c r="BNC16" s="319"/>
      <c r="BND16" s="319"/>
      <c r="BNE16" s="319"/>
      <c r="BNF16" s="319"/>
      <c r="BNG16" s="319"/>
      <c r="BNH16" s="319"/>
      <c r="BNI16" s="319"/>
      <c r="BNJ16" s="319"/>
      <c r="BNK16" s="319"/>
      <c r="BNL16" s="319"/>
      <c r="BNM16" s="319"/>
      <c r="BNN16" s="319"/>
      <c r="BNO16" s="319"/>
      <c r="BNP16" s="319"/>
      <c r="BNQ16" s="319"/>
      <c r="BNR16" s="319"/>
      <c r="BNS16" s="319"/>
      <c r="BNT16" s="319"/>
      <c r="BNU16" s="319"/>
      <c r="BNV16" s="319"/>
      <c r="BNW16" s="319"/>
      <c r="BNX16" s="319"/>
      <c r="BNY16" s="319"/>
      <c r="BNZ16" s="319"/>
      <c r="BOA16" s="319"/>
      <c r="BOB16" s="319"/>
      <c r="BOC16" s="319"/>
      <c r="BOD16" s="319"/>
      <c r="BOE16" s="319"/>
      <c r="BOF16" s="319"/>
      <c r="BOG16" s="319"/>
      <c r="BOH16" s="319"/>
      <c r="BOI16" s="319"/>
      <c r="BOJ16" s="319"/>
      <c r="BOK16" s="319"/>
      <c r="BOL16" s="319"/>
      <c r="BOM16" s="319"/>
      <c r="BON16" s="319"/>
      <c r="BOO16" s="319"/>
      <c r="BOP16" s="319"/>
      <c r="BOQ16" s="319"/>
      <c r="BOR16" s="319"/>
      <c r="BOS16" s="319"/>
      <c r="BOT16" s="319"/>
      <c r="BOU16" s="319"/>
      <c r="BOV16" s="319"/>
      <c r="BOW16" s="319"/>
      <c r="BOX16" s="319"/>
      <c r="BOY16" s="319"/>
      <c r="BOZ16" s="319"/>
      <c r="BPA16" s="319"/>
      <c r="BPB16" s="319"/>
      <c r="BPC16" s="319"/>
      <c r="BPD16" s="319"/>
      <c r="BPE16" s="319"/>
      <c r="BPF16" s="319"/>
      <c r="BPG16" s="319"/>
      <c r="BPH16" s="319"/>
      <c r="BPI16" s="319"/>
      <c r="BPJ16" s="319"/>
      <c r="BPK16" s="319"/>
      <c r="BPL16" s="319"/>
      <c r="BPM16" s="319"/>
      <c r="BPN16" s="319"/>
      <c r="BPO16" s="319"/>
      <c r="BPP16" s="319"/>
      <c r="BPQ16" s="319"/>
      <c r="BPR16" s="319"/>
      <c r="BPS16" s="319"/>
      <c r="BPT16" s="319"/>
      <c r="BPU16" s="319"/>
      <c r="BPV16" s="319"/>
      <c r="BPW16" s="319"/>
      <c r="BPX16" s="319"/>
      <c r="BPY16" s="319"/>
      <c r="BPZ16" s="319"/>
      <c r="BQA16" s="319"/>
      <c r="BQB16" s="319"/>
      <c r="BQC16" s="319"/>
      <c r="BQD16" s="319"/>
      <c r="BQE16" s="319"/>
      <c r="BQF16" s="319"/>
      <c r="BQG16" s="319"/>
      <c r="BQH16" s="319"/>
      <c r="BQI16" s="319"/>
      <c r="BQJ16" s="319"/>
      <c r="BQK16" s="319"/>
      <c r="BQL16" s="319"/>
      <c r="BQM16" s="319"/>
      <c r="BQN16" s="319"/>
      <c r="BQO16" s="319"/>
      <c r="BQP16" s="319"/>
      <c r="BQQ16" s="319"/>
      <c r="BQR16" s="319"/>
      <c r="BQS16" s="319"/>
      <c r="BQT16" s="319"/>
      <c r="BQU16" s="319"/>
      <c r="BQV16" s="319"/>
      <c r="BQW16" s="319"/>
      <c r="BQX16" s="319"/>
      <c r="BQY16" s="319"/>
      <c r="BQZ16" s="319"/>
      <c r="BRA16" s="319"/>
      <c r="BRB16" s="319"/>
      <c r="BRC16" s="319"/>
      <c r="BRD16" s="319"/>
      <c r="BRE16" s="319"/>
      <c r="BRF16" s="319"/>
      <c r="BRG16" s="319"/>
      <c r="BRH16" s="319"/>
      <c r="BRI16" s="319"/>
      <c r="BRJ16" s="319"/>
      <c r="BRK16" s="319"/>
      <c r="BRL16" s="319"/>
      <c r="BRM16" s="319"/>
      <c r="BRN16" s="319"/>
      <c r="BRO16" s="319"/>
      <c r="BRP16" s="319"/>
      <c r="BRQ16" s="319"/>
      <c r="BRR16" s="319"/>
      <c r="BRS16" s="319"/>
      <c r="BRT16" s="319"/>
      <c r="BRU16" s="319"/>
      <c r="BRV16" s="319"/>
      <c r="BRW16" s="319"/>
      <c r="BRX16" s="319"/>
      <c r="BRY16" s="319"/>
      <c r="BRZ16" s="319"/>
      <c r="BSA16" s="319"/>
      <c r="BSB16" s="319"/>
      <c r="BSC16" s="319"/>
      <c r="BSD16" s="319"/>
      <c r="BSE16" s="319"/>
      <c r="BSF16" s="319"/>
      <c r="BSG16" s="319"/>
      <c r="BSH16" s="319"/>
      <c r="BSI16" s="319"/>
      <c r="BSJ16" s="319"/>
      <c r="BSK16" s="319"/>
      <c r="BSL16" s="319"/>
      <c r="BSM16" s="319"/>
      <c r="BSN16" s="319"/>
      <c r="BSO16" s="319"/>
      <c r="BSP16" s="319"/>
      <c r="BSQ16" s="319"/>
      <c r="BSR16" s="319"/>
      <c r="BSS16" s="319"/>
      <c r="BST16" s="319"/>
      <c r="BSU16" s="319"/>
      <c r="BSV16" s="319"/>
      <c r="BSW16" s="319"/>
      <c r="BSX16" s="319"/>
      <c r="BSY16" s="319"/>
      <c r="BSZ16" s="319"/>
      <c r="BTA16" s="319"/>
      <c r="BTB16" s="319"/>
      <c r="BTC16" s="319"/>
      <c r="BTD16" s="319"/>
      <c r="BTE16" s="319"/>
      <c r="BTF16" s="319"/>
      <c r="BTG16" s="319"/>
      <c r="BTH16" s="319"/>
      <c r="BTI16" s="319"/>
      <c r="BTJ16" s="319"/>
      <c r="BTK16" s="319"/>
      <c r="BTL16" s="319"/>
      <c r="BTM16" s="319"/>
      <c r="BTN16" s="319"/>
      <c r="BTO16" s="319"/>
      <c r="BTP16" s="319"/>
      <c r="BTQ16" s="319"/>
      <c r="BTR16" s="319"/>
      <c r="BTS16" s="319"/>
      <c r="BTT16" s="319"/>
      <c r="BTU16" s="319"/>
      <c r="BTV16" s="319"/>
      <c r="BTW16" s="319"/>
      <c r="BTX16" s="319"/>
      <c r="BTY16" s="319"/>
      <c r="BTZ16" s="319"/>
      <c r="BUA16" s="319"/>
      <c r="BUB16" s="319"/>
      <c r="BUC16" s="319"/>
      <c r="BUD16" s="319"/>
      <c r="BUE16" s="319"/>
      <c r="BUF16" s="319"/>
      <c r="BUG16" s="319"/>
      <c r="BUH16" s="319"/>
      <c r="BUI16" s="319"/>
      <c r="BUJ16" s="319"/>
      <c r="BUK16" s="319"/>
      <c r="BUL16" s="319"/>
      <c r="BUM16" s="319"/>
      <c r="BUN16" s="319"/>
      <c r="BUO16" s="319"/>
      <c r="BUP16" s="319"/>
      <c r="BUQ16" s="319"/>
      <c r="BUR16" s="319"/>
      <c r="BUS16" s="319"/>
      <c r="BUT16" s="319"/>
      <c r="BUU16" s="319"/>
      <c r="BUV16" s="319"/>
      <c r="BUW16" s="319"/>
      <c r="BUX16" s="319"/>
      <c r="BUY16" s="319"/>
      <c r="BUZ16" s="319"/>
      <c r="BVA16" s="319"/>
      <c r="BVB16" s="319"/>
      <c r="BVC16" s="319"/>
      <c r="BVD16" s="319"/>
      <c r="BVE16" s="319"/>
      <c r="BVF16" s="319"/>
      <c r="BVG16" s="319"/>
      <c r="BVH16" s="319"/>
      <c r="BVI16" s="319"/>
      <c r="BVJ16" s="319"/>
      <c r="BVK16" s="319"/>
      <c r="BVL16" s="319"/>
      <c r="BVM16" s="319"/>
      <c r="BVN16" s="319"/>
      <c r="BVO16" s="319"/>
      <c r="BVP16" s="319"/>
      <c r="BVQ16" s="319"/>
      <c r="BVR16" s="319"/>
      <c r="BVS16" s="319"/>
      <c r="BVT16" s="319"/>
      <c r="BVU16" s="319"/>
      <c r="BVV16" s="319"/>
      <c r="BVW16" s="319"/>
      <c r="BVX16" s="319"/>
      <c r="BVY16" s="319"/>
      <c r="BVZ16" s="319"/>
      <c r="BWA16" s="319"/>
      <c r="BWB16" s="319"/>
      <c r="BWC16" s="319"/>
      <c r="BWD16" s="319"/>
      <c r="BWE16" s="319"/>
      <c r="BWF16" s="319"/>
      <c r="BWG16" s="319"/>
      <c r="BWH16" s="319"/>
      <c r="BWI16" s="319"/>
      <c r="BWJ16" s="319"/>
      <c r="BWK16" s="319"/>
      <c r="BWL16" s="319"/>
      <c r="BWM16" s="319"/>
      <c r="BWN16" s="319"/>
      <c r="BWO16" s="319"/>
      <c r="BWP16" s="319"/>
      <c r="BWQ16" s="319"/>
      <c r="BWR16" s="319"/>
      <c r="BWS16" s="319"/>
      <c r="BWT16" s="319"/>
      <c r="BWU16" s="319"/>
      <c r="BWV16" s="319"/>
      <c r="BWW16" s="319"/>
      <c r="BWX16" s="319"/>
      <c r="BWY16" s="319"/>
      <c r="BWZ16" s="319"/>
      <c r="BXA16" s="319"/>
      <c r="BXB16" s="319"/>
      <c r="BXC16" s="319"/>
      <c r="BXD16" s="319"/>
      <c r="BXE16" s="319"/>
      <c r="BXF16" s="319"/>
      <c r="BXG16" s="319"/>
      <c r="BXH16" s="319"/>
      <c r="BXI16" s="319"/>
      <c r="BXJ16" s="319"/>
      <c r="BXK16" s="319"/>
      <c r="BXL16" s="319"/>
      <c r="BXM16" s="319"/>
      <c r="BXN16" s="319"/>
      <c r="BXO16" s="319"/>
      <c r="BXP16" s="319"/>
      <c r="BXQ16" s="319"/>
      <c r="BXR16" s="319"/>
      <c r="BXS16" s="319"/>
      <c r="BXT16" s="319"/>
      <c r="BXU16" s="319"/>
      <c r="BXV16" s="319"/>
      <c r="BXW16" s="319"/>
      <c r="BXX16" s="319"/>
      <c r="BXY16" s="319"/>
      <c r="BXZ16" s="319"/>
      <c r="BYA16" s="319"/>
      <c r="BYB16" s="319"/>
      <c r="BYC16" s="319"/>
      <c r="BYD16" s="319"/>
      <c r="BYE16" s="319"/>
      <c r="BYF16" s="319"/>
      <c r="BYG16" s="319"/>
      <c r="BYH16" s="319"/>
      <c r="BYI16" s="319"/>
      <c r="BYJ16" s="319"/>
      <c r="BYK16" s="319"/>
      <c r="BYL16" s="319"/>
      <c r="BYM16" s="319"/>
      <c r="BYN16" s="319"/>
      <c r="BYO16" s="319"/>
      <c r="BYP16" s="319"/>
      <c r="BYQ16" s="319"/>
      <c r="BYR16" s="319"/>
      <c r="BYS16" s="319"/>
      <c r="BYT16" s="319"/>
      <c r="BYU16" s="319"/>
      <c r="BYV16" s="319"/>
      <c r="BYW16" s="319"/>
      <c r="BYX16" s="319"/>
      <c r="BYY16" s="319"/>
      <c r="BYZ16" s="319"/>
      <c r="BZA16" s="319"/>
      <c r="BZB16" s="319"/>
      <c r="BZC16" s="319"/>
      <c r="BZD16" s="319"/>
      <c r="BZE16" s="319"/>
      <c r="BZF16" s="319"/>
      <c r="BZG16" s="319"/>
      <c r="BZH16" s="319"/>
      <c r="BZI16" s="319"/>
      <c r="BZJ16" s="319"/>
      <c r="BZK16" s="319"/>
      <c r="BZL16" s="319"/>
      <c r="BZM16" s="319"/>
      <c r="BZN16" s="319"/>
      <c r="BZO16" s="319"/>
      <c r="BZP16" s="319"/>
      <c r="BZQ16" s="319"/>
      <c r="BZR16" s="319"/>
      <c r="BZS16" s="319"/>
      <c r="BZT16" s="319"/>
      <c r="BZU16" s="319"/>
      <c r="BZV16" s="319"/>
      <c r="BZW16" s="319"/>
      <c r="BZX16" s="319"/>
      <c r="BZY16" s="319"/>
      <c r="BZZ16" s="319"/>
      <c r="CAA16" s="319"/>
      <c r="CAB16" s="319"/>
      <c r="CAC16" s="319"/>
      <c r="CAD16" s="319"/>
      <c r="CAE16" s="319"/>
      <c r="CAF16" s="319"/>
      <c r="CAG16" s="319"/>
      <c r="CAH16" s="319"/>
      <c r="CAI16" s="319"/>
      <c r="CAJ16" s="319"/>
      <c r="CAK16" s="319"/>
      <c r="CAL16" s="319"/>
      <c r="CAM16" s="319"/>
      <c r="CAN16" s="319"/>
      <c r="CAO16" s="319"/>
      <c r="CAP16" s="319"/>
      <c r="CAQ16" s="319"/>
      <c r="CAR16" s="319"/>
      <c r="CAS16" s="319"/>
      <c r="CAT16" s="319"/>
      <c r="CAU16" s="319"/>
      <c r="CAV16" s="319"/>
      <c r="CAW16" s="319"/>
      <c r="CAX16" s="319"/>
      <c r="CAY16" s="319"/>
      <c r="CAZ16" s="319"/>
      <c r="CBA16" s="319"/>
      <c r="CBB16" s="319"/>
      <c r="CBC16" s="319"/>
      <c r="CBD16" s="319"/>
      <c r="CBE16" s="319"/>
      <c r="CBF16" s="319"/>
      <c r="CBG16" s="319"/>
      <c r="CBH16" s="319"/>
      <c r="CBI16" s="319"/>
      <c r="CBJ16" s="319"/>
      <c r="CBK16" s="319"/>
      <c r="CBL16" s="319"/>
      <c r="CBM16" s="319"/>
      <c r="CBN16" s="319"/>
      <c r="CBO16" s="319"/>
      <c r="CBP16" s="319"/>
      <c r="CBQ16" s="319"/>
      <c r="CBR16" s="319"/>
      <c r="CBS16" s="319"/>
      <c r="CBT16" s="319"/>
      <c r="CBU16" s="319"/>
      <c r="CBV16" s="319"/>
      <c r="CBW16" s="319"/>
      <c r="CBX16" s="319"/>
      <c r="CBY16" s="319"/>
      <c r="CBZ16" s="319"/>
      <c r="CCA16" s="319"/>
      <c r="CCB16" s="319"/>
      <c r="CCC16" s="319"/>
      <c r="CCD16" s="319"/>
      <c r="CCE16" s="319"/>
      <c r="CCF16" s="319"/>
      <c r="CCG16" s="319"/>
      <c r="CCH16" s="319"/>
      <c r="CCI16" s="319"/>
      <c r="CCJ16" s="319"/>
      <c r="CCK16" s="319"/>
      <c r="CCL16" s="319"/>
      <c r="CCM16" s="319"/>
      <c r="CCN16" s="319"/>
      <c r="CCO16" s="319"/>
      <c r="CCP16" s="319"/>
      <c r="CCQ16" s="319"/>
      <c r="CCR16" s="319"/>
      <c r="CCS16" s="319"/>
      <c r="CCT16" s="319"/>
      <c r="CCU16" s="319"/>
      <c r="CCV16" s="319"/>
      <c r="CCW16" s="319"/>
      <c r="CCX16" s="319"/>
      <c r="CCY16" s="319"/>
      <c r="CCZ16" s="319"/>
      <c r="CDA16" s="319"/>
      <c r="CDB16" s="319"/>
      <c r="CDC16" s="319"/>
      <c r="CDD16" s="319"/>
      <c r="CDE16" s="319"/>
      <c r="CDF16" s="319"/>
      <c r="CDG16" s="319"/>
      <c r="CDH16" s="319"/>
      <c r="CDI16" s="319"/>
      <c r="CDJ16" s="319"/>
      <c r="CDK16" s="319"/>
      <c r="CDL16" s="319"/>
      <c r="CDM16" s="319"/>
      <c r="CDN16" s="319"/>
      <c r="CDO16" s="319"/>
      <c r="CDP16" s="319"/>
      <c r="CDQ16" s="319"/>
      <c r="CDR16" s="319"/>
      <c r="CDS16" s="319"/>
      <c r="CDT16" s="319"/>
      <c r="CDU16" s="319"/>
      <c r="CDV16" s="319"/>
      <c r="CDW16" s="319"/>
      <c r="CDX16" s="319"/>
      <c r="CDY16" s="319"/>
      <c r="CDZ16" s="319"/>
      <c r="CEA16" s="319"/>
      <c r="CEB16" s="319"/>
      <c r="CEC16" s="319"/>
      <c r="CED16" s="319"/>
      <c r="CEE16" s="319"/>
      <c r="CEF16" s="319"/>
      <c r="CEG16" s="319"/>
      <c r="CEH16" s="319"/>
      <c r="CEI16" s="319"/>
      <c r="CEJ16" s="319"/>
      <c r="CEK16" s="319"/>
      <c r="CEL16" s="319"/>
      <c r="CEM16" s="319"/>
      <c r="CEN16" s="319"/>
      <c r="CEO16" s="319"/>
      <c r="CEP16" s="319"/>
      <c r="CEQ16" s="319"/>
      <c r="CER16" s="319"/>
      <c r="CES16" s="319"/>
      <c r="CET16" s="319"/>
      <c r="CEU16" s="319"/>
      <c r="CEV16" s="319"/>
      <c r="CEW16" s="319"/>
      <c r="CEX16" s="319"/>
      <c r="CEY16" s="319"/>
      <c r="CEZ16" s="319"/>
      <c r="CFA16" s="319"/>
      <c r="CFB16" s="319"/>
      <c r="CFC16" s="319"/>
      <c r="CFD16" s="319"/>
      <c r="CFE16" s="319"/>
      <c r="CFF16" s="319"/>
      <c r="CFG16" s="319"/>
      <c r="CFH16" s="319"/>
      <c r="CFI16" s="319"/>
      <c r="CFJ16" s="319"/>
      <c r="CFK16" s="319"/>
      <c r="CFL16" s="319"/>
      <c r="CFM16" s="319"/>
      <c r="CFN16" s="319"/>
      <c r="CFO16" s="319"/>
      <c r="CFP16" s="319"/>
      <c r="CFQ16" s="319"/>
      <c r="CFR16" s="319"/>
      <c r="CFS16" s="319"/>
      <c r="CFT16" s="319"/>
      <c r="CFU16" s="319"/>
      <c r="CFV16" s="319"/>
      <c r="CFW16" s="319"/>
      <c r="CFX16" s="319"/>
      <c r="CFY16" s="319"/>
      <c r="CFZ16" s="319"/>
      <c r="CGA16" s="319"/>
      <c r="CGB16" s="319"/>
      <c r="CGC16" s="319"/>
      <c r="CGD16" s="319"/>
      <c r="CGE16" s="319"/>
      <c r="CGF16" s="319"/>
      <c r="CGG16" s="319"/>
      <c r="CGH16" s="319"/>
      <c r="CGI16" s="319"/>
      <c r="CGJ16" s="319"/>
      <c r="CGK16" s="319"/>
      <c r="CGL16" s="319"/>
      <c r="CGM16" s="319"/>
      <c r="CGN16" s="319"/>
      <c r="CGO16" s="319"/>
      <c r="CGP16" s="319"/>
      <c r="CGQ16" s="319"/>
      <c r="CGR16" s="319"/>
      <c r="CGS16" s="319"/>
      <c r="CGT16" s="319"/>
      <c r="CGU16" s="319"/>
      <c r="CGV16" s="319"/>
      <c r="CGW16" s="319"/>
      <c r="CGX16" s="319"/>
      <c r="CGY16" s="319"/>
      <c r="CGZ16" s="319"/>
      <c r="CHA16" s="319"/>
      <c r="CHB16" s="319"/>
      <c r="CHC16" s="319"/>
      <c r="CHD16" s="319"/>
      <c r="CHE16" s="319"/>
      <c r="CHF16" s="319"/>
      <c r="CHG16" s="319"/>
      <c r="CHH16" s="319"/>
      <c r="CHI16" s="319"/>
      <c r="CHJ16" s="319"/>
      <c r="CHK16" s="319"/>
      <c r="CHL16" s="319"/>
      <c r="CHM16" s="319"/>
      <c r="CHN16" s="319"/>
      <c r="CHO16" s="319"/>
      <c r="CHP16" s="319"/>
      <c r="CHQ16" s="319"/>
      <c r="CHR16" s="319"/>
      <c r="CHS16" s="319"/>
      <c r="CHT16" s="319"/>
      <c r="CHU16" s="319"/>
      <c r="CHV16" s="319"/>
      <c r="CHW16" s="319"/>
      <c r="CHX16" s="319"/>
      <c r="CHY16" s="319"/>
      <c r="CHZ16" s="319"/>
      <c r="CIA16" s="319"/>
      <c r="CIB16" s="319"/>
      <c r="CIC16" s="319"/>
      <c r="CID16" s="319"/>
      <c r="CIE16" s="319"/>
      <c r="CIF16" s="319"/>
      <c r="CIG16" s="319"/>
      <c r="CIH16" s="319"/>
      <c r="CII16" s="319"/>
      <c r="CIJ16" s="319"/>
      <c r="CIK16" s="319"/>
      <c r="CIL16" s="319"/>
      <c r="CIM16" s="319"/>
      <c r="CIN16" s="319"/>
      <c r="CIO16" s="319"/>
      <c r="CIP16" s="319"/>
      <c r="CIQ16" s="319"/>
      <c r="CIR16" s="319"/>
      <c r="CIS16" s="319"/>
      <c r="CIT16" s="319"/>
      <c r="CIU16" s="319"/>
      <c r="CIV16" s="319"/>
      <c r="CIW16" s="319"/>
      <c r="CIX16" s="319"/>
      <c r="CIY16" s="319"/>
      <c r="CIZ16" s="319"/>
      <c r="CJA16" s="319"/>
      <c r="CJB16" s="319"/>
      <c r="CJC16" s="319"/>
      <c r="CJD16" s="319"/>
      <c r="CJE16" s="319"/>
      <c r="CJF16" s="319"/>
      <c r="CJG16" s="319"/>
      <c r="CJH16" s="319"/>
      <c r="CJI16" s="319"/>
      <c r="CJJ16" s="319"/>
      <c r="CJK16" s="319"/>
      <c r="CJL16" s="319"/>
      <c r="CJM16" s="319"/>
      <c r="CJN16" s="319"/>
      <c r="CJO16" s="319"/>
      <c r="CJP16" s="319"/>
      <c r="CJQ16" s="319"/>
      <c r="CJR16" s="319"/>
      <c r="CJS16" s="319"/>
      <c r="CJT16" s="319"/>
      <c r="CJU16" s="319"/>
      <c r="CJV16" s="319"/>
      <c r="CJW16" s="319"/>
      <c r="CJX16" s="319"/>
      <c r="CJY16" s="319"/>
      <c r="CJZ16" s="319"/>
      <c r="CKA16" s="319"/>
      <c r="CKB16" s="319"/>
      <c r="CKC16" s="319"/>
      <c r="CKD16" s="319"/>
      <c r="CKE16" s="319"/>
      <c r="CKF16" s="319"/>
      <c r="CKG16" s="319"/>
      <c r="CKH16" s="319"/>
      <c r="CKI16" s="319"/>
      <c r="CKJ16" s="319"/>
      <c r="CKK16" s="319"/>
      <c r="CKL16" s="319"/>
      <c r="CKM16" s="319"/>
      <c r="CKN16" s="319"/>
      <c r="CKO16" s="319"/>
      <c r="CKP16" s="319"/>
      <c r="CKQ16" s="319"/>
      <c r="CKR16" s="319"/>
      <c r="CKS16" s="319"/>
      <c r="CKT16" s="319"/>
      <c r="CKU16" s="319"/>
      <c r="CKV16" s="319"/>
      <c r="CKW16" s="319"/>
      <c r="CKX16" s="319"/>
      <c r="CKY16" s="319"/>
      <c r="CKZ16" s="319"/>
      <c r="CLA16" s="319"/>
      <c r="CLB16" s="319"/>
      <c r="CLC16" s="319"/>
      <c r="CLD16" s="319"/>
      <c r="CLE16" s="319"/>
      <c r="CLF16" s="319"/>
      <c r="CLG16" s="319"/>
      <c r="CLH16" s="319"/>
      <c r="CLI16" s="319"/>
      <c r="CLJ16" s="319"/>
      <c r="CLK16" s="319"/>
      <c r="CLL16" s="319"/>
      <c r="CLM16" s="319"/>
      <c r="CLN16" s="319"/>
      <c r="CLO16" s="319"/>
      <c r="CLP16" s="319"/>
      <c r="CLQ16" s="319"/>
      <c r="CLR16" s="319"/>
      <c r="CLS16" s="319"/>
      <c r="CLT16" s="319"/>
      <c r="CLU16" s="319"/>
      <c r="CLV16" s="319"/>
      <c r="CLW16" s="319"/>
      <c r="CLX16" s="319"/>
      <c r="CLY16" s="319"/>
      <c r="CLZ16" s="319"/>
      <c r="CMA16" s="319"/>
      <c r="CMB16" s="319"/>
      <c r="CMC16" s="319"/>
      <c r="CMD16" s="319"/>
      <c r="CME16" s="319"/>
      <c r="CMF16" s="319"/>
      <c r="CMG16" s="319"/>
      <c r="CMH16" s="319"/>
      <c r="CMI16" s="319"/>
      <c r="CMJ16" s="319"/>
      <c r="CMK16" s="319"/>
      <c r="CML16" s="319"/>
      <c r="CMM16" s="319"/>
      <c r="CMN16" s="319"/>
      <c r="CMO16" s="319"/>
      <c r="CMP16" s="319"/>
      <c r="CMQ16" s="319"/>
      <c r="CMR16" s="319"/>
      <c r="CMS16" s="319"/>
      <c r="CMT16" s="319"/>
      <c r="CMU16" s="319"/>
      <c r="CMV16" s="319"/>
      <c r="CMW16" s="319"/>
      <c r="CMX16" s="319"/>
      <c r="CMY16" s="319"/>
      <c r="CMZ16" s="319"/>
      <c r="CNA16" s="319"/>
      <c r="CNB16" s="319"/>
      <c r="CNC16" s="319"/>
      <c r="CND16" s="319"/>
      <c r="CNE16" s="319"/>
      <c r="CNF16" s="319"/>
      <c r="CNG16" s="319"/>
      <c r="CNH16" s="319"/>
      <c r="CNI16" s="319"/>
      <c r="CNJ16" s="319"/>
      <c r="CNK16" s="319"/>
      <c r="CNL16" s="319"/>
      <c r="CNM16" s="319"/>
      <c r="CNN16" s="319"/>
      <c r="CNO16" s="319"/>
      <c r="CNP16" s="319"/>
      <c r="CNQ16" s="319"/>
      <c r="CNR16" s="319"/>
      <c r="CNS16" s="319"/>
      <c r="CNT16" s="319"/>
      <c r="CNU16" s="319"/>
      <c r="CNV16" s="319"/>
      <c r="CNW16" s="319"/>
      <c r="CNX16" s="319"/>
      <c r="CNY16" s="319"/>
      <c r="CNZ16" s="319"/>
      <c r="COA16" s="319"/>
      <c r="COB16" s="319"/>
      <c r="COC16" s="319"/>
      <c r="COD16" s="319"/>
      <c r="COE16" s="319"/>
      <c r="COF16" s="319"/>
      <c r="COG16" s="319"/>
      <c r="COH16" s="319"/>
      <c r="COI16" s="319"/>
      <c r="COJ16" s="319"/>
      <c r="COK16" s="319"/>
      <c r="COL16" s="319"/>
      <c r="COM16" s="319"/>
      <c r="CON16" s="319"/>
      <c r="COO16" s="319"/>
      <c r="COP16" s="319"/>
      <c r="COQ16" s="319"/>
      <c r="COR16" s="319"/>
      <c r="COS16" s="319"/>
      <c r="COT16" s="319"/>
      <c r="COU16" s="319"/>
      <c r="COV16" s="319"/>
      <c r="COW16" s="319"/>
      <c r="COX16" s="319"/>
      <c r="COY16" s="319"/>
      <c r="COZ16" s="319"/>
      <c r="CPA16" s="319"/>
      <c r="CPB16" s="319"/>
      <c r="CPC16" s="319"/>
      <c r="CPD16" s="319"/>
      <c r="CPE16" s="319"/>
      <c r="CPF16" s="319"/>
      <c r="CPG16" s="319"/>
      <c r="CPH16" s="319"/>
      <c r="CPI16" s="319"/>
      <c r="CPJ16" s="319"/>
      <c r="CPK16" s="319"/>
      <c r="CPL16" s="319"/>
      <c r="CPM16" s="319"/>
      <c r="CPN16" s="319"/>
      <c r="CPO16" s="319"/>
      <c r="CPP16" s="319"/>
      <c r="CPQ16" s="319"/>
      <c r="CPR16" s="319"/>
      <c r="CPS16" s="319"/>
      <c r="CPT16" s="319"/>
      <c r="CPU16" s="319"/>
      <c r="CPV16" s="319"/>
      <c r="CPW16" s="319"/>
      <c r="CPX16" s="319"/>
      <c r="CPY16" s="319"/>
      <c r="CPZ16" s="319"/>
      <c r="CQA16" s="319"/>
      <c r="CQB16" s="319"/>
      <c r="CQC16" s="319"/>
      <c r="CQD16" s="319"/>
      <c r="CQE16" s="319"/>
      <c r="CQF16" s="319"/>
      <c r="CQG16" s="319"/>
      <c r="CQH16" s="319"/>
      <c r="CQI16" s="319"/>
      <c r="CQJ16" s="319"/>
      <c r="CQK16" s="319"/>
      <c r="CQL16" s="319"/>
      <c r="CQM16" s="319"/>
      <c r="CQN16" s="319"/>
      <c r="CQO16" s="319"/>
      <c r="CQP16" s="319"/>
      <c r="CQQ16" s="319"/>
      <c r="CQR16" s="319"/>
      <c r="CQS16" s="319"/>
      <c r="CQT16" s="319"/>
      <c r="CQU16" s="319"/>
      <c r="CQV16" s="319"/>
      <c r="CQW16" s="319"/>
      <c r="CQX16" s="319"/>
      <c r="CQY16" s="319"/>
      <c r="CQZ16" s="319"/>
      <c r="CRA16" s="319"/>
      <c r="CRB16" s="319"/>
      <c r="CRC16" s="319"/>
      <c r="CRD16" s="319"/>
      <c r="CRE16" s="319"/>
      <c r="CRF16" s="319"/>
      <c r="CRG16" s="319"/>
      <c r="CRH16" s="319"/>
      <c r="CRI16" s="319"/>
      <c r="CRJ16" s="319"/>
      <c r="CRK16" s="319"/>
      <c r="CRL16" s="319"/>
      <c r="CRM16" s="319"/>
      <c r="CRN16" s="319"/>
      <c r="CRO16" s="319"/>
      <c r="CRP16" s="319"/>
      <c r="CRQ16" s="319"/>
      <c r="CRR16" s="319"/>
      <c r="CRS16" s="319"/>
      <c r="CRT16" s="319"/>
      <c r="CRU16" s="319"/>
      <c r="CRV16" s="319"/>
      <c r="CRW16" s="319"/>
      <c r="CRX16" s="319"/>
      <c r="CRY16" s="319"/>
      <c r="CRZ16" s="319"/>
      <c r="CSA16" s="319"/>
      <c r="CSB16" s="319"/>
      <c r="CSC16" s="319"/>
      <c r="CSD16" s="319"/>
      <c r="CSE16" s="319"/>
      <c r="CSF16" s="319"/>
      <c r="CSG16" s="319"/>
      <c r="CSH16" s="319"/>
      <c r="CSI16" s="319"/>
      <c r="CSJ16" s="319"/>
      <c r="CSK16" s="319"/>
      <c r="CSL16" s="319"/>
      <c r="CSM16" s="319"/>
      <c r="CSN16" s="319"/>
      <c r="CSO16" s="319"/>
      <c r="CSP16" s="319"/>
      <c r="CSQ16" s="319"/>
      <c r="CSR16" s="319"/>
      <c r="CSS16" s="319"/>
      <c r="CST16" s="319"/>
      <c r="CSU16" s="319"/>
      <c r="CSV16" s="319"/>
      <c r="CSW16" s="319"/>
      <c r="CSX16" s="319"/>
      <c r="CSY16" s="319"/>
      <c r="CSZ16" s="319"/>
      <c r="CTA16" s="319"/>
      <c r="CTB16" s="319"/>
      <c r="CTC16" s="319"/>
      <c r="CTD16" s="319"/>
      <c r="CTE16" s="319"/>
      <c r="CTF16" s="319"/>
      <c r="CTG16" s="319"/>
      <c r="CTH16" s="319"/>
      <c r="CTI16" s="319"/>
      <c r="CTJ16" s="319"/>
      <c r="CTK16" s="319"/>
      <c r="CTL16" s="319"/>
      <c r="CTM16" s="319"/>
      <c r="CTN16" s="319"/>
      <c r="CTO16" s="319"/>
      <c r="CTP16" s="319"/>
      <c r="CTQ16" s="319"/>
      <c r="CTR16" s="319"/>
      <c r="CTS16" s="319"/>
      <c r="CTT16" s="319"/>
      <c r="CTU16" s="319"/>
      <c r="CTV16" s="319"/>
      <c r="CTW16" s="319"/>
      <c r="CTX16" s="319"/>
      <c r="CTY16" s="319"/>
      <c r="CTZ16" s="319"/>
      <c r="CUA16" s="319"/>
      <c r="CUB16" s="319"/>
      <c r="CUC16" s="319"/>
      <c r="CUD16" s="319"/>
      <c r="CUE16" s="319"/>
      <c r="CUF16" s="319"/>
      <c r="CUG16" s="319"/>
      <c r="CUH16" s="319"/>
      <c r="CUI16" s="319"/>
      <c r="CUJ16" s="319"/>
      <c r="CUK16" s="319"/>
      <c r="CUL16" s="319"/>
      <c r="CUM16" s="319"/>
      <c r="CUN16" s="319"/>
      <c r="CUO16" s="319"/>
      <c r="CUP16" s="319"/>
      <c r="CUQ16" s="319"/>
      <c r="CUR16" s="319"/>
      <c r="CUS16" s="319"/>
      <c r="CUT16" s="319"/>
      <c r="CUU16" s="319"/>
      <c r="CUV16" s="319"/>
      <c r="CUW16" s="319"/>
      <c r="CUX16" s="319"/>
      <c r="CUY16" s="319"/>
      <c r="CUZ16" s="319"/>
      <c r="CVA16" s="319"/>
      <c r="CVB16" s="319"/>
      <c r="CVC16" s="319"/>
      <c r="CVD16" s="319"/>
      <c r="CVE16" s="319"/>
      <c r="CVF16" s="319"/>
      <c r="CVG16" s="319"/>
      <c r="CVH16" s="319"/>
      <c r="CVI16" s="319"/>
      <c r="CVJ16" s="319"/>
      <c r="CVK16" s="319"/>
      <c r="CVL16" s="319"/>
      <c r="CVM16" s="319"/>
      <c r="CVN16" s="319"/>
      <c r="CVO16" s="319"/>
      <c r="CVP16" s="319"/>
      <c r="CVQ16" s="319"/>
      <c r="CVR16" s="319"/>
      <c r="CVS16" s="319"/>
      <c r="CVT16" s="319"/>
      <c r="CVU16" s="319"/>
      <c r="CVV16" s="319"/>
      <c r="CVW16" s="319"/>
      <c r="CVX16" s="319"/>
      <c r="CVY16" s="319"/>
      <c r="CVZ16" s="319"/>
      <c r="CWA16" s="319"/>
      <c r="CWB16" s="319"/>
      <c r="CWC16" s="319"/>
      <c r="CWD16" s="319"/>
      <c r="CWE16" s="319"/>
      <c r="CWF16" s="319"/>
      <c r="CWG16" s="319"/>
      <c r="CWH16" s="319"/>
      <c r="CWI16" s="319"/>
      <c r="CWJ16" s="319"/>
      <c r="CWK16" s="319"/>
      <c r="CWL16" s="319"/>
      <c r="CWM16" s="319"/>
      <c r="CWN16" s="319"/>
      <c r="CWO16" s="319"/>
      <c r="CWP16" s="319"/>
      <c r="CWQ16" s="319"/>
      <c r="CWR16" s="319"/>
      <c r="CWS16" s="319"/>
      <c r="CWT16" s="319"/>
      <c r="CWU16" s="319"/>
      <c r="CWV16" s="319"/>
      <c r="CWW16" s="319"/>
      <c r="CWX16" s="319"/>
      <c r="CWY16" s="319"/>
      <c r="CWZ16" s="319"/>
      <c r="CXA16" s="319"/>
      <c r="CXB16" s="319"/>
      <c r="CXC16" s="319"/>
      <c r="CXD16" s="319"/>
      <c r="CXE16" s="319"/>
      <c r="CXF16" s="319"/>
      <c r="CXG16" s="319"/>
      <c r="CXH16" s="319"/>
      <c r="CXI16" s="319"/>
      <c r="CXJ16" s="319"/>
      <c r="CXK16" s="319"/>
      <c r="CXL16" s="319"/>
      <c r="CXM16" s="319"/>
      <c r="CXN16" s="319"/>
      <c r="CXO16" s="319"/>
      <c r="CXP16" s="319"/>
      <c r="CXQ16" s="319"/>
      <c r="CXR16" s="319"/>
      <c r="CXS16" s="319"/>
      <c r="CXT16" s="319"/>
      <c r="CXU16" s="319"/>
      <c r="CXV16" s="319"/>
      <c r="CXW16" s="319"/>
      <c r="CXX16" s="319"/>
      <c r="CXY16" s="319"/>
      <c r="CXZ16" s="319"/>
      <c r="CYA16" s="319"/>
      <c r="CYB16" s="319"/>
      <c r="CYC16" s="319"/>
      <c r="CYD16" s="319"/>
      <c r="CYE16" s="319"/>
      <c r="CYF16" s="319"/>
      <c r="CYG16" s="319"/>
      <c r="CYH16" s="319"/>
      <c r="CYI16" s="319"/>
      <c r="CYJ16" s="319"/>
      <c r="CYK16" s="319"/>
      <c r="CYL16" s="319"/>
      <c r="CYM16" s="319"/>
      <c r="CYN16" s="319"/>
      <c r="CYO16" s="319"/>
      <c r="CYP16" s="319"/>
      <c r="CYQ16" s="319"/>
      <c r="CYR16" s="319"/>
      <c r="CYS16" s="319"/>
      <c r="CYT16" s="319"/>
      <c r="CYU16" s="319"/>
      <c r="CYV16" s="319"/>
      <c r="CYW16" s="319"/>
      <c r="CYX16" s="319"/>
      <c r="CYY16" s="319"/>
      <c r="CYZ16" s="319"/>
      <c r="CZA16" s="319"/>
      <c r="CZB16" s="319"/>
      <c r="CZC16" s="319"/>
      <c r="CZD16" s="319"/>
      <c r="CZE16" s="319"/>
      <c r="CZF16" s="319"/>
      <c r="CZG16" s="319"/>
      <c r="CZH16" s="319"/>
      <c r="CZI16" s="319"/>
      <c r="CZJ16" s="319"/>
      <c r="CZK16" s="319"/>
      <c r="CZL16" s="319"/>
      <c r="CZM16" s="319"/>
      <c r="CZN16" s="319"/>
      <c r="CZO16" s="319"/>
      <c r="CZP16" s="319"/>
      <c r="CZQ16" s="319"/>
      <c r="CZR16" s="319"/>
      <c r="CZS16" s="319"/>
      <c r="CZT16" s="319"/>
      <c r="CZU16" s="319"/>
      <c r="CZV16" s="319"/>
      <c r="CZW16" s="319"/>
      <c r="CZX16" s="319"/>
      <c r="CZY16" s="319"/>
      <c r="CZZ16" s="319"/>
      <c r="DAA16" s="319"/>
      <c r="DAB16" s="319"/>
      <c r="DAC16" s="319"/>
      <c r="DAD16" s="319"/>
      <c r="DAE16" s="319"/>
      <c r="DAF16" s="319"/>
      <c r="DAG16" s="319"/>
      <c r="DAH16" s="319"/>
      <c r="DAI16" s="319"/>
      <c r="DAJ16" s="319"/>
      <c r="DAK16" s="319"/>
      <c r="DAL16" s="319"/>
      <c r="DAM16" s="319"/>
      <c r="DAN16" s="319"/>
      <c r="DAO16" s="319"/>
      <c r="DAP16" s="319"/>
      <c r="DAQ16" s="319"/>
      <c r="DAR16" s="319"/>
      <c r="DAS16" s="319"/>
      <c r="DAT16" s="319"/>
      <c r="DAU16" s="319"/>
      <c r="DAV16" s="319"/>
      <c r="DAW16" s="319"/>
      <c r="DAX16" s="319"/>
      <c r="DAY16" s="319"/>
      <c r="DAZ16" s="319"/>
      <c r="DBA16" s="319"/>
      <c r="DBB16" s="319"/>
      <c r="DBC16" s="319"/>
      <c r="DBD16" s="319"/>
      <c r="DBE16" s="319"/>
      <c r="DBF16" s="319"/>
      <c r="DBG16" s="319"/>
      <c r="DBH16" s="319"/>
      <c r="DBI16" s="319"/>
      <c r="DBJ16" s="319"/>
      <c r="DBK16" s="319"/>
      <c r="DBL16" s="319"/>
      <c r="DBM16" s="319"/>
      <c r="DBN16" s="319"/>
      <c r="DBO16" s="319"/>
      <c r="DBP16" s="319"/>
      <c r="DBQ16" s="319"/>
      <c r="DBR16" s="319"/>
      <c r="DBS16" s="319"/>
      <c r="DBT16" s="319"/>
      <c r="DBU16" s="319"/>
      <c r="DBV16" s="319"/>
      <c r="DBW16" s="319"/>
      <c r="DBX16" s="319"/>
      <c r="DBY16" s="319"/>
      <c r="DBZ16" s="319"/>
      <c r="DCA16" s="319"/>
      <c r="DCB16" s="319"/>
      <c r="DCC16" s="319"/>
      <c r="DCD16" s="319"/>
      <c r="DCE16" s="319"/>
      <c r="DCF16" s="319"/>
      <c r="DCG16" s="319"/>
      <c r="DCH16" s="319"/>
      <c r="DCI16" s="319"/>
      <c r="DCJ16" s="319"/>
      <c r="DCK16" s="319"/>
      <c r="DCL16" s="319"/>
      <c r="DCM16" s="319"/>
      <c r="DCN16" s="319"/>
      <c r="DCO16" s="319"/>
      <c r="DCP16" s="319"/>
      <c r="DCQ16" s="319"/>
      <c r="DCR16" s="319"/>
      <c r="DCS16" s="319"/>
      <c r="DCT16" s="319"/>
      <c r="DCU16" s="319"/>
      <c r="DCV16" s="319"/>
      <c r="DCW16" s="319"/>
      <c r="DCX16" s="319"/>
      <c r="DCY16" s="319"/>
      <c r="DCZ16" s="319"/>
      <c r="DDA16" s="319"/>
      <c r="DDB16" s="319"/>
      <c r="DDC16" s="319"/>
      <c r="DDD16" s="319"/>
      <c r="DDE16" s="319"/>
      <c r="DDF16" s="319"/>
      <c r="DDG16" s="319"/>
      <c r="DDH16" s="319"/>
      <c r="DDI16" s="319"/>
      <c r="DDJ16" s="319"/>
      <c r="DDK16" s="319"/>
      <c r="DDL16" s="319"/>
      <c r="DDM16" s="319"/>
      <c r="DDN16" s="319"/>
      <c r="DDO16" s="319"/>
      <c r="DDP16" s="319"/>
      <c r="DDQ16" s="319"/>
      <c r="DDR16" s="319"/>
      <c r="DDS16" s="319"/>
      <c r="DDT16" s="319"/>
      <c r="DDU16" s="319"/>
      <c r="DDV16" s="319"/>
      <c r="DDW16" s="319"/>
      <c r="DDX16" s="319"/>
      <c r="DDY16" s="319"/>
      <c r="DDZ16" s="319"/>
      <c r="DEA16" s="319"/>
      <c r="DEB16" s="319"/>
      <c r="DEC16" s="319"/>
      <c r="DED16" s="319"/>
      <c r="DEE16" s="319"/>
      <c r="DEF16" s="319"/>
      <c r="DEG16" s="319"/>
      <c r="DEH16" s="319"/>
      <c r="DEI16" s="319"/>
      <c r="DEJ16" s="319"/>
      <c r="DEK16" s="319"/>
      <c r="DEL16" s="319"/>
      <c r="DEM16" s="319"/>
      <c r="DEN16" s="319"/>
      <c r="DEO16" s="319"/>
      <c r="DEP16" s="319"/>
      <c r="DEQ16" s="319"/>
      <c r="DER16" s="319"/>
      <c r="DES16" s="319"/>
      <c r="DET16" s="319"/>
      <c r="DEU16" s="319"/>
      <c r="DEV16" s="319"/>
      <c r="DEW16" s="319"/>
      <c r="DEX16" s="319"/>
      <c r="DEY16" s="319"/>
      <c r="DEZ16" s="319"/>
      <c r="DFA16" s="319"/>
      <c r="DFB16" s="319"/>
      <c r="DFC16" s="319"/>
      <c r="DFD16" s="319"/>
      <c r="DFE16" s="319"/>
      <c r="DFF16" s="319"/>
      <c r="DFG16" s="319"/>
      <c r="DFH16" s="319"/>
      <c r="DFI16" s="319"/>
      <c r="DFJ16" s="319"/>
      <c r="DFK16" s="319"/>
      <c r="DFL16" s="319"/>
      <c r="DFM16" s="319"/>
      <c r="DFN16" s="319"/>
      <c r="DFO16" s="319"/>
      <c r="DFP16" s="319"/>
      <c r="DFQ16" s="319"/>
      <c r="DFR16" s="319"/>
      <c r="DFS16" s="319"/>
      <c r="DFT16" s="319"/>
      <c r="DFU16" s="319"/>
      <c r="DFV16" s="319"/>
      <c r="DFW16" s="319"/>
      <c r="DFX16" s="319"/>
      <c r="DFY16" s="319"/>
      <c r="DFZ16" s="319"/>
      <c r="DGA16" s="319"/>
      <c r="DGB16" s="319"/>
      <c r="DGC16" s="319"/>
      <c r="DGD16" s="319"/>
      <c r="DGE16" s="319"/>
      <c r="DGF16" s="319"/>
      <c r="DGG16" s="319"/>
      <c r="DGH16" s="319"/>
      <c r="DGI16" s="319"/>
      <c r="DGJ16" s="319"/>
      <c r="DGK16" s="319"/>
      <c r="DGL16" s="319"/>
      <c r="DGM16" s="319"/>
      <c r="DGN16" s="319"/>
      <c r="DGO16" s="319"/>
      <c r="DGP16" s="319"/>
      <c r="DGQ16" s="319"/>
      <c r="DGR16" s="319"/>
      <c r="DGS16" s="319"/>
      <c r="DGT16" s="319"/>
      <c r="DGU16" s="319"/>
      <c r="DGV16" s="319"/>
      <c r="DGW16" s="319"/>
      <c r="DGX16" s="319"/>
      <c r="DGY16" s="319"/>
      <c r="DGZ16" s="319"/>
      <c r="DHA16" s="319"/>
      <c r="DHB16" s="319"/>
      <c r="DHC16" s="319"/>
      <c r="DHD16" s="319"/>
      <c r="DHE16" s="319"/>
      <c r="DHF16" s="319"/>
      <c r="DHG16" s="319"/>
      <c r="DHH16" s="319"/>
      <c r="DHI16" s="319"/>
      <c r="DHJ16" s="319"/>
      <c r="DHK16" s="319"/>
      <c r="DHL16" s="319"/>
      <c r="DHM16" s="319"/>
      <c r="DHN16" s="319"/>
      <c r="DHO16" s="319"/>
      <c r="DHP16" s="319"/>
      <c r="DHQ16" s="319"/>
      <c r="DHR16" s="319"/>
      <c r="DHS16" s="319"/>
      <c r="DHT16" s="319"/>
      <c r="DHU16" s="319"/>
      <c r="DHV16" s="319"/>
      <c r="DHW16" s="319"/>
      <c r="DHX16" s="319"/>
      <c r="DHY16" s="319"/>
      <c r="DHZ16" s="319"/>
      <c r="DIA16" s="319"/>
      <c r="DIB16" s="319"/>
      <c r="DIC16" s="319"/>
      <c r="DID16" s="319"/>
      <c r="DIE16" s="319"/>
      <c r="DIF16" s="319"/>
      <c r="DIG16" s="319"/>
      <c r="DIH16" s="319"/>
      <c r="DII16" s="319"/>
      <c r="DIJ16" s="319"/>
      <c r="DIK16" s="319"/>
      <c r="DIL16" s="319"/>
      <c r="DIM16" s="319"/>
      <c r="DIN16" s="319"/>
      <c r="DIO16" s="319"/>
      <c r="DIP16" s="319"/>
      <c r="DIQ16" s="319"/>
      <c r="DIR16" s="319"/>
      <c r="DIS16" s="319"/>
      <c r="DIT16" s="319"/>
      <c r="DIU16" s="319"/>
      <c r="DIV16" s="319"/>
      <c r="DIW16" s="319"/>
      <c r="DIX16" s="319"/>
      <c r="DIY16" s="319"/>
      <c r="DIZ16" s="319"/>
      <c r="DJA16" s="319"/>
      <c r="DJB16" s="319"/>
      <c r="DJC16" s="319"/>
      <c r="DJD16" s="319"/>
      <c r="DJE16" s="319"/>
      <c r="DJF16" s="319"/>
      <c r="DJG16" s="319"/>
      <c r="DJH16" s="319"/>
      <c r="DJI16" s="319"/>
      <c r="DJJ16" s="319"/>
      <c r="DJK16" s="319"/>
      <c r="DJL16" s="319"/>
      <c r="DJM16" s="319"/>
      <c r="DJN16" s="319"/>
      <c r="DJO16" s="319"/>
      <c r="DJP16" s="319"/>
      <c r="DJQ16" s="319"/>
      <c r="DJR16" s="319"/>
      <c r="DJS16" s="319"/>
      <c r="DJT16" s="319"/>
      <c r="DJU16" s="319"/>
      <c r="DJV16" s="319"/>
      <c r="DJW16" s="319"/>
      <c r="DJX16" s="319"/>
      <c r="DJY16" s="319"/>
      <c r="DJZ16" s="319"/>
      <c r="DKA16" s="319"/>
      <c r="DKB16" s="319"/>
      <c r="DKC16" s="319"/>
      <c r="DKD16" s="319"/>
      <c r="DKE16" s="319"/>
      <c r="DKF16" s="319"/>
      <c r="DKG16" s="319"/>
      <c r="DKH16" s="319"/>
      <c r="DKI16" s="319"/>
      <c r="DKJ16" s="319"/>
      <c r="DKK16" s="319"/>
      <c r="DKL16" s="319"/>
      <c r="DKM16" s="319"/>
      <c r="DKN16" s="319"/>
      <c r="DKO16" s="319"/>
      <c r="DKP16" s="319"/>
      <c r="DKQ16" s="319"/>
      <c r="DKR16" s="319"/>
      <c r="DKS16" s="319"/>
      <c r="DKT16" s="319"/>
      <c r="DKU16" s="319"/>
      <c r="DKV16" s="319"/>
      <c r="DKW16" s="319"/>
      <c r="DKX16" s="319"/>
      <c r="DKY16" s="319"/>
      <c r="DKZ16" s="319"/>
      <c r="DLA16" s="319"/>
      <c r="DLB16" s="319"/>
      <c r="DLC16" s="319"/>
      <c r="DLD16" s="319"/>
      <c r="DLE16" s="319"/>
      <c r="DLF16" s="319"/>
      <c r="DLG16" s="319"/>
      <c r="DLH16" s="319"/>
      <c r="DLI16" s="319"/>
      <c r="DLJ16" s="319"/>
      <c r="DLK16" s="319"/>
      <c r="DLL16" s="319"/>
      <c r="DLM16" s="319"/>
      <c r="DLN16" s="319"/>
      <c r="DLO16" s="319"/>
      <c r="DLP16" s="319"/>
      <c r="DLQ16" s="319"/>
      <c r="DLR16" s="319"/>
      <c r="DLS16" s="319"/>
      <c r="DLT16" s="319"/>
      <c r="DLU16" s="319"/>
      <c r="DLV16" s="319"/>
      <c r="DLW16" s="319"/>
      <c r="DLX16" s="319"/>
      <c r="DLY16" s="319"/>
      <c r="DLZ16" s="319"/>
      <c r="DMA16" s="319"/>
      <c r="DMB16" s="319"/>
      <c r="DMC16" s="319"/>
      <c r="DMD16" s="319"/>
      <c r="DME16" s="319"/>
      <c r="DMF16" s="319"/>
      <c r="DMG16" s="319"/>
      <c r="DMH16" s="319"/>
      <c r="DMI16" s="319"/>
      <c r="DMJ16" s="319"/>
      <c r="DMK16" s="319"/>
      <c r="DML16" s="319"/>
      <c r="DMM16" s="319"/>
      <c r="DMN16" s="319"/>
      <c r="DMO16" s="319"/>
      <c r="DMP16" s="319"/>
      <c r="DMQ16" s="319"/>
      <c r="DMR16" s="319"/>
      <c r="DMS16" s="319"/>
      <c r="DMT16" s="319"/>
      <c r="DMU16" s="319"/>
      <c r="DMV16" s="319"/>
      <c r="DMW16" s="319"/>
      <c r="DMX16" s="319"/>
      <c r="DMY16" s="319"/>
      <c r="DMZ16" s="319"/>
      <c r="DNA16" s="319"/>
      <c r="DNB16" s="319"/>
      <c r="DNC16" s="319"/>
      <c r="DND16" s="319"/>
      <c r="DNE16" s="319"/>
      <c r="DNF16" s="319"/>
      <c r="DNG16" s="319"/>
      <c r="DNH16" s="319"/>
      <c r="DNI16" s="319"/>
      <c r="DNJ16" s="319"/>
      <c r="DNK16" s="319"/>
      <c r="DNL16" s="319"/>
      <c r="DNM16" s="319"/>
      <c r="DNN16" s="319"/>
      <c r="DNO16" s="319"/>
      <c r="DNP16" s="319"/>
      <c r="DNQ16" s="319"/>
      <c r="DNR16" s="319"/>
      <c r="DNS16" s="319"/>
      <c r="DNT16" s="319"/>
      <c r="DNU16" s="319"/>
      <c r="DNV16" s="319"/>
      <c r="DNW16" s="319"/>
      <c r="DNX16" s="319"/>
      <c r="DNY16" s="319"/>
      <c r="DNZ16" s="319"/>
      <c r="DOA16" s="319"/>
      <c r="DOB16" s="319"/>
      <c r="DOC16" s="319"/>
      <c r="DOD16" s="319"/>
      <c r="DOE16" s="319"/>
      <c r="DOF16" s="319"/>
      <c r="DOG16" s="319"/>
      <c r="DOH16" s="319"/>
      <c r="DOI16" s="319"/>
      <c r="DOJ16" s="319"/>
      <c r="DOK16" s="319"/>
      <c r="DOL16" s="319"/>
      <c r="DOM16" s="319"/>
      <c r="DON16" s="319"/>
      <c r="DOO16" s="319"/>
      <c r="DOP16" s="319"/>
      <c r="DOQ16" s="319"/>
      <c r="DOR16" s="319"/>
      <c r="DOS16" s="319"/>
      <c r="DOT16" s="319"/>
      <c r="DOU16" s="319"/>
      <c r="DOV16" s="319"/>
      <c r="DOW16" s="319"/>
      <c r="DOX16" s="319"/>
      <c r="DOY16" s="319"/>
      <c r="DOZ16" s="319"/>
      <c r="DPA16" s="319"/>
      <c r="DPB16" s="319"/>
      <c r="DPC16" s="319"/>
      <c r="DPD16" s="319"/>
      <c r="DPE16" s="319"/>
      <c r="DPF16" s="319"/>
      <c r="DPG16" s="319"/>
      <c r="DPH16" s="319"/>
      <c r="DPI16" s="319"/>
      <c r="DPJ16" s="319"/>
      <c r="DPK16" s="319"/>
      <c r="DPL16" s="319"/>
      <c r="DPM16" s="319"/>
      <c r="DPN16" s="319"/>
      <c r="DPO16" s="319"/>
      <c r="DPP16" s="319"/>
      <c r="DPQ16" s="319"/>
      <c r="DPR16" s="319"/>
      <c r="DPS16" s="319"/>
      <c r="DPT16" s="319"/>
      <c r="DPU16" s="319"/>
      <c r="DPV16" s="319"/>
      <c r="DPW16" s="319"/>
      <c r="DPX16" s="319"/>
      <c r="DPY16" s="319"/>
      <c r="DPZ16" s="319"/>
      <c r="DQA16" s="319"/>
      <c r="DQB16" s="319"/>
      <c r="DQC16" s="319"/>
      <c r="DQD16" s="319"/>
      <c r="DQE16" s="319"/>
      <c r="DQF16" s="319"/>
      <c r="DQG16" s="319"/>
      <c r="DQH16" s="319"/>
      <c r="DQI16" s="319"/>
      <c r="DQJ16" s="319"/>
      <c r="DQK16" s="319"/>
      <c r="DQL16" s="319"/>
      <c r="DQM16" s="319"/>
      <c r="DQN16" s="319"/>
      <c r="DQO16" s="319"/>
      <c r="DQP16" s="319"/>
      <c r="DQQ16" s="319"/>
      <c r="DQR16" s="319"/>
      <c r="DQS16" s="319"/>
      <c r="DQT16" s="319"/>
      <c r="DQU16" s="319"/>
      <c r="DQV16" s="319"/>
      <c r="DQW16" s="319"/>
      <c r="DQX16" s="319"/>
      <c r="DQY16" s="319"/>
      <c r="DQZ16" s="319"/>
      <c r="DRA16" s="319"/>
      <c r="DRB16" s="319"/>
      <c r="DRC16" s="319"/>
      <c r="DRD16" s="319"/>
      <c r="DRE16" s="319"/>
      <c r="DRF16" s="319"/>
      <c r="DRG16" s="319"/>
      <c r="DRH16" s="319"/>
      <c r="DRI16" s="319"/>
      <c r="DRJ16" s="319"/>
      <c r="DRK16" s="319"/>
      <c r="DRL16" s="319"/>
      <c r="DRM16" s="319"/>
      <c r="DRN16" s="319"/>
      <c r="DRO16" s="319"/>
      <c r="DRP16" s="319"/>
      <c r="DRQ16" s="319"/>
      <c r="DRR16" s="319"/>
      <c r="DRS16" s="319"/>
      <c r="DRT16" s="319"/>
      <c r="DRU16" s="319"/>
      <c r="DRV16" s="319"/>
      <c r="DRW16" s="319"/>
      <c r="DRX16" s="319"/>
      <c r="DRY16" s="319"/>
      <c r="DRZ16" s="319"/>
      <c r="DSA16" s="319"/>
      <c r="DSB16" s="319"/>
      <c r="DSC16" s="319"/>
      <c r="DSD16" s="319"/>
      <c r="DSE16" s="319"/>
      <c r="DSF16" s="319"/>
      <c r="DSG16" s="319"/>
      <c r="DSH16" s="319"/>
      <c r="DSI16" s="319"/>
      <c r="DSJ16" s="319"/>
      <c r="DSK16" s="319"/>
      <c r="DSL16" s="319"/>
      <c r="DSM16" s="319"/>
      <c r="DSN16" s="319"/>
      <c r="DSO16" s="319"/>
      <c r="DSP16" s="319"/>
      <c r="DSQ16" s="319"/>
      <c r="DSR16" s="319"/>
      <c r="DSS16" s="319"/>
      <c r="DST16" s="319"/>
      <c r="DSU16" s="319"/>
      <c r="DSV16" s="319"/>
      <c r="DSW16" s="319"/>
      <c r="DSX16" s="319"/>
      <c r="DSY16" s="319"/>
      <c r="DSZ16" s="319"/>
      <c r="DTA16" s="319"/>
      <c r="DTB16" s="319"/>
      <c r="DTC16" s="319"/>
      <c r="DTD16" s="319"/>
      <c r="DTE16" s="319"/>
      <c r="DTF16" s="319"/>
      <c r="DTG16" s="319"/>
      <c r="DTH16" s="319"/>
      <c r="DTI16" s="319"/>
      <c r="DTJ16" s="319"/>
      <c r="DTK16" s="319"/>
      <c r="DTL16" s="319"/>
      <c r="DTM16" s="319"/>
      <c r="DTN16" s="319"/>
      <c r="DTO16" s="319"/>
      <c r="DTP16" s="319"/>
      <c r="DTQ16" s="319"/>
      <c r="DTR16" s="319"/>
      <c r="DTS16" s="319"/>
      <c r="DTT16" s="319"/>
      <c r="DTU16" s="319"/>
      <c r="DTV16" s="319"/>
      <c r="DTW16" s="319"/>
      <c r="DTX16" s="319"/>
      <c r="DTY16" s="319"/>
      <c r="DTZ16" s="319"/>
      <c r="DUA16" s="319"/>
      <c r="DUB16" s="319"/>
      <c r="DUC16" s="319"/>
      <c r="DUD16" s="319"/>
      <c r="DUE16" s="319"/>
      <c r="DUF16" s="319"/>
      <c r="DUG16" s="319"/>
      <c r="DUH16" s="319"/>
      <c r="DUI16" s="319"/>
      <c r="DUJ16" s="319"/>
      <c r="DUK16" s="319"/>
      <c r="DUL16" s="319"/>
      <c r="DUM16" s="319"/>
      <c r="DUN16" s="319"/>
      <c r="DUO16" s="319"/>
      <c r="DUP16" s="319"/>
      <c r="DUQ16" s="319"/>
      <c r="DUR16" s="319"/>
      <c r="DUS16" s="319"/>
      <c r="DUT16" s="319"/>
      <c r="DUU16" s="319"/>
      <c r="DUV16" s="319"/>
      <c r="DUW16" s="319"/>
      <c r="DUX16" s="319"/>
      <c r="DUY16" s="319"/>
      <c r="DUZ16" s="319"/>
      <c r="DVA16" s="319"/>
      <c r="DVB16" s="319"/>
      <c r="DVC16" s="319"/>
      <c r="DVD16" s="319"/>
      <c r="DVE16" s="319"/>
      <c r="DVF16" s="319"/>
      <c r="DVG16" s="319"/>
      <c r="DVH16" s="319"/>
      <c r="DVI16" s="319"/>
      <c r="DVJ16" s="319"/>
      <c r="DVK16" s="319"/>
      <c r="DVL16" s="319"/>
      <c r="DVM16" s="319"/>
      <c r="DVN16" s="319"/>
      <c r="DVO16" s="319"/>
      <c r="DVP16" s="319"/>
      <c r="DVQ16" s="319"/>
      <c r="DVR16" s="319"/>
      <c r="DVS16" s="319"/>
      <c r="DVT16" s="319"/>
      <c r="DVU16" s="319"/>
      <c r="DVV16" s="319"/>
      <c r="DVW16" s="319"/>
      <c r="DVX16" s="319"/>
      <c r="DVY16" s="319"/>
      <c r="DVZ16" s="319"/>
      <c r="DWA16" s="319"/>
      <c r="DWB16" s="319"/>
      <c r="DWC16" s="319"/>
      <c r="DWD16" s="319"/>
      <c r="DWE16" s="319"/>
      <c r="DWF16" s="319"/>
      <c r="DWG16" s="319"/>
      <c r="DWH16" s="319"/>
      <c r="DWI16" s="319"/>
      <c r="DWJ16" s="319"/>
      <c r="DWK16" s="319"/>
      <c r="DWL16" s="319"/>
      <c r="DWM16" s="319"/>
      <c r="DWN16" s="319"/>
      <c r="DWO16" s="319"/>
      <c r="DWP16" s="319"/>
      <c r="DWQ16" s="319"/>
      <c r="DWR16" s="319"/>
      <c r="DWS16" s="319"/>
      <c r="DWT16" s="319"/>
      <c r="DWU16" s="319"/>
      <c r="DWV16" s="319"/>
      <c r="DWW16" s="319"/>
      <c r="DWX16" s="319"/>
      <c r="DWY16" s="319"/>
      <c r="DWZ16" s="319"/>
      <c r="DXA16" s="319"/>
      <c r="DXB16" s="319"/>
      <c r="DXC16" s="319"/>
      <c r="DXD16" s="319"/>
      <c r="DXE16" s="319"/>
      <c r="DXF16" s="319"/>
      <c r="DXG16" s="319"/>
      <c r="DXH16" s="319"/>
      <c r="DXI16" s="319"/>
      <c r="DXJ16" s="319"/>
      <c r="DXK16" s="319"/>
      <c r="DXL16" s="319"/>
      <c r="DXM16" s="319"/>
      <c r="DXN16" s="319"/>
      <c r="DXO16" s="319"/>
      <c r="DXP16" s="319"/>
      <c r="DXQ16" s="319"/>
      <c r="DXR16" s="319"/>
      <c r="DXS16" s="319"/>
      <c r="DXT16" s="319"/>
      <c r="DXU16" s="319"/>
      <c r="DXV16" s="319"/>
      <c r="DXW16" s="319"/>
      <c r="DXX16" s="319"/>
      <c r="DXY16" s="319"/>
      <c r="DXZ16" s="319"/>
      <c r="DYA16" s="319"/>
      <c r="DYB16" s="319"/>
      <c r="DYC16" s="319"/>
      <c r="DYD16" s="319"/>
      <c r="DYE16" s="319"/>
      <c r="DYF16" s="319"/>
      <c r="DYG16" s="319"/>
      <c r="DYH16" s="319"/>
      <c r="DYI16" s="319"/>
      <c r="DYJ16" s="319"/>
      <c r="DYK16" s="319"/>
      <c r="DYL16" s="319"/>
      <c r="DYM16" s="319"/>
      <c r="DYN16" s="319"/>
      <c r="DYO16" s="319"/>
      <c r="DYP16" s="319"/>
      <c r="DYQ16" s="319"/>
      <c r="DYR16" s="319"/>
      <c r="DYS16" s="319"/>
      <c r="DYT16" s="319"/>
      <c r="DYU16" s="319"/>
      <c r="DYV16" s="319"/>
      <c r="DYW16" s="319"/>
      <c r="DYX16" s="319"/>
      <c r="DYY16" s="319"/>
      <c r="DYZ16" s="319"/>
      <c r="DZA16" s="319"/>
      <c r="DZB16" s="319"/>
      <c r="DZC16" s="319"/>
      <c r="DZD16" s="319"/>
      <c r="DZE16" s="319"/>
      <c r="DZF16" s="319"/>
      <c r="DZG16" s="319"/>
      <c r="DZH16" s="319"/>
      <c r="DZI16" s="319"/>
      <c r="DZJ16" s="319"/>
      <c r="DZK16" s="319"/>
      <c r="DZL16" s="319"/>
      <c r="DZM16" s="319"/>
      <c r="DZN16" s="319"/>
      <c r="DZO16" s="319"/>
      <c r="DZP16" s="319"/>
      <c r="DZQ16" s="319"/>
      <c r="DZR16" s="319"/>
      <c r="DZS16" s="319"/>
      <c r="DZT16" s="319"/>
      <c r="DZU16" s="319"/>
      <c r="DZV16" s="319"/>
      <c r="DZW16" s="319"/>
      <c r="DZX16" s="319"/>
      <c r="DZY16" s="319"/>
      <c r="DZZ16" s="319"/>
      <c r="EAA16" s="319"/>
      <c r="EAB16" s="319"/>
      <c r="EAC16" s="319"/>
      <c r="EAD16" s="319"/>
      <c r="EAE16" s="319"/>
      <c r="EAF16" s="319"/>
      <c r="EAG16" s="319"/>
      <c r="EAH16" s="319"/>
      <c r="EAI16" s="319"/>
      <c r="EAJ16" s="319"/>
      <c r="EAK16" s="319"/>
      <c r="EAL16" s="319"/>
      <c r="EAM16" s="319"/>
      <c r="EAN16" s="319"/>
      <c r="EAO16" s="319"/>
      <c r="EAP16" s="319"/>
      <c r="EAQ16" s="319"/>
      <c r="EAR16" s="319"/>
      <c r="EAS16" s="319"/>
      <c r="EAT16" s="319"/>
      <c r="EAU16" s="319"/>
      <c r="EAV16" s="319"/>
      <c r="EAW16" s="319"/>
      <c r="EAX16" s="319"/>
      <c r="EAY16" s="319"/>
      <c r="EAZ16" s="319"/>
      <c r="EBA16" s="319"/>
      <c r="EBB16" s="319"/>
      <c r="EBC16" s="319"/>
      <c r="EBD16" s="319"/>
      <c r="EBE16" s="319"/>
      <c r="EBF16" s="319"/>
      <c r="EBG16" s="319"/>
      <c r="EBH16" s="319"/>
      <c r="EBI16" s="319"/>
      <c r="EBJ16" s="319"/>
      <c r="EBK16" s="319"/>
      <c r="EBL16" s="319"/>
      <c r="EBM16" s="319"/>
      <c r="EBN16" s="319"/>
      <c r="EBO16" s="319"/>
      <c r="EBP16" s="319"/>
      <c r="EBQ16" s="319"/>
      <c r="EBR16" s="319"/>
      <c r="EBS16" s="319"/>
      <c r="EBT16" s="319"/>
      <c r="EBU16" s="319"/>
      <c r="EBV16" s="319"/>
      <c r="EBW16" s="319"/>
      <c r="EBX16" s="319"/>
      <c r="EBY16" s="319"/>
      <c r="EBZ16" s="319"/>
      <c r="ECA16" s="319"/>
      <c r="ECB16" s="319"/>
      <c r="ECC16" s="319"/>
      <c r="ECD16" s="319"/>
      <c r="ECE16" s="319"/>
      <c r="ECF16" s="319"/>
      <c r="ECG16" s="319"/>
      <c r="ECH16" s="319"/>
      <c r="ECI16" s="319"/>
      <c r="ECJ16" s="319"/>
      <c r="ECK16" s="319"/>
      <c r="ECL16" s="319"/>
      <c r="ECM16" s="319"/>
      <c r="ECN16" s="319"/>
      <c r="ECO16" s="319"/>
      <c r="ECP16" s="319"/>
      <c r="ECQ16" s="319"/>
      <c r="ECR16" s="319"/>
      <c r="ECS16" s="319"/>
      <c r="ECT16" s="319"/>
      <c r="ECU16" s="319"/>
      <c r="ECV16" s="319"/>
      <c r="ECW16" s="319"/>
      <c r="ECX16" s="319"/>
      <c r="ECY16" s="319"/>
      <c r="ECZ16" s="319"/>
      <c r="EDA16" s="319"/>
      <c r="EDB16" s="319"/>
      <c r="EDC16" s="319"/>
      <c r="EDD16" s="319"/>
      <c r="EDE16" s="319"/>
      <c r="EDF16" s="319"/>
      <c r="EDG16" s="319"/>
      <c r="EDH16" s="319"/>
      <c r="EDI16" s="319"/>
      <c r="EDJ16" s="319"/>
      <c r="EDK16" s="319"/>
      <c r="EDL16" s="319"/>
      <c r="EDM16" s="319"/>
      <c r="EDN16" s="319"/>
      <c r="EDO16" s="319"/>
      <c r="EDP16" s="319"/>
      <c r="EDQ16" s="319"/>
      <c r="EDR16" s="319"/>
      <c r="EDS16" s="319"/>
      <c r="EDT16" s="319"/>
      <c r="EDU16" s="319"/>
      <c r="EDV16" s="319"/>
      <c r="EDW16" s="319"/>
      <c r="EDX16" s="319"/>
      <c r="EDY16" s="319"/>
      <c r="EDZ16" s="319"/>
      <c r="EEA16" s="319"/>
      <c r="EEB16" s="319"/>
      <c r="EEC16" s="319"/>
      <c r="EED16" s="319"/>
      <c r="EEE16" s="319"/>
      <c r="EEF16" s="319"/>
      <c r="EEG16" s="319"/>
      <c r="EEH16" s="319"/>
      <c r="EEI16" s="319"/>
      <c r="EEJ16" s="319"/>
      <c r="EEK16" s="319"/>
      <c r="EEL16" s="319"/>
      <c r="EEM16" s="319"/>
      <c r="EEN16" s="319"/>
      <c r="EEO16" s="319"/>
      <c r="EEP16" s="319"/>
      <c r="EEQ16" s="319"/>
      <c r="EER16" s="319"/>
      <c r="EES16" s="319"/>
      <c r="EET16" s="319"/>
      <c r="EEU16" s="319"/>
      <c r="EEV16" s="319"/>
      <c r="EEW16" s="319"/>
      <c r="EEX16" s="319"/>
      <c r="EEY16" s="319"/>
      <c r="EEZ16" s="319"/>
      <c r="EFA16" s="319"/>
      <c r="EFB16" s="319"/>
      <c r="EFC16" s="319"/>
      <c r="EFD16" s="319"/>
      <c r="EFE16" s="319"/>
      <c r="EFF16" s="319"/>
      <c r="EFG16" s="319"/>
      <c r="EFH16" s="319"/>
      <c r="EFI16" s="319"/>
      <c r="EFJ16" s="319"/>
      <c r="EFK16" s="319"/>
      <c r="EFL16" s="319"/>
      <c r="EFM16" s="319"/>
      <c r="EFN16" s="319"/>
      <c r="EFO16" s="319"/>
      <c r="EFP16" s="319"/>
      <c r="EFQ16" s="319"/>
      <c r="EFR16" s="319"/>
      <c r="EFS16" s="319"/>
      <c r="EFT16" s="319"/>
      <c r="EFU16" s="319"/>
      <c r="EFV16" s="319"/>
      <c r="EFW16" s="319"/>
      <c r="EFX16" s="319"/>
      <c r="EFY16" s="319"/>
      <c r="EFZ16" s="319"/>
      <c r="EGA16" s="319"/>
      <c r="EGB16" s="319"/>
      <c r="EGC16" s="319"/>
      <c r="EGD16" s="319"/>
      <c r="EGE16" s="319"/>
      <c r="EGF16" s="319"/>
      <c r="EGG16" s="319"/>
      <c r="EGH16" s="319"/>
      <c r="EGI16" s="319"/>
      <c r="EGJ16" s="319"/>
      <c r="EGK16" s="319"/>
      <c r="EGL16" s="319"/>
      <c r="EGM16" s="319"/>
      <c r="EGN16" s="319"/>
      <c r="EGO16" s="319"/>
      <c r="EGP16" s="319"/>
      <c r="EGQ16" s="319"/>
      <c r="EGR16" s="319"/>
      <c r="EGS16" s="319"/>
      <c r="EGT16" s="319"/>
      <c r="EGU16" s="319"/>
      <c r="EGV16" s="319"/>
      <c r="EGW16" s="319"/>
      <c r="EGX16" s="319"/>
      <c r="EGY16" s="319"/>
      <c r="EGZ16" s="319"/>
      <c r="EHA16" s="319"/>
      <c r="EHB16" s="319"/>
      <c r="EHC16" s="319"/>
      <c r="EHD16" s="319"/>
      <c r="EHE16" s="319"/>
      <c r="EHF16" s="319"/>
      <c r="EHG16" s="319"/>
      <c r="EHH16" s="319"/>
      <c r="EHI16" s="319"/>
      <c r="EHJ16" s="319"/>
      <c r="EHK16" s="319"/>
      <c r="EHL16" s="319"/>
      <c r="EHM16" s="319"/>
      <c r="EHN16" s="319"/>
      <c r="EHO16" s="319"/>
      <c r="EHP16" s="319"/>
      <c r="EHQ16" s="319"/>
      <c r="EHR16" s="319"/>
      <c r="EHS16" s="319"/>
      <c r="EHT16" s="319"/>
      <c r="EHU16" s="319"/>
      <c r="EHV16" s="319"/>
      <c r="EHW16" s="319"/>
      <c r="EHX16" s="319"/>
      <c r="EHY16" s="319"/>
      <c r="EHZ16" s="319"/>
      <c r="EIA16" s="319"/>
      <c r="EIB16" s="319"/>
      <c r="EIC16" s="319"/>
      <c r="EID16" s="319"/>
      <c r="EIE16" s="319"/>
      <c r="EIF16" s="319"/>
      <c r="EIG16" s="319"/>
      <c r="EIH16" s="319"/>
      <c r="EII16" s="319"/>
      <c r="EIJ16" s="319"/>
      <c r="EIK16" s="319"/>
      <c r="EIL16" s="319"/>
      <c r="EIM16" s="319"/>
      <c r="EIN16" s="319"/>
      <c r="EIO16" s="319"/>
      <c r="EIP16" s="319"/>
      <c r="EIQ16" s="319"/>
      <c r="EIR16" s="319"/>
      <c r="EIS16" s="319"/>
      <c r="EIT16" s="319"/>
      <c r="EIU16" s="319"/>
      <c r="EIV16" s="319"/>
      <c r="EIW16" s="319"/>
      <c r="EIX16" s="319"/>
      <c r="EIY16" s="319"/>
      <c r="EIZ16" s="319"/>
      <c r="EJA16" s="319"/>
      <c r="EJB16" s="319"/>
      <c r="EJC16" s="319"/>
      <c r="EJD16" s="319"/>
      <c r="EJE16" s="319"/>
      <c r="EJF16" s="319"/>
      <c r="EJG16" s="319"/>
      <c r="EJH16" s="319"/>
      <c r="EJI16" s="319"/>
      <c r="EJJ16" s="319"/>
      <c r="EJK16" s="319"/>
      <c r="EJL16" s="319"/>
      <c r="EJM16" s="319"/>
      <c r="EJN16" s="319"/>
      <c r="EJO16" s="319"/>
      <c r="EJP16" s="319"/>
      <c r="EJQ16" s="319"/>
      <c r="EJR16" s="319"/>
      <c r="EJS16" s="319"/>
      <c r="EJT16" s="319"/>
      <c r="EJU16" s="319"/>
      <c r="EJV16" s="319"/>
      <c r="EJW16" s="319"/>
      <c r="EJX16" s="319"/>
      <c r="EJY16" s="319"/>
      <c r="EJZ16" s="319"/>
      <c r="EKA16" s="319"/>
      <c r="EKB16" s="319"/>
      <c r="EKC16" s="319"/>
      <c r="EKD16" s="319"/>
      <c r="EKE16" s="319"/>
      <c r="EKF16" s="319"/>
      <c r="EKG16" s="319"/>
      <c r="EKH16" s="319"/>
      <c r="EKI16" s="319"/>
      <c r="EKJ16" s="319"/>
      <c r="EKK16" s="319"/>
      <c r="EKL16" s="319"/>
      <c r="EKM16" s="319"/>
      <c r="EKN16" s="319"/>
      <c r="EKO16" s="319"/>
      <c r="EKP16" s="319"/>
      <c r="EKQ16" s="319"/>
      <c r="EKR16" s="319"/>
      <c r="EKS16" s="319"/>
      <c r="EKT16" s="319"/>
      <c r="EKU16" s="319"/>
      <c r="EKV16" s="319"/>
      <c r="EKW16" s="319"/>
      <c r="EKX16" s="319"/>
      <c r="EKY16" s="319"/>
      <c r="EKZ16" s="319"/>
      <c r="ELA16" s="319"/>
      <c r="ELB16" s="319"/>
      <c r="ELC16" s="319"/>
      <c r="ELD16" s="319"/>
      <c r="ELE16" s="319"/>
      <c r="ELF16" s="319"/>
      <c r="ELG16" s="319"/>
      <c r="ELH16" s="319"/>
      <c r="ELI16" s="319"/>
      <c r="ELJ16" s="319"/>
      <c r="ELK16" s="319"/>
      <c r="ELL16" s="319"/>
      <c r="ELM16" s="319"/>
      <c r="ELN16" s="319"/>
      <c r="ELO16" s="319"/>
      <c r="ELP16" s="319"/>
      <c r="ELQ16" s="319"/>
      <c r="ELR16" s="319"/>
      <c r="ELS16" s="319"/>
      <c r="ELT16" s="319"/>
      <c r="ELU16" s="319"/>
      <c r="ELV16" s="319"/>
      <c r="ELW16" s="319"/>
      <c r="ELX16" s="319"/>
      <c r="ELY16" s="319"/>
      <c r="ELZ16" s="319"/>
      <c r="EMA16" s="319"/>
      <c r="EMB16" s="319"/>
      <c r="EMC16" s="319"/>
      <c r="EMD16" s="319"/>
      <c r="EME16" s="319"/>
      <c r="EMF16" s="319"/>
      <c r="EMG16" s="319"/>
      <c r="EMH16" s="319"/>
      <c r="EMI16" s="319"/>
      <c r="EMJ16" s="319"/>
      <c r="EMK16" s="319"/>
      <c r="EML16" s="319"/>
      <c r="EMM16" s="319"/>
      <c r="EMN16" s="319"/>
      <c r="EMO16" s="319"/>
      <c r="EMP16" s="319"/>
      <c r="EMQ16" s="319"/>
      <c r="EMR16" s="319"/>
      <c r="EMS16" s="319"/>
      <c r="EMT16" s="319"/>
      <c r="EMU16" s="319"/>
      <c r="EMV16" s="319"/>
      <c r="EMW16" s="319"/>
      <c r="EMX16" s="319"/>
      <c r="EMY16" s="319"/>
      <c r="EMZ16" s="319"/>
      <c r="ENA16" s="319"/>
      <c r="ENB16" s="319"/>
      <c r="ENC16" s="319"/>
      <c r="END16" s="319"/>
      <c r="ENE16" s="319"/>
      <c r="ENF16" s="319"/>
      <c r="ENG16" s="319"/>
      <c r="ENH16" s="319"/>
      <c r="ENI16" s="319"/>
      <c r="ENJ16" s="319"/>
      <c r="ENK16" s="319"/>
      <c r="ENL16" s="319"/>
      <c r="ENM16" s="319"/>
      <c r="ENN16" s="319"/>
      <c r="ENO16" s="319"/>
      <c r="ENP16" s="319"/>
      <c r="ENQ16" s="319"/>
      <c r="ENR16" s="319"/>
      <c r="ENS16" s="319"/>
      <c r="ENT16" s="319"/>
      <c r="ENU16" s="319"/>
      <c r="ENV16" s="319"/>
      <c r="ENW16" s="319"/>
      <c r="ENX16" s="319"/>
      <c r="ENY16" s="319"/>
      <c r="ENZ16" s="319"/>
      <c r="EOA16" s="319"/>
      <c r="EOB16" s="319"/>
      <c r="EOC16" s="319"/>
      <c r="EOD16" s="319"/>
      <c r="EOE16" s="319"/>
      <c r="EOF16" s="319"/>
      <c r="EOG16" s="319"/>
      <c r="EOH16" s="319"/>
      <c r="EOI16" s="319"/>
      <c r="EOJ16" s="319"/>
      <c r="EOK16" s="319"/>
      <c r="EOL16" s="319"/>
      <c r="EOM16" s="319"/>
      <c r="EON16" s="319"/>
      <c r="EOO16" s="319"/>
      <c r="EOP16" s="319"/>
      <c r="EOQ16" s="319"/>
      <c r="EOR16" s="319"/>
      <c r="EOS16" s="319"/>
      <c r="EOT16" s="319"/>
      <c r="EOU16" s="319"/>
      <c r="EOV16" s="319"/>
      <c r="EOW16" s="319"/>
      <c r="EOX16" s="319"/>
      <c r="EOY16" s="319"/>
      <c r="EOZ16" s="319"/>
      <c r="EPA16" s="319"/>
      <c r="EPB16" s="319"/>
      <c r="EPC16" s="319"/>
      <c r="EPD16" s="319"/>
      <c r="EPE16" s="319"/>
      <c r="EPF16" s="319"/>
      <c r="EPG16" s="319"/>
      <c r="EPH16" s="319"/>
      <c r="EPI16" s="319"/>
      <c r="EPJ16" s="319"/>
      <c r="EPK16" s="319"/>
      <c r="EPL16" s="319"/>
      <c r="EPM16" s="319"/>
      <c r="EPN16" s="319"/>
      <c r="EPO16" s="319"/>
      <c r="EPP16" s="319"/>
      <c r="EPQ16" s="319"/>
      <c r="EPR16" s="319"/>
      <c r="EPS16" s="319"/>
      <c r="EPT16" s="319"/>
      <c r="EPU16" s="319"/>
      <c r="EPV16" s="319"/>
      <c r="EPW16" s="319"/>
      <c r="EPX16" s="319"/>
      <c r="EPY16" s="319"/>
      <c r="EPZ16" s="319"/>
      <c r="EQA16" s="319"/>
      <c r="EQB16" s="319"/>
      <c r="EQC16" s="319"/>
      <c r="EQD16" s="319"/>
      <c r="EQE16" s="319"/>
      <c r="EQF16" s="319"/>
      <c r="EQG16" s="319"/>
      <c r="EQH16" s="319"/>
      <c r="EQI16" s="319"/>
      <c r="EQJ16" s="319"/>
      <c r="EQK16" s="319"/>
      <c r="EQL16" s="319"/>
      <c r="EQM16" s="319"/>
      <c r="EQN16" s="319"/>
      <c r="EQO16" s="319"/>
      <c r="EQP16" s="319"/>
      <c r="EQQ16" s="319"/>
      <c r="EQR16" s="319"/>
      <c r="EQS16" s="319"/>
      <c r="EQT16" s="319"/>
      <c r="EQU16" s="319"/>
      <c r="EQV16" s="319"/>
      <c r="EQW16" s="319"/>
      <c r="EQX16" s="319"/>
      <c r="EQY16" s="319"/>
      <c r="EQZ16" s="319"/>
      <c r="ERA16" s="319"/>
      <c r="ERB16" s="319"/>
      <c r="ERC16" s="319"/>
      <c r="ERD16" s="319"/>
      <c r="ERE16" s="319"/>
      <c r="ERF16" s="319"/>
      <c r="ERG16" s="319"/>
      <c r="ERH16" s="319"/>
      <c r="ERI16" s="319"/>
      <c r="ERJ16" s="319"/>
      <c r="ERK16" s="319"/>
      <c r="ERL16" s="319"/>
      <c r="ERM16" s="319"/>
      <c r="ERN16" s="319"/>
      <c r="ERO16" s="319"/>
      <c r="ERP16" s="319"/>
      <c r="ERQ16" s="319"/>
      <c r="ERR16" s="319"/>
      <c r="ERS16" s="319"/>
      <c r="ERT16" s="319"/>
      <c r="ERU16" s="319"/>
      <c r="ERV16" s="319"/>
      <c r="ERW16" s="319"/>
      <c r="ERX16" s="319"/>
      <c r="ERY16" s="319"/>
      <c r="ERZ16" s="319"/>
      <c r="ESA16" s="319"/>
      <c r="ESB16" s="319"/>
      <c r="ESC16" s="319"/>
      <c r="ESD16" s="319"/>
      <c r="ESE16" s="319"/>
      <c r="ESF16" s="319"/>
      <c r="ESG16" s="319"/>
      <c r="ESH16" s="319"/>
      <c r="ESI16" s="319"/>
      <c r="ESJ16" s="319"/>
      <c r="ESK16" s="319"/>
      <c r="ESL16" s="319"/>
      <c r="ESM16" s="319"/>
      <c r="ESN16" s="319"/>
      <c r="ESO16" s="319"/>
      <c r="ESP16" s="319"/>
      <c r="ESQ16" s="319"/>
      <c r="ESR16" s="319"/>
      <c r="ESS16" s="319"/>
      <c r="EST16" s="319"/>
      <c r="ESU16" s="319"/>
      <c r="ESV16" s="319"/>
      <c r="ESW16" s="319"/>
      <c r="ESX16" s="319"/>
      <c r="ESY16" s="319"/>
      <c r="ESZ16" s="319"/>
      <c r="ETA16" s="319"/>
      <c r="ETB16" s="319"/>
      <c r="ETC16" s="319"/>
      <c r="ETD16" s="319"/>
      <c r="ETE16" s="319"/>
      <c r="ETF16" s="319"/>
      <c r="ETG16" s="319"/>
      <c r="ETH16" s="319"/>
      <c r="ETI16" s="319"/>
      <c r="ETJ16" s="319"/>
      <c r="ETK16" s="319"/>
      <c r="ETL16" s="319"/>
      <c r="ETM16" s="319"/>
      <c r="ETN16" s="319"/>
      <c r="ETO16" s="319"/>
      <c r="ETP16" s="319"/>
      <c r="ETQ16" s="319"/>
      <c r="ETR16" s="319"/>
      <c r="ETS16" s="319"/>
      <c r="ETT16" s="319"/>
      <c r="ETU16" s="319"/>
      <c r="ETV16" s="319"/>
      <c r="ETW16" s="319"/>
      <c r="ETX16" s="319"/>
      <c r="ETY16" s="319"/>
      <c r="ETZ16" s="319"/>
      <c r="EUA16" s="319"/>
      <c r="EUB16" s="319"/>
      <c r="EUC16" s="319"/>
      <c r="EUD16" s="319"/>
      <c r="EUE16" s="319"/>
      <c r="EUF16" s="319"/>
      <c r="EUG16" s="319"/>
      <c r="EUH16" s="319"/>
      <c r="EUI16" s="319"/>
      <c r="EUJ16" s="319"/>
      <c r="EUK16" s="319"/>
      <c r="EUL16" s="319"/>
      <c r="EUM16" s="319"/>
      <c r="EUN16" s="319"/>
      <c r="EUO16" s="319"/>
      <c r="EUP16" s="319"/>
      <c r="EUQ16" s="319"/>
      <c r="EUR16" s="319"/>
      <c r="EUS16" s="319"/>
      <c r="EUT16" s="319"/>
      <c r="EUU16" s="319"/>
      <c r="EUV16" s="319"/>
      <c r="EUW16" s="319"/>
      <c r="EUX16" s="319"/>
      <c r="EUY16" s="319"/>
      <c r="EUZ16" s="319"/>
      <c r="EVA16" s="319"/>
      <c r="EVB16" s="319"/>
      <c r="EVC16" s="319"/>
      <c r="EVD16" s="319"/>
      <c r="EVE16" s="319"/>
      <c r="EVF16" s="319"/>
      <c r="EVG16" s="319"/>
      <c r="EVH16" s="319"/>
      <c r="EVI16" s="319"/>
      <c r="EVJ16" s="319"/>
      <c r="EVK16" s="319"/>
      <c r="EVL16" s="319"/>
      <c r="EVM16" s="319"/>
      <c r="EVN16" s="319"/>
      <c r="EVO16" s="319"/>
      <c r="EVP16" s="319"/>
      <c r="EVQ16" s="319"/>
      <c r="EVR16" s="319"/>
      <c r="EVS16" s="319"/>
      <c r="EVT16" s="319"/>
      <c r="EVU16" s="319"/>
      <c r="EVV16" s="319"/>
      <c r="EVW16" s="319"/>
      <c r="EVX16" s="319"/>
      <c r="EVY16" s="319"/>
      <c r="EVZ16" s="319"/>
      <c r="EWA16" s="319"/>
      <c r="EWB16" s="319"/>
      <c r="EWC16" s="319"/>
      <c r="EWD16" s="319"/>
      <c r="EWE16" s="319"/>
      <c r="EWF16" s="319"/>
      <c r="EWG16" s="319"/>
      <c r="EWH16" s="319"/>
      <c r="EWI16" s="319"/>
      <c r="EWJ16" s="319"/>
      <c r="EWK16" s="319"/>
      <c r="EWL16" s="319"/>
      <c r="EWM16" s="319"/>
      <c r="EWN16" s="319"/>
      <c r="EWO16" s="319"/>
      <c r="EWP16" s="319"/>
      <c r="EWQ16" s="319"/>
      <c r="EWR16" s="319"/>
      <c r="EWS16" s="319"/>
      <c r="EWT16" s="319"/>
      <c r="EWU16" s="319"/>
      <c r="EWV16" s="319"/>
      <c r="EWW16" s="319"/>
      <c r="EWX16" s="319"/>
      <c r="EWY16" s="319"/>
      <c r="EWZ16" s="319"/>
      <c r="EXA16" s="319"/>
      <c r="EXB16" s="319"/>
      <c r="EXC16" s="319"/>
      <c r="EXD16" s="319"/>
      <c r="EXE16" s="319"/>
      <c r="EXF16" s="319"/>
      <c r="EXG16" s="319"/>
      <c r="EXH16" s="319"/>
      <c r="EXI16" s="319"/>
      <c r="EXJ16" s="319"/>
      <c r="EXK16" s="319"/>
      <c r="EXL16" s="319"/>
      <c r="EXM16" s="319"/>
      <c r="EXN16" s="319"/>
      <c r="EXO16" s="319"/>
      <c r="EXP16" s="319"/>
      <c r="EXQ16" s="319"/>
      <c r="EXR16" s="319"/>
      <c r="EXS16" s="319"/>
      <c r="EXT16" s="319"/>
      <c r="EXU16" s="319"/>
      <c r="EXV16" s="319"/>
      <c r="EXW16" s="319"/>
      <c r="EXX16" s="319"/>
      <c r="EXY16" s="319"/>
      <c r="EXZ16" s="319"/>
      <c r="EYA16" s="319"/>
      <c r="EYB16" s="319"/>
      <c r="EYC16" s="319"/>
      <c r="EYD16" s="319"/>
      <c r="EYE16" s="319"/>
      <c r="EYF16" s="319"/>
      <c r="EYG16" s="319"/>
      <c r="EYH16" s="319"/>
      <c r="EYI16" s="319"/>
      <c r="EYJ16" s="319"/>
      <c r="EYK16" s="319"/>
      <c r="EYL16" s="319"/>
      <c r="EYM16" s="319"/>
      <c r="EYN16" s="319"/>
      <c r="EYO16" s="319"/>
      <c r="EYP16" s="319"/>
      <c r="EYQ16" s="319"/>
      <c r="EYR16" s="319"/>
      <c r="EYS16" s="319"/>
      <c r="EYT16" s="319"/>
      <c r="EYU16" s="319"/>
      <c r="EYV16" s="319"/>
      <c r="EYW16" s="319"/>
      <c r="EYX16" s="319"/>
      <c r="EYY16" s="319"/>
      <c r="EYZ16" s="319"/>
      <c r="EZA16" s="319"/>
      <c r="EZB16" s="319"/>
      <c r="EZC16" s="319"/>
      <c r="EZD16" s="319"/>
      <c r="EZE16" s="319"/>
      <c r="EZF16" s="319"/>
      <c r="EZG16" s="319"/>
      <c r="EZH16" s="319"/>
      <c r="EZI16" s="319"/>
      <c r="EZJ16" s="319"/>
      <c r="EZK16" s="319"/>
      <c r="EZL16" s="319"/>
      <c r="EZM16" s="319"/>
      <c r="EZN16" s="319"/>
      <c r="EZO16" s="319"/>
      <c r="EZP16" s="319"/>
      <c r="EZQ16" s="319"/>
      <c r="EZR16" s="319"/>
      <c r="EZS16" s="319"/>
      <c r="EZT16" s="319"/>
      <c r="EZU16" s="319"/>
      <c r="EZV16" s="319"/>
      <c r="EZW16" s="319"/>
      <c r="EZX16" s="319"/>
      <c r="EZY16" s="319"/>
      <c r="EZZ16" s="319"/>
      <c r="FAA16" s="319"/>
      <c r="FAB16" s="319"/>
      <c r="FAC16" s="319"/>
      <c r="FAD16" s="319"/>
      <c r="FAE16" s="319"/>
      <c r="FAF16" s="319"/>
      <c r="FAG16" s="319"/>
      <c r="FAH16" s="319"/>
      <c r="FAI16" s="319"/>
      <c r="FAJ16" s="319"/>
      <c r="FAK16" s="319"/>
      <c r="FAL16" s="319"/>
      <c r="FAM16" s="319"/>
      <c r="FAN16" s="319"/>
      <c r="FAO16" s="319"/>
      <c r="FAP16" s="319"/>
      <c r="FAQ16" s="319"/>
      <c r="FAR16" s="319"/>
      <c r="FAS16" s="319"/>
      <c r="FAT16" s="319"/>
      <c r="FAU16" s="319"/>
      <c r="FAV16" s="319"/>
      <c r="FAW16" s="319"/>
      <c r="FAX16" s="319"/>
      <c r="FAY16" s="319"/>
      <c r="FAZ16" s="319"/>
      <c r="FBA16" s="319"/>
      <c r="FBB16" s="319"/>
      <c r="FBC16" s="319"/>
      <c r="FBD16" s="319"/>
      <c r="FBE16" s="319"/>
      <c r="FBF16" s="319"/>
      <c r="FBG16" s="319"/>
      <c r="FBH16" s="319"/>
      <c r="FBI16" s="319"/>
      <c r="FBJ16" s="319"/>
      <c r="FBK16" s="319"/>
      <c r="FBL16" s="319"/>
      <c r="FBM16" s="319"/>
      <c r="FBN16" s="319"/>
      <c r="FBO16" s="319"/>
      <c r="FBP16" s="319"/>
      <c r="FBQ16" s="319"/>
      <c r="FBR16" s="319"/>
      <c r="FBS16" s="319"/>
      <c r="FBT16" s="319"/>
      <c r="FBU16" s="319"/>
      <c r="FBV16" s="319"/>
      <c r="FBW16" s="319"/>
      <c r="FBX16" s="319"/>
      <c r="FBY16" s="319"/>
      <c r="FBZ16" s="319"/>
      <c r="FCA16" s="319"/>
      <c r="FCB16" s="319"/>
      <c r="FCC16" s="319"/>
      <c r="FCD16" s="319"/>
      <c r="FCE16" s="319"/>
      <c r="FCF16" s="319"/>
      <c r="FCG16" s="319"/>
      <c r="FCH16" s="319"/>
      <c r="FCI16" s="319"/>
      <c r="FCJ16" s="319"/>
      <c r="FCK16" s="319"/>
      <c r="FCL16" s="319"/>
      <c r="FCM16" s="319"/>
      <c r="FCN16" s="319"/>
      <c r="FCO16" s="319"/>
      <c r="FCP16" s="319"/>
      <c r="FCQ16" s="319"/>
      <c r="FCR16" s="319"/>
      <c r="FCS16" s="319"/>
      <c r="FCT16" s="319"/>
      <c r="FCU16" s="319"/>
      <c r="FCV16" s="319"/>
      <c r="FCW16" s="319"/>
      <c r="FCX16" s="319"/>
      <c r="FCY16" s="319"/>
      <c r="FCZ16" s="319"/>
      <c r="FDA16" s="319"/>
      <c r="FDB16" s="319"/>
      <c r="FDC16" s="319"/>
      <c r="FDD16" s="319"/>
      <c r="FDE16" s="319"/>
      <c r="FDF16" s="319"/>
      <c r="FDG16" s="319"/>
      <c r="FDH16" s="319"/>
      <c r="FDI16" s="319"/>
      <c r="FDJ16" s="319"/>
      <c r="FDK16" s="319"/>
      <c r="FDL16" s="319"/>
      <c r="FDM16" s="319"/>
      <c r="FDN16" s="319"/>
      <c r="FDO16" s="319"/>
      <c r="FDP16" s="319"/>
      <c r="FDQ16" s="319"/>
      <c r="FDR16" s="319"/>
      <c r="FDS16" s="319"/>
      <c r="FDT16" s="319"/>
      <c r="FDU16" s="319"/>
      <c r="FDV16" s="319"/>
      <c r="FDW16" s="319"/>
      <c r="FDX16" s="319"/>
      <c r="FDY16" s="319"/>
      <c r="FDZ16" s="319"/>
      <c r="FEA16" s="319"/>
      <c r="FEB16" s="319"/>
      <c r="FEC16" s="319"/>
      <c r="FED16" s="319"/>
      <c r="FEE16" s="319"/>
      <c r="FEF16" s="319"/>
      <c r="FEG16" s="319"/>
      <c r="FEH16" s="319"/>
      <c r="FEI16" s="319"/>
      <c r="FEJ16" s="319"/>
      <c r="FEK16" s="319"/>
      <c r="FEL16" s="319"/>
      <c r="FEM16" s="319"/>
      <c r="FEN16" s="319"/>
      <c r="FEO16" s="319"/>
      <c r="FEP16" s="319"/>
      <c r="FEQ16" s="319"/>
      <c r="FER16" s="319"/>
      <c r="FES16" s="319"/>
      <c r="FET16" s="319"/>
      <c r="FEU16" s="319"/>
      <c r="FEV16" s="319"/>
      <c r="FEW16" s="319"/>
      <c r="FEX16" s="319"/>
      <c r="FEY16" s="319"/>
      <c r="FEZ16" s="319"/>
      <c r="FFA16" s="319"/>
      <c r="FFB16" s="319"/>
      <c r="FFC16" s="319"/>
      <c r="FFD16" s="319"/>
      <c r="FFE16" s="319"/>
      <c r="FFF16" s="319"/>
      <c r="FFG16" s="319"/>
      <c r="FFH16" s="319"/>
      <c r="FFI16" s="319"/>
      <c r="FFJ16" s="319"/>
      <c r="FFK16" s="319"/>
      <c r="FFL16" s="319"/>
      <c r="FFM16" s="319"/>
      <c r="FFN16" s="319"/>
      <c r="FFO16" s="319"/>
      <c r="FFP16" s="319"/>
      <c r="FFQ16" s="319"/>
      <c r="FFR16" s="319"/>
      <c r="FFS16" s="319"/>
      <c r="FFT16" s="319"/>
      <c r="FFU16" s="319"/>
      <c r="FFV16" s="319"/>
      <c r="FFW16" s="319"/>
      <c r="FFX16" s="319"/>
      <c r="FFY16" s="319"/>
      <c r="FFZ16" s="319"/>
      <c r="FGA16" s="319"/>
      <c r="FGB16" s="319"/>
      <c r="FGC16" s="319"/>
      <c r="FGD16" s="319"/>
      <c r="FGE16" s="319"/>
      <c r="FGF16" s="319"/>
      <c r="FGG16" s="319"/>
      <c r="FGH16" s="319"/>
      <c r="FGI16" s="319"/>
      <c r="FGJ16" s="319"/>
      <c r="FGK16" s="319"/>
      <c r="FGL16" s="319"/>
      <c r="FGM16" s="319"/>
      <c r="FGN16" s="319"/>
      <c r="FGO16" s="319"/>
      <c r="FGP16" s="319"/>
      <c r="FGQ16" s="319"/>
      <c r="FGR16" s="319"/>
      <c r="FGS16" s="319"/>
      <c r="FGT16" s="319"/>
      <c r="FGU16" s="319"/>
      <c r="FGV16" s="319"/>
      <c r="FGW16" s="319"/>
      <c r="FGX16" s="319"/>
      <c r="FGY16" s="319"/>
      <c r="FGZ16" s="319"/>
      <c r="FHA16" s="319"/>
      <c r="FHB16" s="319"/>
      <c r="FHC16" s="319"/>
      <c r="FHD16" s="319"/>
      <c r="FHE16" s="319"/>
      <c r="FHF16" s="319"/>
      <c r="FHG16" s="319"/>
      <c r="FHH16" s="319"/>
      <c r="FHI16" s="319"/>
      <c r="FHJ16" s="319"/>
      <c r="FHK16" s="319"/>
      <c r="FHL16" s="319"/>
      <c r="FHM16" s="319"/>
      <c r="FHN16" s="319"/>
      <c r="FHO16" s="319"/>
      <c r="FHP16" s="319"/>
      <c r="FHQ16" s="319"/>
      <c r="FHR16" s="319"/>
      <c r="FHS16" s="319"/>
      <c r="FHT16" s="319"/>
      <c r="FHU16" s="319"/>
      <c r="FHV16" s="319"/>
      <c r="FHW16" s="319"/>
      <c r="FHX16" s="319"/>
      <c r="FHY16" s="319"/>
      <c r="FHZ16" s="319"/>
      <c r="FIA16" s="319"/>
      <c r="FIB16" s="319"/>
      <c r="FIC16" s="319"/>
      <c r="FID16" s="319"/>
      <c r="FIE16" s="319"/>
      <c r="FIF16" s="319"/>
      <c r="FIG16" s="319"/>
      <c r="FIH16" s="319"/>
      <c r="FII16" s="319"/>
      <c r="FIJ16" s="319"/>
      <c r="FIK16" s="319"/>
      <c r="FIL16" s="319"/>
      <c r="FIM16" s="319"/>
      <c r="FIN16" s="319"/>
      <c r="FIO16" s="319"/>
      <c r="FIP16" s="319"/>
      <c r="FIQ16" s="319"/>
      <c r="FIR16" s="319"/>
      <c r="FIS16" s="319"/>
      <c r="FIT16" s="319"/>
      <c r="FIU16" s="319"/>
      <c r="FIV16" s="319"/>
      <c r="FIW16" s="319"/>
      <c r="FIX16" s="319"/>
      <c r="FIY16" s="319"/>
      <c r="FIZ16" s="319"/>
      <c r="FJA16" s="319"/>
      <c r="FJB16" s="319"/>
      <c r="FJC16" s="319"/>
      <c r="FJD16" s="319"/>
      <c r="FJE16" s="319"/>
      <c r="FJF16" s="319"/>
      <c r="FJG16" s="319"/>
      <c r="FJH16" s="319"/>
      <c r="FJI16" s="319"/>
      <c r="FJJ16" s="319"/>
      <c r="FJK16" s="319"/>
      <c r="FJL16" s="319"/>
      <c r="FJM16" s="319"/>
      <c r="FJN16" s="319"/>
      <c r="FJO16" s="319"/>
      <c r="FJP16" s="319"/>
      <c r="FJQ16" s="319"/>
      <c r="FJR16" s="319"/>
      <c r="FJS16" s="319"/>
      <c r="FJT16" s="319"/>
      <c r="FJU16" s="319"/>
      <c r="FJV16" s="319"/>
      <c r="FJW16" s="319"/>
      <c r="FJX16" s="319"/>
      <c r="FJY16" s="319"/>
      <c r="FJZ16" s="319"/>
      <c r="FKA16" s="319"/>
      <c r="FKB16" s="319"/>
      <c r="FKC16" s="319"/>
      <c r="FKD16" s="319"/>
      <c r="FKE16" s="319"/>
      <c r="FKF16" s="319"/>
      <c r="FKG16" s="319"/>
      <c r="FKH16" s="319"/>
      <c r="FKI16" s="319"/>
      <c r="FKJ16" s="319"/>
      <c r="FKK16" s="319"/>
      <c r="FKL16" s="319"/>
      <c r="FKM16" s="319"/>
      <c r="FKN16" s="319"/>
      <c r="FKO16" s="319"/>
      <c r="FKP16" s="319"/>
      <c r="FKQ16" s="319"/>
      <c r="FKR16" s="319"/>
      <c r="FKS16" s="319"/>
      <c r="FKT16" s="319"/>
      <c r="FKU16" s="319"/>
      <c r="FKV16" s="319"/>
      <c r="FKW16" s="319"/>
      <c r="FKX16" s="319"/>
      <c r="FKY16" s="319"/>
      <c r="FKZ16" s="319"/>
      <c r="FLA16" s="319"/>
      <c r="FLB16" s="319"/>
      <c r="FLC16" s="319"/>
      <c r="FLD16" s="319"/>
      <c r="FLE16" s="319"/>
      <c r="FLF16" s="319"/>
      <c r="FLG16" s="319"/>
      <c r="FLH16" s="319"/>
      <c r="FLI16" s="319"/>
      <c r="FLJ16" s="319"/>
      <c r="FLK16" s="319"/>
      <c r="FLL16" s="319"/>
      <c r="FLM16" s="319"/>
      <c r="FLN16" s="319"/>
      <c r="FLO16" s="319"/>
      <c r="FLP16" s="319"/>
      <c r="FLQ16" s="319"/>
      <c r="FLR16" s="319"/>
      <c r="FLS16" s="319"/>
      <c r="FLT16" s="319"/>
      <c r="FLU16" s="319"/>
      <c r="FLV16" s="319"/>
      <c r="FLW16" s="319"/>
      <c r="FLX16" s="319"/>
      <c r="FLY16" s="319"/>
      <c r="FLZ16" s="319"/>
      <c r="FMA16" s="319"/>
      <c r="FMB16" s="319"/>
      <c r="FMC16" s="319"/>
      <c r="FMD16" s="319"/>
      <c r="FME16" s="319"/>
      <c r="FMF16" s="319"/>
      <c r="FMG16" s="319"/>
      <c r="FMH16" s="319"/>
      <c r="FMI16" s="319"/>
      <c r="FMJ16" s="319"/>
      <c r="FMK16" s="319"/>
      <c r="FML16" s="319"/>
      <c r="FMM16" s="319"/>
      <c r="FMN16" s="319"/>
      <c r="FMO16" s="319"/>
      <c r="FMP16" s="319"/>
      <c r="FMQ16" s="319"/>
      <c r="FMR16" s="319"/>
      <c r="FMS16" s="319"/>
      <c r="FMT16" s="319"/>
      <c r="FMU16" s="319"/>
      <c r="FMV16" s="319"/>
      <c r="FMW16" s="319"/>
      <c r="FMX16" s="319"/>
      <c r="FMY16" s="319"/>
      <c r="FMZ16" s="319"/>
      <c r="FNA16" s="319"/>
      <c r="FNB16" s="319"/>
      <c r="FNC16" s="319"/>
      <c r="FND16" s="319"/>
      <c r="FNE16" s="319"/>
      <c r="FNF16" s="319"/>
      <c r="FNG16" s="319"/>
      <c r="FNH16" s="319"/>
      <c r="FNI16" s="319"/>
      <c r="FNJ16" s="319"/>
      <c r="FNK16" s="319"/>
      <c r="FNL16" s="319"/>
      <c r="FNM16" s="319"/>
      <c r="FNN16" s="319"/>
      <c r="FNO16" s="319"/>
      <c r="FNP16" s="319"/>
      <c r="FNQ16" s="319"/>
      <c r="FNR16" s="319"/>
      <c r="FNS16" s="319"/>
      <c r="FNT16" s="319"/>
      <c r="FNU16" s="319"/>
      <c r="FNV16" s="319"/>
      <c r="FNW16" s="319"/>
      <c r="FNX16" s="319"/>
      <c r="FNY16" s="319"/>
      <c r="FNZ16" s="319"/>
      <c r="FOA16" s="319"/>
      <c r="FOB16" s="319"/>
      <c r="FOC16" s="319"/>
      <c r="FOD16" s="319"/>
      <c r="FOE16" s="319"/>
      <c r="FOF16" s="319"/>
      <c r="FOG16" s="319"/>
      <c r="FOH16" s="319"/>
      <c r="FOI16" s="319"/>
      <c r="FOJ16" s="319"/>
      <c r="FOK16" s="319"/>
      <c r="FOL16" s="319"/>
      <c r="FOM16" s="319"/>
      <c r="FON16" s="319"/>
      <c r="FOO16" s="319"/>
      <c r="FOP16" s="319"/>
      <c r="FOQ16" s="319"/>
      <c r="FOR16" s="319"/>
      <c r="FOS16" s="319"/>
      <c r="FOT16" s="319"/>
      <c r="FOU16" s="319"/>
      <c r="FOV16" s="319"/>
      <c r="FOW16" s="319"/>
      <c r="FOX16" s="319"/>
      <c r="FOY16" s="319"/>
      <c r="FOZ16" s="319"/>
      <c r="FPA16" s="319"/>
      <c r="FPB16" s="319"/>
      <c r="FPC16" s="319"/>
      <c r="FPD16" s="319"/>
      <c r="FPE16" s="319"/>
      <c r="FPF16" s="319"/>
      <c r="FPG16" s="319"/>
      <c r="FPH16" s="319"/>
      <c r="FPI16" s="319"/>
      <c r="FPJ16" s="319"/>
      <c r="FPK16" s="319"/>
      <c r="FPL16" s="319"/>
      <c r="FPM16" s="319"/>
      <c r="FPN16" s="319"/>
      <c r="FPO16" s="319"/>
      <c r="FPP16" s="319"/>
      <c r="FPQ16" s="319"/>
      <c r="FPR16" s="319"/>
      <c r="FPS16" s="319"/>
      <c r="FPT16" s="319"/>
      <c r="FPU16" s="319"/>
      <c r="FPV16" s="319"/>
      <c r="FPW16" s="319"/>
      <c r="FPX16" s="319"/>
      <c r="FPY16" s="319"/>
      <c r="FPZ16" s="319"/>
      <c r="FQA16" s="319"/>
      <c r="FQB16" s="319"/>
      <c r="FQC16" s="319"/>
      <c r="FQD16" s="319"/>
      <c r="FQE16" s="319"/>
      <c r="FQF16" s="319"/>
      <c r="FQG16" s="319"/>
      <c r="FQH16" s="319"/>
      <c r="FQI16" s="319"/>
      <c r="FQJ16" s="319"/>
      <c r="FQK16" s="319"/>
      <c r="FQL16" s="319"/>
      <c r="FQM16" s="319"/>
      <c r="FQN16" s="319"/>
      <c r="FQO16" s="319"/>
      <c r="FQP16" s="319"/>
      <c r="FQQ16" s="319"/>
      <c r="FQR16" s="319"/>
      <c r="FQS16" s="319"/>
      <c r="FQT16" s="319"/>
      <c r="FQU16" s="319"/>
      <c r="FQV16" s="319"/>
      <c r="FQW16" s="319"/>
      <c r="FQX16" s="319"/>
      <c r="FQY16" s="319"/>
      <c r="FQZ16" s="319"/>
      <c r="FRA16" s="319"/>
      <c r="FRB16" s="319"/>
      <c r="FRC16" s="319"/>
      <c r="FRD16" s="319"/>
      <c r="FRE16" s="319"/>
      <c r="FRF16" s="319"/>
      <c r="FRG16" s="319"/>
      <c r="FRH16" s="319"/>
      <c r="FRI16" s="319"/>
      <c r="FRJ16" s="319"/>
      <c r="FRK16" s="319"/>
      <c r="FRL16" s="319"/>
      <c r="FRM16" s="319"/>
      <c r="FRN16" s="319"/>
      <c r="FRO16" s="319"/>
      <c r="FRP16" s="319"/>
      <c r="FRQ16" s="319"/>
      <c r="FRR16" s="319"/>
      <c r="FRS16" s="319"/>
      <c r="FRT16" s="319"/>
      <c r="FRU16" s="319"/>
      <c r="FRV16" s="319"/>
      <c r="FRW16" s="319"/>
      <c r="FRX16" s="319"/>
      <c r="FRY16" s="319"/>
      <c r="FRZ16" s="319"/>
      <c r="FSA16" s="319"/>
      <c r="FSB16" s="319"/>
      <c r="FSC16" s="319"/>
      <c r="FSD16" s="319"/>
      <c r="FSE16" s="319"/>
      <c r="FSF16" s="319"/>
      <c r="FSG16" s="319"/>
      <c r="FSH16" s="319"/>
      <c r="FSI16" s="319"/>
      <c r="FSJ16" s="319"/>
      <c r="FSK16" s="319"/>
      <c r="FSL16" s="319"/>
      <c r="FSM16" s="319"/>
      <c r="FSN16" s="319"/>
      <c r="FSO16" s="319"/>
      <c r="FSP16" s="319"/>
      <c r="FSQ16" s="319"/>
      <c r="FSR16" s="319"/>
      <c r="FSS16" s="319"/>
      <c r="FST16" s="319"/>
      <c r="FSU16" s="319"/>
      <c r="FSV16" s="319"/>
      <c r="FSW16" s="319"/>
      <c r="FSX16" s="319"/>
      <c r="FSY16" s="319"/>
      <c r="FSZ16" s="319"/>
      <c r="FTA16" s="319"/>
      <c r="FTB16" s="319"/>
      <c r="FTC16" s="319"/>
      <c r="FTD16" s="319"/>
      <c r="FTE16" s="319"/>
      <c r="FTF16" s="319"/>
      <c r="FTG16" s="319"/>
      <c r="FTH16" s="319"/>
      <c r="FTI16" s="319"/>
      <c r="FTJ16" s="319"/>
      <c r="FTK16" s="319"/>
      <c r="FTL16" s="319"/>
      <c r="FTM16" s="319"/>
      <c r="FTN16" s="319"/>
      <c r="FTO16" s="319"/>
      <c r="FTP16" s="319"/>
      <c r="FTQ16" s="319"/>
      <c r="FTR16" s="319"/>
      <c r="FTS16" s="319"/>
      <c r="FTT16" s="319"/>
      <c r="FTU16" s="319"/>
      <c r="FTV16" s="319"/>
      <c r="FTW16" s="319"/>
      <c r="FTX16" s="319"/>
      <c r="FTY16" s="319"/>
      <c r="FTZ16" s="319"/>
      <c r="FUA16" s="319"/>
      <c r="FUB16" s="319"/>
      <c r="FUC16" s="319"/>
      <c r="FUD16" s="319"/>
      <c r="FUE16" s="319"/>
      <c r="FUF16" s="319"/>
      <c r="FUG16" s="319"/>
      <c r="FUH16" s="319"/>
      <c r="FUI16" s="319"/>
      <c r="FUJ16" s="319"/>
      <c r="FUK16" s="319"/>
      <c r="FUL16" s="319"/>
      <c r="FUM16" s="319"/>
      <c r="FUN16" s="319"/>
      <c r="FUO16" s="319"/>
      <c r="FUP16" s="319"/>
      <c r="FUQ16" s="319"/>
      <c r="FUR16" s="319"/>
      <c r="FUS16" s="319"/>
      <c r="FUT16" s="319"/>
      <c r="FUU16" s="319"/>
      <c r="FUV16" s="319"/>
      <c r="FUW16" s="319"/>
      <c r="FUX16" s="319"/>
      <c r="FUY16" s="319"/>
      <c r="FUZ16" s="319"/>
      <c r="FVA16" s="319"/>
      <c r="FVB16" s="319"/>
      <c r="FVC16" s="319"/>
      <c r="FVD16" s="319"/>
      <c r="FVE16" s="319"/>
      <c r="FVF16" s="319"/>
      <c r="FVG16" s="319"/>
      <c r="FVH16" s="319"/>
      <c r="FVI16" s="319"/>
      <c r="FVJ16" s="319"/>
      <c r="FVK16" s="319"/>
      <c r="FVL16" s="319"/>
      <c r="FVM16" s="319"/>
      <c r="FVN16" s="319"/>
      <c r="FVO16" s="319"/>
      <c r="FVP16" s="319"/>
      <c r="FVQ16" s="319"/>
      <c r="FVR16" s="319"/>
      <c r="FVS16" s="319"/>
      <c r="FVT16" s="319"/>
      <c r="FVU16" s="319"/>
      <c r="FVV16" s="319"/>
      <c r="FVW16" s="319"/>
      <c r="FVX16" s="319"/>
      <c r="FVY16" s="319"/>
      <c r="FVZ16" s="319"/>
      <c r="FWA16" s="319"/>
      <c r="FWB16" s="319"/>
      <c r="FWC16" s="319"/>
      <c r="FWD16" s="319"/>
      <c r="FWE16" s="319"/>
      <c r="FWF16" s="319"/>
      <c r="FWG16" s="319"/>
      <c r="FWH16" s="319"/>
      <c r="FWI16" s="319"/>
      <c r="FWJ16" s="319"/>
      <c r="FWK16" s="319"/>
      <c r="FWL16" s="319"/>
      <c r="FWM16" s="319"/>
      <c r="FWN16" s="319"/>
      <c r="FWO16" s="319"/>
      <c r="FWP16" s="319"/>
      <c r="FWQ16" s="319"/>
      <c r="FWR16" s="319"/>
      <c r="FWS16" s="319"/>
      <c r="FWT16" s="319"/>
      <c r="FWU16" s="319"/>
      <c r="FWV16" s="319"/>
      <c r="FWW16" s="319"/>
      <c r="FWX16" s="319"/>
      <c r="FWY16" s="319"/>
      <c r="FWZ16" s="319"/>
      <c r="FXA16" s="319"/>
      <c r="FXB16" s="319"/>
      <c r="FXC16" s="319"/>
      <c r="FXD16" s="319"/>
      <c r="FXE16" s="319"/>
      <c r="FXF16" s="319"/>
      <c r="FXG16" s="319"/>
      <c r="FXH16" s="319"/>
      <c r="FXI16" s="319"/>
      <c r="FXJ16" s="319"/>
      <c r="FXK16" s="319"/>
      <c r="FXL16" s="319"/>
      <c r="FXM16" s="319"/>
      <c r="FXN16" s="319"/>
      <c r="FXO16" s="319"/>
      <c r="FXP16" s="319"/>
      <c r="FXQ16" s="319"/>
      <c r="FXR16" s="319"/>
      <c r="FXS16" s="319"/>
      <c r="FXT16" s="319"/>
      <c r="FXU16" s="319"/>
      <c r="FXV16" s="319"/>
      <c r="FXW16" s="319"/>
      <c r="FXX16" s="319"/>
      <c r="FXY16" s="319"/>
      <c r="FXZ16" s="319"/>
      <c r="FYA16" s="319"/>
      <c r="FYB16" s="319"/>
      <c r="FYC16" s="319"/>
      <c r="FYD16" s="319"/>
      <c r="FYE16" s="319"/>
      <c r="FYF16" s="319"/>
      <c r="FYG16" s="319"/>
      <c r="FYH16" s="319"/>
      <c r="FYI16" s="319"/>
      <c r="FYJ16" s="319"/>
      <c r="FYK16" s="319"/>
      <c r="FYL16" s="319"/>
      <c r="FYM16" s="319"/>
      <c r="FYN16" s="319"/>
      <c r="FYO16" s="319"/>
      <c r="FYP16" s="319"/>
      <c r="FYQ16" s="319"/>
      <c r="FYR16" s="319"/>
      <c r="FYS16" s="319"/>
      <c r="FYT16" s="319"/>
      <c r="FYU16" s="319"/>
      <c r="FYV16" s="319"/>
      <c r="FYW16" s="319"/>
      <c r="FYX16" s="319"/>
      <c r="FYY16" s="319"/>
      <c r="FYZ16" s="319"/>
      <c r="FZA16" s="319"/>
      <c r="FZB16" s="319"/>
      <c r="FZC16" s="319"/>
      <c r="FZD16" s="319"/>
      <c r="FZE16" s="319"/>
      <c r="FZF16" s="319"/>
      <c r="FZG16" s="319"/>
      <c r="FZH16" s="319"/>
      <c r="FZI16" s="319"/>
      <c r="FZJ16" s="319"/>
      <c r="FZK16" s="319"/>
      <c r="FZL16" s="319"/>
      <c r="FZM16" s="319"/>
      <c r="FZN16" s="319"/>
      <c r="FZO16" s="319"/>
      <c r="FZP16" s="319"/>
      <c r="FZQ16" s="319"/>
      <c r="FZR16" s="319"/>
      <c r="FZS16" s="319"/>
      <c r="FZT16" s="319"/>
      <c r="FZU16" s="319"/>
      <c r="FZV16" s="319"/>
      <c r="FZW16" s="319"/>
      <c r="FZX16" s="319"/>
      <c r="FZY16" s="319"/>
      <c r="FZZ16" s="319"/>
      <c r="GAA16" s="319"/>
      <c r="GAB16" s="319"/>
      <c r="GAC16" s="319"/>
      <c r="GAD16" s="319"/>
      <c r="GAE16" s="319"/>
      <c r="GAF16" s="319"/>
      <c r="GAG16" s="319"/>
      <c r="GAH16" s="319"/>
      <c r="GAI16" s="319"/>
      <c r="GAJ16" s="319"/>
      <c r="GAK16" s="319"/>
      <c r="GAL16" s="319"/>
      <c r="GAM16" s="319"/>
      <c r="GAN16" s="319"/>
      <c r="GAO16" s="319"/>
      <c r="GAP16" s="319"/>
      <c r="GAQ16" s="319"/>
      <c r="GAR16" s="319"/>
      <c r="GAS16" s="319"/>
      <c r="GAT16" s="319"/>
      <c r="GAU16" s="319"/>
      <c r="GAV16" s="319"/>
      <c r="GAW16" s="319"/>
      <c r="GAX16" s="319"/>
      <c r="GAY16" s="319"/>
      <c r="GAZ16" s="319"/>
      <c r="GBA16" s="319"/>
      <c r="GBB16" s="319"/>
      <c r="GBC16" s="319"/>
      <c r="GBD16" s="319"/>
      <c r="GBE16" s="319"/>
      <c r="GBF16" s="319"/>
      <c r="GBG16" s="319"/>
      <c r="GBH16" s="319"/>
      <c r="GBI16" s="319"/>
      <c r="GBJ16" s="319"/>
      <c r="GBK16" s="319"/>
      <c r="GBL16" s="319"/>
      <c r="GBM16" s="319"/>
      <c r="GBN16" s="319"/>
      <c r="GBO16" s="319"/>
      <c r="GBP16" s="319"/>
      <c r="GBQ16" s="319"/>
      <c r="GBR16" s="319"/>
      <c r="GBS16" s="319"/>
      <c r="GBT16" s="319"/>
      <c r="GBU16" s="319"/>
      <c r="GBV16" s="319"/>
      <c r="GBW16" s="319"/>
      <c r="GBX16" s="319"/>
      <c r="GBY16" s="319"/>
      <c r="GBZ16" s="319"/>
      <c r="GCA16" s="319"/>
      <c r="GCB16" s="319"/>
      <c r="GCC16" s="319"/>
      <c r="GCD16" s="319"/>
      <c r="GCE16" s="319"/>
      <c r="GCF16" s="319"/>
      <c r="GCG16" s="319"/>
      <c r="GCH16" s="319"/>
      <c r="GCI16" s="319"/>
      <c r="GCJ16" s="319"/>
      <c r="GCK16" s="319"/>
      <c r="GCL16" s="319"/>
      <c r="GCM16" s="319"/>
      <c r="GCN16" s="319"/>
      <c r="GCO16" s="319"/>
      <c r="GCP16" s="319"/>
      <c r="GCQ16" s="319"/>
      <c r="GCR16" s="319"/>
      <c r="GCS16" s="319"/>
      <c r="GCT16" s="319"/>
      <c r="GCU16" s="319"/>
      <c r="GCV16" s="319"/>
      <c r="GCW16" s="319"/>
      <c r="GCX16" s="319"/>
      <c r="GCY16" s="319"/>
      <c r="GCZ16" s="319"/>
      <c r="GDA16" s="319"/>
      <c r="GDB16" s="319"/>
      <c r="GDC16" s="319"/>
      <c r="GDD16" s="319"/>
      <c r="GDE16" s="319"/>
      <c r="GDF16" s="319"/>
      <c r="GDG16" s="319"/>
      <c r="GDH16" s="319"/>
      <c r="GDI16" s="319"/>
      <c r="GDJ16" s="319"/>
      <c r="GDK16" s="319"/>
      <c r="GDL16" s="319"/>
      <c r="GDM16" s="319"/>
      <c r="GDN16" s="319"/>
      <c r="GDO16" s="319"/>
      <c r="GDP16" s="319"/>
      <c r="GDQ16" s="319"/>
      <c r="GDR16" s="319"/>
      <c r="GDS16" s="319"/>
      <c r="GDT16" s="319"/>
      <c r="GDU16" s="319"/>
      <c r="GDV16" s="319"/>
      <c r="GDW16" s="319"/>
      <c r="GDX16" s="319"/>
      <c r="GDY16" s="319"/>
      <c r="GDZ16" s="319"/>
      <c r="GEA16" s="319"/>
      <c r="GEB16" s="319"/>
      <c r="GEC16" s="319"/>
      <c r="GED16" s="319"/>
      <c r="GEE16" s="319"/>
      <c r="GEF16" s="319"/>
      <c r="GEG16" s="319"/>
      <c r="GEH16" s="319"/>
      <c r="GEI16" s="319"/>
      <c r="GEJ16" s="319"/>
      <c r="GEK16" s="319"/>
      <c r="GEL16" s="319"/>
      <c r="GEM16" s="319"/>
      <c r="GEN16" s="319"/>
      <c r="GEO16" s="319"/>
      <c r="GEP16" s="319"/>
      <c r="GEQ16" s="319"/>
      <c r="GER16" s="319"/>
      <c r="GES16" s="319"/>
      <c r="GET16" s="319"/>
      <c r="GEU16" s="319"/>
      <c r="GEV16" s="319"/>
      <c r="GEW16" s="319"/>
      <c r="GEX16" s="319"/>
      <c r="GEY16" s="319"/>
      <c r="GEZ16" s="319"/>
      <c r="GFA16" s="319"/>
      <c r="GFB16" s="319"/>
      <c r="GFC16" s="319"/>
      <c r="GFD16" s="319"/>
      <c r="GFE16" s="319"/>
      <c r="GFF16" s="319"/>
      <c r="GFG16" s="319"/>
      <c r="GFH16" s="319"/>
      <c r="GFI16" s="319"/>
      <c r="GFJ16" s="319"/>
      <c r="GFK16" s="319"/>
      <c r="GFL16" s="319"/>
      <c r="GFM16" s="319"/>
      <c r="GFN16" s="319"/>
      <c r="GFO16" s="319"/>
      <c r="GFP16" s="319"/>
      <c r="GFQ16" s="319"/>
      <c r="GFR16" s="319"/>
      <c r="GFS16" s="319"/>
      <c r="GFT16" s="319"/>
      <c r="GFU16" s="319"/>
      <c r="GFV16" s="319"/>
      <c r="GFW16" s="319"/>
      <c r="GFX16" s="319"/>
      <c r="GFY16" s="319"/>
      <c r="GFZ16" s="319"/>
      <c r="GGA16" s="319"/>
      <c r="GGB16" s="319"/>
      <c r="GGC16" s="319"/>
      <c r="GGD16" s="319"/>
      <c r="GGE16" s="319"/>
      <c r="GGF16" s="319"/>
      <c r="GGG16" s="319"/>
      <c r="GGH16" s="319"/>
      <c r="GGI16" s="319"/>
      <c r="GGJ16" s="319"/>
      <c r="GGK16" s="319"/>
      <c r="GGL16" s="319"/>
      <c r="GGM16" s="319"/>
      <c r="GGN16" s="319"/>
      <c r="GGO16" s="319"/>
      <c r="GGP16" s="319"/>
      <c r="GGQ16" s="319"/>
      <c r="GGR16" s="319"/>
      <c r="GGS16" s="319"/>
      <c r="GGT16" s="319"/>
      <c r="GGU16" s="319"/>
      <c r="GGV16" s="319"/>
      <c r="GGW16" s="319"/>
      <c r="GGX16" s="319"/>
      <c r="GGY16" s="319"/>
      <c r="GGZ16" s="319"/>
      <c r="GHA16" s="319"/>
      <c r="GHB16" s="319"/>
      <c r="GHC16" s="319"/>
      <c r="GHD16" s="319"/>
      <c r="GHE16" s="319"/>
      <c r="GHF16" s="319"/>
      <c r="GHG16" s="319"/>
      <c r="GHH16" s="319"/>
      <c r="GHI16" s="319"/>
      <c r="GHJ16" s="319"/>
      <c r="GHK16" s="319"/>
      <c r="GHL16" s="319"/>
      <c r="GHM16" s="319"/>
      <c r="GHN16" s="319"/>
      <c r="GHO16" s="319"/>
      <c r="GHP16" s="319"/>
      <c r="GHQ16" s="319"/>
      <c r="GHR16" s="319"/>
      <c r="GHS16" s="319"/>
      <c r="GHT16" s="319"/>
      <c r="GHU16" s="319"/>
      <c r="GHV16" s="319"/>
      <c r="GHW16" s="319"/>
      <c r="GHX16" s="319"/>
      <c r="GHY16" s="319"/>
      <c r="GHZ16" s="319"/>
      <c r="GIA16" s="319"/>
      <c r="GIB16" s="319"/>
      <c r="GIC16" s="319"/>
      <c r="GID16" s="319"/>
      <c r="GIE16" s="319"/>
      <c r="GIF16" s="319"/>
      <c r="GIG16" s="319"/>
      <c r="GIH16" s="319"/>
      <c r="GII16" s="319"/>
      <c r="GIJ16" s="319"/>
      <c r="GIK16" s="319"/>
      <c r="GIL16" s="319"/>
      <c r="GIM16" s="319"/>
      <c r="GIN16" s="319"/>
      <c r="GIO16" s="319"/>
      <c r="GIP16" s="319"/>
      <c r="GIQ16" s="319"/>
      <c r="GIR16" s="319"/>
      <c r="GIS16" s="319"/>
      <c r="GIT16" s="319"/>
      <c r="GIU16" s="319"/>
      <c r="GIV16" s="319"/>
      <c r="GIW16" s="319"/>
      <c r="GIX16" s="319"/>
      <c r="GIY16" s="319"/>
      <c r="GIZ16" s="319"/>
      <c r="GJA16" s="319"/>
      <c r="GJB16" s="319"/>
      <c r="GJC16" s="319"/>
      <c r="GJD16" s="319"/>
      <c r="GJE16" s="319"/>
      <c r="GJF16" s="319"/>
      <c r="GJG16" s="319"/>
      <c r="GJH16" s="319"/>
      <c r="GJI16" s="319"/>
      <c r="GJJ16" s="319"/>
      <c r="GJK16" s="319"/>
      <c r="GJL16" s="319"/>
      <c r="GJM16" s="319"/>
      <c r="GJN16" s="319"/>
      <c r="GJO16" s="319"/>
      <c r="GJP16" s="319"/>
      <c r="GJQ16" s="319"/>
      <c r="GJR16" s="319"/>
      <c r="GJS16" s="319"/>
      <c r="GJT16" s="319"/>
      <c r="GJU16" s="319"/>
      <c r="GJV16" s="319"/>
      <c r="GJW16" s="319"/>
      <c r="GJX16" s="319"/>
      <c r="GJY16" s="319"/>
      <c r="GJZ16" s="319"/>
      <c r="GKA16" s="319"/>
      <c r="GKB16" s="319"/>
      <c r="GKC16" s="319"/>
      <c r="GKD16" s="319"/>
      <c r="GKE16" s="319"/>
      <c r="GKF16" s="319"/>
      <c r="GKG16" s="319"/>
      <c r="GKH16" s="319"/>
      <c r="GKI16" s="319"/>
      <c r="GKJ16" s="319"/>
      <c r="GKK16" s="319"/>
      <c r="GKL16" s="319"/>
      <c r="GKM16" s="319"/>
      <c r="GKN16" s="319"/>
      <c r="GKO16" s="319"/>
      <c r="GKP16" s="319"/>
      <c r="GKQ16" s="319"/>
      <c r="GKR16" s="319"/>
      <c r="GKS16" s="319"/>
      <c r="GKT16" s="319"/>
      <c r="GKU16" s="319"/>
      <c r="GKV16" s="319"/>
      <c r="GKW16" s="319"/>
      <c r="GKX16" s="319"/>
      <c r="GKY16" s="319"/>
      <c r="GKZ16" s="319"/>
      <c r="GLA16" s="319"/>
      <c r="GLB16" s="319"/>
      <c r="GLC16" s="319"/>
      <c r="GLD16" s="319"/>
      <c r="GLE16" s="319"/>
      <c r="GLF16" s="319"/>
      <c r="GLG16" s="319"/>
      <c r="GLH16" s="319"/>
      <c r="GLI16" s="319"/>
      <c r="GLJ16" s="319"/>
      <c r="GLK16" s="319"/>
      <c r="GLL16" s="319"/>
      <c r="GLM16" s="319"/>
      <c r="GLN16" s="319"/>
      <c r="GLO16" s="319"/>
      <c r="GLP16" s="319"/>
      <c r="GLQ16" s="319"/>
      <c r="GLR16" s="319"/>
      <c r="GLS16" s="319"/>
      <c r="GLT16" s="319"/>
      <c r="GLU16" s="319"/>
      <c r="GLV16" s="319"/>
      <c r="GLW16" s="319"/>
      <c r="GLX16" s="319"/>
      <c r="GLY16" s="319"/>
      <c r="GLZ16" s="319"/>
      <c r="GMA16" s="319"/>
      <c r="GMB16" s="319"/>
      <c r="GMC16" s="319"/>
      <c r="GMD16" s="319"/>
      <c r="GME16" s="319"/>
      <c r="GMF16" s="319"/>
      <c r="GMG16" s="319"/>
      <c r="GMH16" s="319"/>
      <c r="GMI16" s="319"/>
      <c r="GMJ16" s="319"/>
      <c r="GMK16" s="319"/>
      <c r="GML16" s="319"/>
      <c r="GMM16" s="319"/>
      <c r="GMN16" s="319"/>
      <c r="GMO16" s="319"/>
      <c r="GMP16" s="319"/>
      <c r="GMQ16" s="319"/>
      <c r="GMR16" s="319"/>
      <c r="GMS16" s="319"/>
      <c r="GMT16" s="319"/>
      <c r="GMU16" s="319"/>
      <c r="GMV16" s="319"/>
      <c r="GMW16" s="319"/>
      <c r="GMX16" s="319"/>
      <c r="GMY16" s="319"/>
      <c r="GMZ16" s="319"/>
      <c r="GNA16" s="319"/>
      <c r="GNB16" s="319"/>
      <c r="GNC16" s="319"/>
      <c r="GND16" s="319"/>
      <c r="GNE16" s="319"/>
      <c r="GNF16" s="319"/>
      <c r="GNG16" s="319"/>
      <c r="GNH16" s="319"/>
      <c r="GNI16" s="319"/>
      <c r="GNJ16" s="319"/>
      <c r="GNK16" s="319"/>
      <c r="GNL16" s="319"/>
      <c r="GNM16" s="319"/>
      <c r="GNN16" s="319"/>
      <c r="GNO16" s="319"/>
      <c r="GNP16" s="319"/>
      <c r="GNQ16" s="319"/>
      <c r="GNR16" s="319"/>
      <c r="GNS16" s="319"/>
      <c r="GNT16" s="319"/>
      <c r="GNU16" s="319"/>
      <c r="GNV16" s="319"/>
      <c r="GNW16" s="319"/>
      <c r="GNX16" s="319"/>
      <c r="GNY16" s="319"/>
      <c r="GNZ16" s="319"/>
      <c r="GOA16" s="319"/>
      <c r="GOB16" s="319"/>
      <c r="GOC16" s="319"/>
      <c r="GOD16" s="319"/>
      <c r="GOE16" s="319"/>
      <c r="GOF16" s="319"/>
      <c r="GOG16" s="319"/>
      <c r="GOH16" s="319"/>
      <c r="GOI16" s="319"/>
      <c r="GOJ16" s="319"/>
      <c r="GOK16" s="319"/>
      <c r="GOL16" s="319"/>
      <c r="GOM16" s="319"/>
      <c r="GON16" s="319"/>
      <c r="GOO16" s="319"/>
      <c r="GOP16" s="319"/>
      <c r="GOQ16" s="319"/>
      <c r="GOR16" s="319"/>
      <c r="GOS16" s="319"/>
      <c r="GOT16" s="319"/>
      <c r="GOU16" s="319"/>
      <c r="GOV16" s="319"/>
      <c r="GOW16" s="319"/>
      <c r="GOX16" s="319"/>
      <c r="GOY16" s="319"/>
      <c r="GOZ16" s="319"/>
      <c r="GPA16" s="319"/>
      <c r="GPB16" s="319"/>
      <c r="GPC16" s="319"/>
      <c r="GPD16" s="319"/>
      <c r="GPE16" s="319"/>
      <c r="GPF16" s="319"/>
      <c r="GPG16" s="319"/>
      <c r="GPH16" s="319"/>
      <c r="GPI16" s="319"/>
      <c r="GPJ16" s="319"/>
      <c r="GPK16" s="319"/>
      <c r="GPL16" s="319"/>
      <c r="GPM16" s="319"/>
      <c r="GPN16" s="319"/>
      <c r="GPO16" s="319"/>
      <c r="GPP16" s="319"/>
      <c r="GPQ16" s="319"/>
      <c r="GPR16" s="319"/>
      <c r="GPS16" s="319"/>
      <c r="GPT16" s="319"/>
      <c r="GPU16" s="319"/>
      <c r="GPV16" s="319"/>
      <c r="GPW16" s="319"/>
      <c r="GPX16" s="319"/>
      <c r="GPY16" s="319"/>
      <c r="GPZ16" s="319"/>
      <c r="GQA16" s="319"/>
      <c r="GQB16" s="319"/>
      <c r="GQC16" s="319"/>
      <c r="GQD16" s="319"/>
      <c r="GQE16" s="319"/>
      <c r="GQF16" s="319"/>
      <c r="GQG16" s="319"/>
      <c r="GQH16" s="319"/>
      <c r="GQI16" s="319"/>
      <c r="GQJ16" s="319"/>
      <c r="GQK16" s="319"/>
      <c r="GQL16" s="319"/>
      <c r="GQM16" s="319"/>
      <c r="GQN16" s="319"/>
      <c r="GQO16" s="319"/>
      <c r="GQP16" s="319"/>
      <c r="GQQ16" s="319"/>
      <c r="GQR16" s="319"/>
      <c r="GQS16" s="319"/>
      <c r="GQT16" s="319"/>
      <c r="GQU16" s="319"/>
      <c r="GQV16" s="319"/>
      <c r="GQW16" s="319"/>
      <c r="GQX16" s="319"/>
      <c r="GQY16" s="319"/>
      <c r="GQZ16" s="319"/>
      <c r="GRA16" s="319"/>
      <c r="GRB16" s="319"/>
      <c r="GRC16" s="319"/>
      <c r="GRD16" s="319"/>
      <c r="GRE16" s="319"/>
      <c r="GRF16" s="319"/>
      <c r="GRG16" s="319"/>
      <c r="GRH16" s="319"/>
      <c r="GRI16" s="319"/>
      <c r="GRJ16" s="319"/>
      <c r="GRK16" s="319"/>
      <c r="GRL16" s="319"/>
      <c r="GRM16" s="319"/>
      <c r="GRN16" s="319"/>
      <c r="GRO16" s="319"/>
      <c r="GRP16" s="319"/>
      <c r="GRQ16" s="319"/>
      <c r="GRR16" s="319"/>
      <c r="GRS16" s="319"/>
      <c r="GRT16" s="319"/>
      <c r="GRU16" s="319"/>
      <c r="GRV16" s="319"/>
      <c r="GRW16" s="319"/>
      <c r="GRX16" s="319"/>
      <c r="GRY16" s="319"/>
      <c r="GRZ16" s="319"/>
      <c r="GSA16" s="319"/>
      <c r="GSB16" s="319"/>
      <c r="GSC16" s="319"/>
      <c r="GSD16" s="319"/>
      <c r="GSE16" s="319"/>
      <c r="GSF16" s="319"/>
      <c r="GSG16" s="319"/>
      <c r="GSH16" s="319"/>
      <c r="GSI16" s="319"/>
      <c r="GSJ16" s="319"/>
      <c r="GSK16" s="319"/>
      <c r="GSL16" s="319"/>
      <c r="GSM16" s="319"/>
      <c r="GSN16" s="319"/>
      <c r="GSO16" s="319"/>
      <c r="GSP16" s="319"/>
      <c r="GSQ16" s="319"/>
      <c r="GSR16" s="319"/>
      <c r="GSS16" s="319"/>
      <c r="GST16" s="319"/>
      <c r="GSU16" s="319"/>
      <c r="GSV16" s="319"/>
      <c r="GSW16" s="319"/>
      <c r="GSX16" s="319"/>
      <c r="GSY16" s="319"/>
      <c r="GSZ16" s="319"/>
      <c r="GTA16" s="319"/>
      <c r="GTB16" s="319"/>
      <c r="GTC16" s="319"/>
      <c r="GTD16" s="319"/>
      <c r="GTE16" s="319"/>
      <c r="GTF16" s="319"/>
      <c r="GTG16" s="319"/>
      <c r="GTH16" s="319"/>
      <c r="GTI16" s="319"/>
      <c r="GTJ16" s="319"/>
      <c r="GTK16" s="319"/>
      <c r="GTL16" s="319"/>
      <c r="GTM16" s="319"/>
      <c r="GTN16" s="319"/>
      <c r="GTO16" s="319"/>
      <c r="GTP16" s="319"/>
      <c r="GTQ16" s="319"/>
      <c r="GTR16" s="319"/>
      <c r="GTS16" s="319"/>
      <c r="GTT16" s="319"/>
      <c r="GTU16" s="319"/>
      <c r="GTV16" s="319"/>
      <c r="GTW16" s="319"/>
      <c r="GTX16" s="319"/>
      <c r="GTY16" s="319"/>
      <c r="GTZ16" s="319"/>
      <c r="GUA16" s="319"/>
      <c r="GUB16" s="319"/>
      <c r="GUC16" s="319"/>
      <c r="GUD16" s="319"/>
      <c r="GUE16" s="319"/>
      <c r="GUF16" s="319"/>
      <c r="GUG16" s="319"/>
      <c r="GUH16" s="319"/>
      <c r="GUI16" s="319"/>
      <c r="GUJ16" s="319"/>
      <c r="GUK16" s="319"/>
      <c r="GUL16" s="319"/>
      <c r="GUM16" s="319"/>
      <c r="GUN16" s="319"/>
      <c r="GUO16" s="319"/>
      <c r="GUP16" s="319"/>
      <c r="GUQ16" s="319"/>
      <c r="GUR16" s="319"/>
      <c r="GUS16" s="319"/>
      <c r="GUT16" s="319"/>
      <c r="GUU16" s="319"/>
      <c r="GUV16" s="319"/>
      <c r="GUW16" s="319"/>
      <c r="GUX16" s="319"/>
      <c r="GUY16" s="319"/>
      <c r="GUZ16" s="319"/>
      <c r="GVA16" s="319"/>
      <c r="GVB16" s="319"/>
      <c r="GVC16" s="319"/>
      <c r="GVD16" s="319"/>
      <c r="GVE16" s="319"/>
      <c r="GVF16" s="319"/>
      <c r="GVG16" s="319"/>
      <c r="GVH16" s="319"/>
      <c r="GVI16" s="319"/>
      <c r="GVJ16" s="319"/>
      <c r="GVK16" s="319"/>
      <c r="GVL16" s="319"/>
      <c r="GVM16" s="319"/>
      <c r="GVN16" s="319"/>
      <c r="GVO16" s="319"/>
      <c r="GVP16" s="319"/>
      <c r="GVQ16" s="319"/>
      <c r="GVR16" s="319"/>
      <c r="GVS16" s="319"/>
      <c r="GVT16" s="319"/>
      <c r="GVU16" s="319"/>
      <c r="GVV16" s="319"/>
      <c r="GVW16" s="319"/>
      <c r="GVX16" s="319"/>
      <c r="GVY16" s="319"/>
      <c r="GVZ16" s="319"/>
      <c r="GWA16" s="319"/>
      <c r="GWB16" s="319"/>
      <c r="GWC16" s="319"/>
      <c r="GWD16" s="319"/>
      <c r="GWE16" s="319"/>
      <c r="GWF16" s="319"/>
      <c r="GWG16" s="319"/>
      <c r="GWH16" s="319"/>
      <c r="GWI16" s="319"/>
      <c r="GWJ16" s="319"/>
      <c r="GWK16" s="319"/>
      <c r="GWL16" s="319"/>
      <c r="GWM16" s="319"/>
      <c r="GWN16" s="319"/>
      <c r="GWO16" s="319"/>
      <c r="GWP16" s="319"/>
      <c r="GWQ16" s="319"/>
      <c r="GWR16" s="319"/>
      <c r="GWS16" s="319"/>
      <c r="GWT16" s="319"/>
      <c r="GWU16" s="319"/>
      <c r="GWV16" s="319"/>
      <c r="GWW16" s="319"/>
      <c r="GWX16" s="319"/>
      <c r="GWY16" s="319"/>
      <c r="GWZ16" s="319"/>
      <c r="GXA16" s="319"/>
      <c r="GXB16" s="319"/>
      <c r="GXC16" s="319"/>
      <c r="GXD16" s="319"/>
      <c r="GXE16" s="319"/>
      <c r="GXF16" s="319"/>
      <c r="GXG16" s="319"/>
      <c r="GXH16" s="319"/>
      <c r="GXI16" s="319"/>
      <c r="GXJ16" s="319"/>
      <c r="GXK16" s="319"/>
      <c r="GXL16" s="319"/>
      <c r="GXM16" s="319"/>
      <c r="GXN16" s="319"/>
      <c r="GXO16" s="319"/>
      <c r="GXP16" s="319"/>
      <c r="GXQ16" s="319"/>
      <c r="GXR16" s="319"/>
      <c r="GXS16" s="319"/>
      <c r="GXT16" s="319"/>
      <c r="GXU16" s="319"/>
      <c r="GXV16" s="319"/>
      <c r="GXW16" s="319"/>
      <c r="GXX16" s="319"/>
      <c r="GXY16" s="319"/>
      <c r="GXZ16" s="319"/>
      <c r="GYA16" s="319"/>
      <c r="GYB16" s="319"/>
      <c r="GYC16" s="319"/>
      <c r="GYD16" s="319"/>
      <c r="GYE16" s="319"/>
      <c r="GYF16" s="319"/>
      <c r="GYG16" s="319"/>
      <c r="GYH16" s="319"/>
      <c r="GYI16" s="319"/>
      <c r="GYJ16" s="319"/>
      <c r="GYK16" s="319"/>
      <c r="GYL16" s="319"/>
      <c r="GYM16" s="319"/>
      <c r="GYN16" s="319"/>
      <c r="GYO16" s="319"/>
      <c r="GYP16" s="319"/>
      <c r="GYQ16" s="319"/>
      <c r="GYR16" s="319"/>
      <c r="GYS16" s="319"/>
      <c r="GYT16" s="319"/>
      <c r="GYU16" s="319"/>
      <c r="GYV16" s="319"/>
      <c r="GYW16" s="319"/>
      <c r="GYX16" s="319"/>
      <c r="GYY16" s="319"/>
      <c r="GYZ16" s="319"/>
      <c r="GZA16" s="319"/>
      <c r="GZB16" s="319"/>
      <c r="GZC16" s="319"/>
      <c r="GZD16" s="319"/>
      <c r="GZE16" s="319"/>
      <c r="GZF16" s="319"/>
      <c r="GZG16" s="319"/>
      <c r="GZH16" s="319"/>
      <c r="GZI16" s="319"/>
      <c r="GZJ16" s="319"/>
      <c r="GZK16" s="319"/>
      <c r="GZL16" s="319"/>
      <c r="GZM16" s="319"/>
      <c r="GZN16" s="319"/>
      <c r="GZO16" s="319"/>
      <c r="GZP16" s="319"/>
      <c r="GZQ16" s="319"/>
      <c r="GZR16" s="319"/>
      <c r="GZS16" s="319"/>
      <c r="GZT16" s="319"/>
      <c r="GZU16" s="319"/>
      <c r="GZV16" s="319"/>
      <c r="GZW16" s="319"/>
      <c r="GZX16" s="319"/>
      <c r="GZY16" s="319"/>
      <c r="GZZ16" s="319"/>
      <c r="HAA16" s="319"/>
      <c r="HAB16" s="319"/>
      <c r="HAC16" s="319"/>
      <c r="HAD16" s="319"/>
      <c r="HAE16" s="319"/>
      <c r="HAF16" s="319"/>
      <c r="HAG16" s="319"/>
      <c r="HAH16" s="319"/>
      <c r="HAI16" s="319"/>
      <c r="HAJ16" s="319"/>
      <c r="HAK16" s="319"/>
      <c r="HAL16" s="319"/>
      <c r="HAM16" s="319"/>
      <c r="HAN16" s="319"/>
      <c r="HAO16" s="319"/>
      <c r="HAP16" s="319"/>
      <c r="HAQ16" s="319"/>
      <c r="HAR16" s="319"/>
      <c r="HAS16" s="319"/>
      <c r="HAT16" s="319"/>
      <c r="HAU16" s="319"/>
      <c r="HAV16" s="319"/>
      <c r="HAW16" s="319"/>
      <c r="HAX16" s="319"/>
      <c r="HAY16" s="319"/>
      <c r="HAZ16" s="319"/>
      <c r="HBA16" s="319"/>
      <c r="HBB16" s="319"/>
      <c r="HBC16" s="319"/>
      <c r="HBD16" s="319"/>
      <c r="HBE16" s="319"/>
      <c r="HBF16" s="319"/>
      <c r="HBG16" s="319"/>
      <c r="HBH16" s="319"/>
      <c r="HBI16" s="319"/>
      <c r="HBJ16" s="319"/>
      <c r="HBK16" s="319"/>
      <c r="HBL16" s="319"/>
      <c r="HBM16" s="319"/>
      <c r="HBN16" s="319"/>
      <c r="HBO16" s="319"/>
      <c r="HBP16" s="319"/>
      <c r="HBQ16" s="319"/>
      <c r="HBR16" s="319"/>
      <c r="HBS16" s="319"/>
      <c r="HBT16" s="319"/>
      <c r="HBU16" s="319"/>
      <c r="HBV16" s="319"/>
      <c r="HBW16" s="319"/>
      <c r="HBX16" s="319"/>
      <c r="HBY16" s="319"/>
      <c r="HBZ16" s="319"/>
      <c r="HCA16" s="319"/>
      <c r="HCB16" s="319"/>
      <c r="HCC16" s="319"/>
      <c r="HCD16" s="319"/>
      <c r="HCE16" s="319"/>
      <c r="HCF16" s="319"/>
      <c r="HCG16" s="319"/>
      <c r="HCH16" s="319"/>
      <c r="HCI16" s="319"/>
      <c r="HCJ16" s="319"/>
      <c r="HCK16" s="319"/>
      <c r="HCL16" s="319"/>
      <c r="HCM16" s="319"/>
      <c r="HCN16" s="319"/>
      <c r="HCO16" s="319"/>
      <c r="HCP16" s="319"/>
      <c r="HCQ16" s="319"/>
      <c r="HCR16" s="319"/>
      <c r="HCS16" s="319"/>
      <c r="HCT16" s="319"/>
      <c r="HCU16" s="319"/>
      <c r="HCV16" s="319"/>
      <c r="HCW16" s="319"/>
      <c r="HCX16" s="319"/>
      <c r="HCY16" s="319"/>
      <c r="HCZ16" s="319"/>
      <c r="HDA16" s="319"/>
      <c r="HDB16" s="319"/>
      <c r="HDC16" s="319"/>
      <c r="HDD16" s="319"/>
      <c r="HDE16" s="319"/>
      <c r="HDF16" s="319"/>
      <c r="HDG16" s="319"/>
      <c r="HDH16" s="319"/>
      <c r="HDI16" s="319"/>
      <c r="HDJ16" s="319"/>
      <c r="HDK16" s="319"/>
      <c r="HDL16" s="319"/>
      <c r="HDM16" s="319"/>
      <c r="HDN16" s="319"/>
      <c r="HDO16" s="319"/>
      <c r="HDP16" s="319"/>
      <c r="HDQ16" s="319"/>
      <c r="HDR16" s="319"/>
      <c r="HDS16" s="319"/>
      <c r="HDT16" s="319"/>
      <c r="HDU16" s="319"/>
      <c r="HDV16" s="319"/>
      <c r="HDW16" s="319"/>
      <c r="HDX16" s="319"/>
      <c r="HDY16" s="319"/>
      <c r="HDZ16" s="319"/>
      <c r="HEA16" s="319"/>
      <c r="HEB16" s="319"/>
      <c r="HEC16" s="319"/>
      <c r="HED16" s="319"/>
      <c r="HEE16" s="319"/>
      <c r="HEF16" s="319"/>
      <c r="HEG16" s="319"/>
      <c r="HEH16" s="319"/>
      <c r="HEI16" s="319"/>
      <c r="HEJ16" s="319"/>
      <c r="HEK16" s="319"/>
      <c r="HEL16" s="319"/>
      <c r="HEM16" s="319"/>
      <c r="HEN16" s="319"/>
      <c r="HEO16" s="319"/>
      <c r="HEP16" s="319"/>
      <c r="HEQ16" s="319"/>
      <c r="HER16" s="319"/>
      <c r="HES16" s="319"/>
      <c r="HET16" s="319"/>
      <c r="HEU16" s="319"/>
      <c r="HEV16" s="319"/>
      <c r="HEW16" s="319"/>
      <c r="HEX16" s="319"/>
      <c r="HEY16" s="319"/>
      <c r="HEZ16" s="319"/>
      <c r="HFA16" s="319"/>
      <c r="HFB16" s="319"/>
      <c r="HFC16" s="319"/>
      <c r="HFD16" s="319"/>
      <c r="HFE16" s="319"/>
      <c r="HFF16" s="319"/>
      <c r="HFG16" s="319"/>
      <c r="HFH16" s="319"/>
      <c r="HFI16" s="319"/>
      <c r="HFJ16" s="319"/>
      <c r="HFK16" s="319"/>
      <c r="HFL16" s="319"/>
      <c r="HFM16" s="319"/>
      <c r="HFN16" s="319"/>
      <c r="HFO16" s="319"/>
      <c r="HFP16" s="319"/>
      <c r="HFQ16" s="319"/>
      <c r="HFR16" s="319"/>
      <c r="HFS16" s="319"/>
      <c r="HFT16" s="319"/>
      <c r="HFU16" s="319"/>
      <c r="HFV16" s="319"/>
      <c r="HFW16" s="319"/>
      <c r="HFX16" s="319"/>
      <c r="HFY16" s="319"/>
      <c r="HFZ16" s="319"/>
      <c r="HGA16" s="319"/>
      <c r="HGB16" s="319"/>
      <c r="HGC16" s="319"/>
      <c r="HGD16" s="319"/>
      <c r="HGE16" s="319"/>
      <c r="HGF16" s="319"/>
      <c r="HGG16" s="319"/>
      <c r="HGH16" s="319"/>
      <c r="HGI16" s="319"/>
      <c r="HGJ16" s="319"/>
      <c r="HGK16" s="319"/>
      <c r="HGL16" s="319"/>
      <c r="HGM16" s="319"/>
      <c r="HGN16" s="319"/>
      <c r="HGO16" s="319"/>
      <c r="HGP16" s="319"/>
      <c r="HGQ16" s="319"/>
      <c r="HGR16" s="319"/>
      <c r="HGS16" s="319"/>
      <c r="HGT16" s="319"/>
      <c r="HGU16" s="319"/>
      <c r="HGV16" s="319"/>
      <c r="HGW16" s="319"/>
      <c r="HGX16" s="319"/>
      <c r="HGY16" s="319"/>
      <c r="HGZ16" s="319"/>
      <c r="HHA16" s="319"/>
      <c r="HHB16" s="319"/>
      <c r="HHC16" s="319"/>
      <c r="HHD16" s="319"/>
      <c r="HHE16" s="319"/>
      <c r="HHF16" s="319"/>
      <c r="HHG16" s="319"/>
      <c r="HHH16" s="319"/>
      <c r="HHI16" s="319"/>
      <c r="HHJ16" s="319"/>
      <c r="HHK16" s="319"/>
      <c r="HHL16" s="319"/>
      <c r="HHM16" s="319"/>
      <c r="HHN16" s="319"/>
      <c r="HHO16" s="319"/>
      <c r="HHP16" s="319"/>
      <c r="HHQ16" s="319"/>
      <c r="HHR16" s="319"/>
      <c r="HHS16" s="319"/>
      <c r="HHT16" s="319"/>
      <c r="HHU16" s="319"/>
      <c r="HHV16" s="319"/>
      <c r="HHW16" s="319"/>
      <c r="HHX16" s="319"/>
      <c r="HHY16" s="319"/>
      <c r="HHZ16" s="319"/>
      <c r="HIA16" s="319"/>
      <c r="HIB16" s="319"/>
      <c r="HIC16" s="319"/>
      <c r="HID16" s="319"/>
      <c r="HIE16" s="319"/>
      <c r="HIF16" s="319"/>
      <c r="HIG16" s="319"/>
      <c r="HIH16" s="319"/>
      <c r="HII16" s="319"/>
      <c r="HIJ16" s="319"/>
      <c r="HIK16" s="319"/>
      <c r="HIL16" s="319"/>
      <c r="HIM16" s="319"/>
      <c r="HIN16" s="319"/>
      <c r="HIO16" s="319"/>
      <c r="HIP16" s="319"/>
      <c r="HIQ16" s="319"/>
      <c r="HIR16" s="319"/>
      <c r="HIS16" s="319"/>
      <c r="HIT16" s="319"/>
      <c r="HIU16" s="319"/>
      <c r="HIV16" s="319"/>
      <c r="HIW16" s="319"/>
      <c r="HIX16" s="319"/>
      <c r="HIY16" s="319"/>
      <c r="HIZ16" s="319"/>
      <c r="HJA16" s="319"/>
      <c r="HJB16" s="319"/>
      <c r="HJC16" s="319"/>
      <c r="HJD16" s="319"/>
      <c r="HJE16" s="319"/>
      <c r="HJF16" s="319"/>
      <c r="HJG16" s="319"/>
      <c r="HJH16" s="319"/>
      <c r="HJI16" s="319"/>
      <c r="HJJ16" s="319"/>
      <c r="HJK16" s="319"/>
      <c r="HJL16" s="319"/>
      <c r="HJM16" s="319"/>
      <c r="HJN16" s="319"/>
      <c r="HJO16" s="319"/>
      <c r="HJP16" s="319"/>
      <c r="HJQ16" s="319"/>
      <c r="HJR16" s="319"/>
      <c r="HJS16" s="319"/>
      <c r="HJT16" s="319"/>
      <c r="HJU16" s="319"/>
      <c r="HJV16" s="319"/>
      <c r="HJW16" s="319"/>
      <c r="HJX16" s="319"/>
      <c r="HJY16" s="319"/>
      <c r="HJZ16" s="319"/>
      <c r="HKA16" s="319"/>
      <c r="HKB16" s="319"/>
      <c r="HKC16" s="319"/>
      <c r="HKD16" s="319"/>
      <c r="HKE16" s="319"/>
      <c r="HKF16" s="319"/>
      <c r="HKG16" s="319"/>
      <c r="HKH16" s="319"/>
      <c r="HKI16" s="319"/>
      <c r="HKJ16" s="319"/>
      <c r="HKK16" s="319"/>
      <c r="HKL16" s="319"/>
      <c r="HKM16" s="319"/>
      <c r="HKN16" s="319"/>
      <c r="HKO16" s="319"/>
      <c r="HKP16" s="319"/>
      <c r="HKQ16" s="319"/>
      <c r="HKR16" s="319"/>
      <c r="HKS16" s="319"/>
      <c r="HKT16" s="319"/>
      <c r="HKU16" s="319"/>
      <c r="HKV16" s="319"/>
      <c r="HKW16" s="319"/>
      <c r="HKX16" s="319"/>
      <c r="HKY16" s="319"/>
      <c r="HKZ16" s="319"/>
      <c r="HLA16" s="319"/>
      <c r="HLB16" s="319"/>
      <c r="HLC16" s="319"/>
      <c r="HLD16" s="319"/>
      <c r="HLE16" s="319"/>
      <c r="HLF16" s="319"/>
      <c r="HLG16" s="319"/>
      <c r="HLH16" s="319"/>
      <c r="HLI16" s="319"/>
      <c r="HLJ16" s="319"/>
      <c r="HLK16" s="319"/>
      <c r="HLL16" s="319"/>
      <c r="HLM16" s="319"/>
      <c r="HLN16" s="319"/>
      <c r="HLO16" s="319"/>
      <c r="HLP16" s="319"/>
      <c r="HLQ16" s="319"/>
      <c r="HLR16" s="319"/>
      <c r="HLS16" s="319"/>
      <c r="HLT16" s="319"/>
      <c r="HLU16" s="319"/>
      <c r="HLV16" s="319"/>
      <c r="HLW16" s="319"/>
      <c r="HLX16" s="319"/>
      <c r="HLY16" s="319"/>
      <c r="HLZ16" s="319"/>
      <c r="HMA16" s="319"/>
      <c r="HMB16" s="319"/>
      <c r="HMC16" s="319"/>
      <c r="HMD16" s="319"/>
      <c r="HME16" s="319"/>
      <c r="HMF16" s="319"/>
      <c r="HMG16" s="319"/>
      <c r="HMH16" s="319"/>
      <c r="HMI16" s="319"/>
      <c r="HMJ16" s="319"/>
      <c r="HMK16" s="319"/>
      <c r="HML16" s="319"/>
      <c r="HMM16" s="319"/>
      <c r="HMN16" s="319"/>
      <c r="HMO16" s="319"/>
      <c r="HMP16" s="319"/>
      <c r="HMQ16" s="319"/>
      <c r="HMR16" s="319"/>
      <c r="HMS16" s="319"/>
      <c r="HMT16" s="319"/>
      <c r="HMU16" s="319"/>
      <c r="HMV16" s="319"/>
      <c r="HMW16" s="319"/>
      <c r="HMX16" s="319"/>
      <c r="HMY16" s="319"/>
      <c r="HMZ16" s="319"/>
      <c r="HNA16" s="319"/>
      <c r="HNB16" s="319"/>
      <c r="HNC16" s="319"/>
      <c r="HND16" s="319"/>
      <c r="HNE16" s="319"/>
      <c r="HNF16" s="319"/>
      <c r="HNG16" s="319"/>
      <c r="HNH16" s="319"/>
      <c r="HNI16" s="319"/>
      <c r="HNJ16" s="319"/>
      <c r="HNK16" s="319"/>
      <c r="HNL16" s="319"/>
      <c r="HNM16" s="319"/>
      <c r="HNN16" s="319"/>
      <c r="HNO16" s="319"/>
      <c r="HNP16" s="319"/>
      <c r="HNQ16" s="319"/>
      <c r="HNR16" s="319"/>
      <c r="HNS16" s="319"/>
      <c r="HNT16" s="319"/>
      <c r="HNU16" s="319"/>
      <c r="HNV16" s="319"/>
      <c r="HNW16" s="319"/>
      <c r="HNX16" s="319"/>
      <c r="HNY16" s="319"/>
      <c r="HNZ16" s="319"/>
      <c r="HOA16" s="319"/>
      <c r="HOB16" s="319"/>
      <c r="HOC16" s="319"/>
      <c r="HOD16" s="319"/>
      <c r="HOE16" s="319"/>
      <c r="HOF16" s="319"/>
      <c r="HOG16" s="319"/>
      <c r="HOH16" s="319"/>
      <c r="HOI16" s="319"/>
      <c r="HOJ16" s="319"/>
      <c r="HOK16" s="319"/>
      <c r="HOL16" s="319"/>
      <c r="HOM16" s="319"/>
      <c r="HON16" s="319"/>
      <c r="HOO16" s="319"/>
      <c r="HOP16" s="319"/>
      <c r="HOQ16" s="319"/>
      <c r="HOR16" s="319"/>
      <c r="HOS16" s="319"/>
      <c r="HOT16" s="319"/>
      <c r="HOU16" s="319"/>
      <c r="HOV16" s="319"/>
      <c r="HOW16" s="319"/>
      <c r="HOX16" s="319"/>
      <c r="HOY16" s="319"/>
      <c r="HOZ16" s="319"/>
      <c r="HPA16" s="319"/>
      <c r="HPB16" s="319"/>
      <c r="HPC16" s="319"/>
      <c r="HPD16" s="319"/>
      <c r="HPE16" s="319"/>
      <c r="HPF16" s="319"/>
      <c r="HPG16" s="319"/>
      <c r="HPH16" s="319"/>
      <c r="HPI16" s="319"/>
      <c r="HPJ16" s="319"/>
      <c r="HPK16" s="319"/>
      <c r="HPL16" s="319"/>
      <c r="HPM16" s="319"/>
      <c r="HPN16" s="319"/>
      <c r="HPO16" s="319"/>
      <c r="HPP16" s="319"/>
      <c r="HPQ16" s="319"/>
      <c r="HPR16" s="319"/>
      <c r="HPS16" s="319"/>
      <c r="HPT16" s="319"/>
      <c r="HPU16" s="319"/>
      <c r="HPV16" s="319"/>
      <c r="HPW16" s="319"/>
      <c r="HPX16" s="319"/>
      <c r="HPY16" s="319"/>
      <c r="HPZ16" s="319"/>
      <c r="HQA16" s="319"/>
      <c r="HQB16" s="319"/>
      <c r="HQC16" s="319"/>
      <c r="HQD16" s="319"/>
      <c r="HQE16" s="319"/>
      <c r="HQF16" s="319"/>
      <c r="HQG16" s="319"/>
      <c r="HQH16" s="319"/>
      <c r="HQI16" s="319"/>
      <c r="HQJ16" s="319"/>
      <c r="HQK16" s="319"/>
      <c r="HQL16" s="319"/>
      <c r="HQM16" s="319"/>
      <c r="HQN16" s="319"/>
      <c r="HQO16" s="319"/>
      <c r="HQP16" s="319"/>
      <c r="HQQ16" s="319"/>
      <c r="HQR16" s="319"/>
      <c r="HQS16" s="319"/>
      <c r="HQT16" s="319"/>
      <c r="HQU16" s="319"/>
      <c r="HQV16" s="319"/>
      <c r="HQW16" s="319"/>
      <c r="HQX16" s="319"/>
      <c r="HQY16" s="319"/>
      <c r="HQZ16" s="319"/>
      <c r="HRA16" s="319"/>
      <c r="HRB16" s="319"/>
      <c r="HRC16" s="319"/>
      <c r="HRD16" s="319"/>
      <c r="HRE16" s="319"/>
      <c r="HRF16" s="319"/>
      <c r="HRG16" s="319"/>
      <c r="HRH16" s="319"/>
      <c r="HRI16" s="319"/>
      <c r="HRJ16" s="319"/>
      <c r="HRK16" s="319"/>
      <c r="HRL16" s="319"/>
      <c r="HRM16" s="319"/>
      <c r="HRN16" s="319"/>
      <c r="HRO16" s="319"/>
      <c r="HRP16" s="319"/>
      <c r="HRQ16" s="319"/>
      <c r="HRR16" s="319"/>
      <c r="HRS16" s="319"/>
      <c r="HRT16" s="319"/>
      <c r="HRU16" s="319"/>
      <c r="HRV16" s="319"/>
      <c r="HRW16" s="319"/>
      <c r="HRX16" s="319"/>
      <c r="HRY16" s="319"/>
      <c r="HRZ16" s="319"/>
      <c r="HSA16" s="319"/>
      <c r="HSB16" s="319"/>
      <c r="HSC16" s="319"/>
      <c r="HSD16" s="319"/>
      <c r="HSE16" s="319"/>
      <c r="HSF16" s="319"/>
      <c r="HSG16" s="319"/>
      <c r="HSH16" s="319"/>
      <c r="HSI16" s="319"/>
      <c r="HSJ16" s="319"/>
      <c r="HSK16" s="319"/>
      <c r="HSL16" s="319"/>
      <c r="HSM16" s="319"/>
      <c r="HSN16" s="319"/>
      <c r="HSO16" s="319"/>
      <c r="HSP16" s="319"/>
      <c r="HSQ16" s="319"/>
      <c r="HSR16" s="319"/>
      <c r="HSS16" s="319"/>
      <c r="HST16" s="319"/>
      <c r="HSU16" s="319"/>
      <c r="HSV16" s="319"/>
      <c r="HSW16" s="319"/>
      <c r="HSX16" s="319"/>
      <c r="HSY16" s="319"/>
      <c r="HSZ16" s="319"/>
      <c r="HTA16" s="319"/>
      <c r="HTB16" s="319"/>
      <c r="HTC16" s="319"/>
      <c r="HTD16" s="319"/>
      <c r="HTE16" s="319"/>
      <c r="HTF16" s="319"/>
      <c r="HTG16" s="319"/>
      <c r="HTH16" s="319"/>
      <c r="HTI16" s="319"/>
      <c r="HTJ16" s="319"/>
      <c r="HTK16" s="319"/>
      <c r="HTL16" s="319"/>
      <c r="HTM16" s="319"/>
      <c r="HTN16" s="319"/>
      <c r="HTO16" s="319"/>
      <c r="HTP16" s="319"/>
      <c r="HTQ16" s="319"/>
      <c r="HTR16" s="319"/>
      <c r="HTS16" s="319"/>
      <c r="HTT16" s="319"/>
      <c r="HTU16" s="319"/>
      <c r="HTV16" s="319"/>
      <c r="HTW16" s="319"/>
      <c r="HTX16" s="319"/>
      <c r="HTY16" s="319"/>
      <c r="HTZ16" s="319"/>
      <c r="HUA16" s="319"/>
      <c r="HUB16" s="319"/>
      <c r="HUC16" s="319"/>
      <c r="HUD16" s="319"/>
      <c r="HUE16" s="319"/>
      <c r="HUF16" s="319"/>
      <c r="HUG16" s="319"/>
      <c r="HUH16" s="319"/>
      <c r="HUI16" s="319"/>
      <c r="HUJ16" s="319"/>
      <c r="HUK16" s="319"/>
      <c r="HUL16" s="319"/>
      <c r="HUM16" s="319"/>
      <c r="HUN16" s="319"/>
      <c r="HUO16" s="319"/>
      <c r="HUP16" s="319"/>
      <c r="HUQ16" s="319"/>
      <c r="HUR16" s="319"/>
      <c r="HUS16" s="319"/>
      <c r="HUT16" s="319"/>
      <c r="HUU16" s="319"/>
      <c r="HUV16" s="319"/>
      <c r="HUW16" s="319"/>
      <c r="HUX16" s="319"/>
      <c r="HUY16" s="319"/>
      <c r="HUZ16" s="319"/>
      <c r="HVA16" s="319"/>
      <c r="HVB16" s="319"/>
      <c r="HVC16" s="319"/>
      <c r="HVD16" s="319"/>
      <c r="HVE16" s="319"/>
      <c r="HVF16" s="319"/>
      <c r="HVG16" s="319"/>
      <c r="HVH16" s="319"/>
      <c r="HVI16" s="319"/>
      <c r="HVJ16" s="319"/>
      <c r="HVK16" s="319"/>
      <c r="HVL16" s="319"/>
      <c r="HVM16" s="319"/>
      <c r="HVN16" s="319"/>
      <c r="HVO16" s="319"/>
      <c r="HVP16" s="319"/>
      <c r="HVQ16" s="319"/>
      <c r="HVR16" s="319"/>
      <c r="HVS16" s="319"/>
      <c r="HVT16" s="319"/>
      <c r="HVU16" s="319"/>
      <c r="HVV16" s="319"/>
      <c r="HVW16" s="319"/>
      <c r="HVX16" s="319"/>
      <c r="HVY16" s="319"/>
      <c r="HVZ16" s="319"/>
      <c r="HWA16" s="319"/>
      <c r="HWB16" s="319"/>
      <c r="HWC16" s="319"/>
      <c r="HWD16" s="319"/>
      <c r="HWE16" s="319"/>
      <c r="HWF16" s="319"/>
      <c r="HWG16" s="319"/>
      <c r="HWH16" s="319"/>
      <c r="HWI16" s="319"/>
      <c r="HWJ16" s="319"/>
      <c r="HWK16" s="319"/>
      <c r="HWL16" s="319"/>
      <c r="HWM16" s="319"/>
      <c r="HWN16" s="319"/>
      <c r="HWO16" s="319"/>
      <c r="HWP16" s="319"/>
      <c r="HWQ16" s="319"/>
      <c r="HWR16" s="319"/>
      <c r="HWS16" s="319"/>
      <c r="HWT16" s="319"/>
      <c r="HWU16" s="319"/>
      <c r="HWV16" s="319"/>
      <c r="HWW16" s="319"/>
      <c r="HWX16" s="319"/>
      <c r="HWY16" s="319"/>
      <c r="HWZ16" s="319"/>
      <c r="HXA16" s="319"/>
      <c r="HXB16" s="319"/>
      <c r="HXC16" s="319"/>
      <c r="HXD16" s="319"/>
      <c r="HXE16" s="319"/>
      <c r="HXF16" s="319"/>
      <c r="HXG16" s="319"/>
      <c r="HXH16" s="319"/>
      <c r="HXI16" s="319"/>
      <c r="HXJ16" s="319"/>
      <c r="HXK16" s="319"/>
      <c r="HXL16" s="319"/>
      <c r="HXM16" s="319"/>
      <c r="HXN16" s="319"/>
      <c r="HXO16" s="319"/>
      <c r="HXP16" s="319"/>
      <c r="HXQ16" s="319"/>
      <c r="HXR16" s="319"/>
      <c r="HXS16" s="319"/>
      <c r="HXT16" s="319"/>
      <c r="HXU16" s="319"/>
      <c r="HXV16" s="319"/>
      <c r="HXW16" s="319"/>
      <c r="HXX16" s="319"/>
      <c r="HXY16" s="319"/>
      <c r="HXZ16" s="319"/>
      <c r="HYA16" s="319"/>
      <c r="HYB16" s="319"/>
      <c r="HYC16" s="319"/>
      <c r="HYD16" s="319"/>
      <c r="HYE16" s="319"/>
      <c r="HYF16" s="319"/>
      <c r="HYG16" s="319"/>
      <c r="HYH16" s="319"/>
      <c r="HYI16" s="319"/>
      <c r="HYJ16" s="319"/>
      <c r="HYK16" s="319"/>
      <c r="HYL16" s="319"/>
      <c r="HYM16" s="319"/>
      <c r="HYN16" s="319"/>
      <c r="HYO16" s="319"/>
      <c r="HYP16" s="319"/>
      <c r="HYQ16" s="319"/>
      <c r="HYR16" s="319"/>
      <c r="HYS16" s="319"/>
      <c r="HYT16" s="319"/>
      <c r="HYU16" s="319"/>
      <c r="HYV16" s="319"/>
      <c r="HYW16" s="319"/>
      <c r="HYX16" s="319"/>
      <c r="HYY16" s="319"/>
      <c r="HYZ16" s="319"/>
      <c r="HZA16" s="319"/>
      <c r="HZB16" s="319"/>
      <c r="HZC16" s="319"/>
      <c r="HZD16" s="319"/>
      <c r="HZE16" s="319"/>
      <c r="HZF16" s="319"/>
      <c r="HZG16" s="319"/>
      <c r="HZH16" s="319"/>
      <c r="HZI16" s="319"/>
      <c r="HZJ16" s="319"/>
      <c r="HZK16" s="319"/>
      <c r="HZL16" s="319"/>
      <c r="HZM16" s="319"/>
      <c r="HZN16" s="319"/>
      <c r="HZO16" s="319"/>
      <c r="HZP16" s="319"/>
      <c r="HZQ16" s="319"/>
      <c r="HZR16" s="319"/>
      <c r="HZS16" s="319"/>
      <c r="HZT16" s="319"/>
      <c r="HZU16" s="319"/>
      <c r="HZV16" s="319"/>
      <c r="HZW16" s="319"/>
      <c r="HZX16" s="319"/>
      <c r="HZY16" s="319"/>
      <c r="HZZ16" s="319"/>
      <c r="IAA16" s="319"/>
      <c r="IAB16" s="319"/>
      <c r="IAC16" s="319"/>
      <c r="IAD16" s="319"/>
      <c r="IAE16" s="319"/>
      <c r="IAF16" s="319"/>
      <c r="IAG16" s="319"/>
      <c r="IAH16" s="319"/>
      <c r="IAI16" s="319"/>
      <c r="IAJ16" s="319"/>
      <c r="IAK16" s="319"/>
      <c r="IAL16" s="319"/>
      <c r="IAM16" s="319"/>
      <c r="IAN16" s="319"/>
      <c r="IAO16" s="319"/>
      <c r="IAP16" s="319"/>
      <c r="IAQ16" s="319"/>
      <c r="IAR16" s="319"/>
      <c r="IAS16" s="319"/>
      <c r="IAT16" s="319"/>
      <c r="IAU16" s="319"/>
      <c r="IAV16" s="319"/>
      <c r="IAW16" s="319"/>
      <c r="IAX16" s="319"/>
      <c r="IAY16" s="319"/>
      <c r="IAZ16" s="319"/>
      <c r="IBA16" s="319"/>
      <c r="IBB16" s="319"/>
      <c r="IBC16" s="319"/>
      <c r="IBD16" s="319"/>
      <c r="IBE16" s="319"/>
      <c r="IBF16" s="319"/>
      <c r="IBG16" s="319"/>
      <c r="IBH16" s="319"/>
      <c r="IBI16" s="319"/>
      <c r="IBJ16" s="319"/>
      <c r="IBK16" s="319"/>
      <c r="IBL16" s="319"/>
      <c r="IBM16" s="319"/>
      <c r="IBN16" s="319"/>
      <c r="IBO16" s="319"/>
      <c r="IBP16" s="319"/>
      <c r="IBQ16" s="319"/>
      <c r="IBR16" s="319"/>
      <c r="IBS16" s="319"/>
      <c r="IBT16" s="319"/>
      <c r="IBU16" s="319"/>
      <c r="IBV16" s="319"/>
      <c r="IBW16" s="319"/>
      <c r="IBX16" s="319"/>
      <c r="IBY16" s="319"/>
      <c r="IBZ16" s="319"/>
      <c r="ICA16" s="319"/>
      <c r="ICB16" s="319"/>
      <c r="ICC16" s="319"/>
      <c r="ICD16" s="319"/>
      <c r="ICE16" s="319"/>
      <c r="ICF16" s="319"/>
      <c r="ICG16" s="319"/>
      <c r="ICH16" s="319"/>
      <c r="ICI16" s="319"/>
      <c r="ICJ16" s="319"/>
      <c r="ICK16" s="319"/>
      <c r="ICL16" s="319"/>
      <c r="ICM16" s="319"/>
      <c r="ICN16" s="319"/>
      <c r="ICO16" s="319"/>
      <c r="ICP16" s="319"/>
      <c r="ICQ16" s="319"/>
      <c r="ICR16" s="319"/>
      <c r="ICS16" s="319"/>
      <c r="ICT16" s="319"/>
      <c r="ICU16" s="319"/>
      <c r="ICV16" s="319"/>
      <c r="ICW16" s="319"/>
      <c r="ICX16" s="319"/>
      <c r="ICY16" s="319"/>
      <c r="ICZ16" s="319"/>
      <c r="IDA16" s="319"/>
      <c r="IDB16" s="319"/>
      <c r="IDC16" s="319"/>
      <c r="IDD16" s="319"/>
      <c r="IDE16" s="319"/>
      <c r="IDF16" s="319"/>
      <c r="IDG16" s="319"/>
      <c r="IDH16" s="319"/>
      <c r="IDI16" s="319"/>
      <c r="IDJ16" s="319"/>
      <c r="IDK16" s="319"/>
      <c r="IDL16" s="319"/>
      <c r="IDM16" s="319"/>
      <c r="IDN16" s="319"/>
      <c r="IDO16" s="319"/>
      <c r="IDP16" s="319"/>
      <c r="IDQ16" s="319"/>
      <c r="IDR16" s="319"/>
      <c r="IDS16" s="319"/>
      <c r="IDT16" s="319"/>
      <c r="IDU16" s="319"/>
      <c r="IDV16" s="319"/>
      <c r="IDW16" s="319"/>
      <c r="IDX16" s="319"/>
      <c r="IDY16" s="319"/>
      <c r="IDZ16" s="319"/>
      <c r="IEA16" s="319"/>
      <c r="IEB16" s="319"/>
      <c r="IEC16" s="319"/>
      <c r="IED16" s="319"/>
      <c r="IEE16" s="319"/>
      <c r="IEF16" s="319"/>
      <c r="IEG16" s="319"/>
      <c r="IEH16" s="319"/>
      <c r="IEI16" s="319"/>
      <c r="IEJ16" s="319"/>
      <c r="IEK16" s="319"/>
      <c r="IEL16" s="319"/>
      <c r="IEM16" s="319"/>
      <c r="IEN16" s="319"/>
      <c r="IEO16" s="319"/>
      <c r="IEP16" s="319"/>
      <c r="IEQ16" s="319"/>
      <c r="IER16" s="319"/>
      <c r="IES16" s="319"/>
      <c r="IET16" s="319"/>
      <c r="IEU16" s="319"/>
      <c r="IEV16" s="319"/>
      <c r="IEW16" s="319"/>
      <c r="IEX16" s="319"/>
      <c r="IEY16" s="319"/>
      <c r="IEZ16" s="319"/>
      <c r="IFA16" s="319"/>
      <c r="IFB16" s="319"/>
      <c r="IFC16" s="319"/>
      <c r="IFD16" s="319"/>
      <c r="IFE16" s="319"/>
      <c r="IFF16" s="319"/>
      <c r="IFG16" s="319"/>
      <c r="IFH16" s="319"/>
      <c r="IFI16" s="319"/>
      <c r="IFJ16" s="319"/>
      <c r="IFK16" s="319"/>
      <c r="IFL16" s="319"/>
      <c r="IFM16" s="319"/>
      <c r="IFN16" s="319"/>
      <c r="IFO16" s="319"/>
      <c r="IFP16" s="319"/>
      <c r="IFQ16" s="319"/>
      <c r="IFR16" s="319"/>
      <c r="IFS16" s="319"/>
      <c r="IFT16" s="319"/>
      <c r="IFU16" s="319"/>
      <c r="IFV16" s="319"/>
      <c r="IFW16" s="319"/>
      <c r="IFX16" s="319"/>
      <c r="IFY16" s="319"/>
      <c r="IFZ16" s="319"/>
      <c r="IGA16" s="319"/>
      <c r="IGB16" s="319"/>
      <c r="IGC16" s="319"/>
      <c r="IGD16" s="319"/>
      <c r="IGE16" s="319"/>
      <c r="IGF16" s="319"/>
      <c r="IGG16" s="319"/>
      <c r="IGH16" s="319"/>
      <c r="IGI16" s="319"/>
      <c r="IGJ16" s="319"/>
      <c r="IGK16" s="319"/>
      <c r="IGL16" s="319"/>
      <c r="IGM16" s="319"/>
      <c r="IGN16" s="319"/>
      <c r="IGO16" s="319"/>
      <c r="IGP16" s="319"/>
      <c r="IGQ16" s="319"/>
      <c r="IGR16" s="319"/>
      <c r="IGS16" s="319"/>
      <c r="IGT16" s="319"/>
      <c r="IGU16" s="319"/>
      <c r="IGV16" s="319"/>
      <c r="IGW16" s="319"/>
      <c r="IGX16" s="319"/>
      <c r="IGY16" s="319"/>
      <c r="IGZ16" s="319"/>
      <c r="IHA16" s="319"/>
      <c r="IHB16" s="319"/>
      <c r="IHC16" s="319"/>
      <c r="IHD16" s="319"/>
      <c r="IHE16" s="319"/>
      <c r="IHF16" s="319"/>
      <c r="IHG16" s="319"/>
      <c r="IHH16" s="319"/>
      <c r="IHI16" s="319"/>
      <c r="IHJ16" s="319"/>
      <c r="IHK16" s="319"/>
      <c r="IHL16" s="319"/>
      <c r="IHM16" s="319"/>
      <c r="IHN16" s="319"/>
      <c r="IHO16" s="319"/>
      <c r="IHP16" s="319"/>
      <c r="IHQ16" s="319"/>
      <c r="IHR16" s="319"/>
      <c r="IHS16" s="319"/>
      <c r="IHT16" s="319"/>
      <c r="IHU16" s="319"/>
      <c r="IHV16" s="319"/>
      <c r="IHW16" s="319"/>
      <c r="IHX16" s="319"/>
      <c r="IHY16" s="319"/>
      <c r="IHZ16" s="319"/>
      <c r="IIA16" s="319"/>
      <c r="IIB16" s="319"/>
      <c r="IIC16" s="319"/>
      <c r="IID16" s="319"/>
      <c r="IIE16" s="319"/>
      <c r="IIF16" s="319"/>
      <c r="IIG16" s="319"/>
      <c r="IIH16" s="319"/>
      <c r="III16" s="319"/>
      <c r="IIJ16" s="319"/>
      <c r="IIK16" s="319"/>
      <c r="IIL16" s="319"/>
      <c r="IIM16" s="319"/>
      <c r="IIN16" s="319"/>
      <c r="IIO16" s="319"/>
      <c r="IIP16" s="319"/>
      <c r="IIQ16" s="319"/>
      <c r="IIR16" s="319"/>
      <c r="IIS16" s="319"/>
      <c r="IIT16" s="319"/>
      <c r="IIU16" s="319"/>
      <c r="IIV16" s="319"/>
      <c r="IIW16" s="319"/>
      <c r="IIX16" s="319"/>
      <c r="IIY16" s="319"/>
      <c r="IIZ16" s="319"/>
      <c r="IJA16" s="319"/>
      <c r="IJB16" s="319"/>
      <c r="IJC16" s="319"/>
      <c r="IJD16" s="319"/>
      <c r="IJE16" s="319"/>
      <c r="IJF16" s="319"/>
      <c r="IJG16" s="319"/>
      <c r="IJH16" s="319"/>
      <c r="IJI16" s="319"/>
      <c r="IJJ16" s="319"/>
      <c r="IJK16" s="319"/>
      <c r="IJL16" s="319"/>
      <c r="IJM16" s="319"/>
      <c r="IJN16" s="319"/>
      <c r="IJO16" s="319"/>
      <c r="IJP16" s="319"/>
      <c r="IJQ16" s="319"/>
      <c r="IJR16" s="319"/>
      <c r="IJS16" s="319"/>
      <c r="IJT16" s="319"/>
      <c r="IJU16" s="319"/>
      <c r="IJV16" s="319"/>
      <c r="IJW16" s="319"/>
      <c r="IJX16" s="319"/>
      <c r="IJY16" s="319"/>
      <c r="IJZ16" s="319"/>
      <c r="IKA16" s="319"/>
      <c r="IKB16" s="319"/>
      <c r="IKC16" s="319"/>
      <c r="IKD16" s="319"/>
      <c r="IKE16" s="319"/>
      <c r="IKF16" s="319"/>
      <c r="IKG16" s="319"/>
      <c r="IKH16" s="319"/>
      <c r="IKI16" s="319"/>
      <c r="IKJ16" s="319"/>
      <c r="IKK16" s="319"/>
      <c r="IKL16" s="319"/>
      <c r="IKM16" s="319"/>
      <c r="IKN16" s="319"/>
      <c r="IKO16" s="319"/>
      <c r="IKP16" s="319"/>
      <c r="IKQ16" s="319"/>
      <c r="IKR16" s="319"/>
      <c r="IKS16" s="319"/>
      <c r="IKT16" s="319"/>
      <c r="IKU16" s="319"/>
      <c r="IKV16" s="319"/>
      <c r="IKW16" s="319"/>
      <c r="IKX16" s="319"/>
      <c r="IKY16" s="319"/>
      <c r="IKZ16" s="319"/>
      <c r="ILA16" s="319"/>
      <c r="ILB16" s="319"/>
      <c r="ILC16" s="319"/>
      <c r="ILD16" s="319"/>
      <c r="ILE16" s="319"/>
      <c r="ILF16" s="319"/>
      <c r="ILG16" s="319"/>
      <c r="ILH16" s="319"/>
      <c r="ILI16" s="319"/>
      <c r="ILJ16" s="319"/>
      <c r="ILK16" s="319"/>
      <c r="ILL16" s="319"/>
      <c r="ILM16" s="319"/>
      <c r="ILN16" s="319"/>
      <c r="ILO16" s="319"/>
      <c r="ILP16" s="319"/>
      <c r="ILQ16" s="319"/>
      <c r="ILR16" s="319"/>
      <c r="ILS16" s="319"/>
      <c r="ILT16" s="319"/>
      <c r="ILU16" s="319"/>
      <c r="ILV16" s="319"/>
      <c r="ILW16" s="319"/>
      <c r="ILX16" s="319"/>
      <c r="ILY16" s="319"/>
      <c r="ILZ16" s="319"/>
      <c r="IMA16" s="319"/>
      <c r="IMB16" s="319"/>
      <c r="IMC16" s="319"/>
      <c r="IMD16" s="319"/>
      <c r="IME16" s="319"/>
      <c r="IMF16" s="319"/>
      <c r="IMG16" s="319"/>
      <c r="IMH16" s="319"/>
      <c r="IMI16" s="319"/>
      <c r="IMJ16" s="319"/>
      <c r="IMK16" s="319"/>
      <c r="IML16" s="319"/>
      <c r="IMM16" s="319"/>
      <c r="IMN16" s="319"/>
      <c r="IMO16" s="319"/>
      <c r="IMP16" s="319"/>
      <c r="IMQ16" s="319"/>
      <c r="IMR16" s="319"/>
      <c r="IMS16" s="319"/>
      <c r="IMT16" s="319"/>
      <c r="IMU16" s="319"/>
      <c r="IMV16" s="319"/>
      <c r="IMW16" s="319"/>
      <c r="IMX16" s="319"/>
      <c r="IMY16" s="319"/>
      <c r="IMZ16" s="319"/>
      <c r="INA16" s="319"/>
      <c r="INB16" s="319"/>
      <c r="INC16" s="319"/>
      <c r="IND16" s="319"/>
      <c r="INE16" s="319"/>
      <c r="INF16" s="319"/>
      <c r="ING16" s="319"/>
      <c r="INH16" s="319"/>
      <c r="INI16" s="319"/>
      <c r="INJ16" s="319"/>
      <c r="INK16" s="319"/>
      <c r="INL16" s="319"/>
      <c r="INM16" s="319"/>
      <c r="INN16" s="319"/>
      <c r="INO16" s="319"/>
      <c r="INP16" s="319"/>
      <c r="INQ16" s="319"/>
      <c r="INR16" s="319"/>
      <c r="INS16" s="319"/>
      <c r="INT16" s="319"/>
      <c r="INU16" s="319"/>
      <c r="INV16" s="319"/>
      <c r="INW16" s="319"/>
      <c r="INX16" s="319"/>
      <c r="INY16" s="319"/>
      <c r="INZ16" s="319"/>
      <c r="IOA16" s="319"/>
      <c r="IOB16" s="319"/>
      <c r="IOC16" s="319"/>
      <c r="IOD16" s="319"/>
      <c r="IOE16" s="319"/>
      <c r="IOF16" s="319"/>
      <c r="IOG16" s="319"/>
      <c r="IOH16" s="319"/>
      <c r="IOI16" s="319"/>
      <c r="IOJ16" s="319"/>
      <c r="IOK16" s="319"/>
      <c r="IOL16" s="319"/>
      <c r="IOM16" s="319"/>
      <c r="ION16" s="319"/>
      <c r="IOO16" s="319"/>
      <c r="IOP16" s="319"/>
      <c r="IOQ16" s="319"/>
      <c r="IOR16" s="319"/>
      <c r="IOS16" s="319"/>
      <c r="IOT16" s="319"/>
      <c r="IOU16" s="319"/>
      <c r="IOV16" s="319"/>
      <c r="IOW16" s="319"/>
      <c r="IOX16" s="319"/>
      <c r="IOY16" s="319"/>
      <c r="IOZ16" s="319"/>
      <c r="IPA16" s="319"/>
      <c r="IPB16" s="319"/>
      <c r="IPC16" s="319"/>
      <c r="IPD16" s="319"/>
      <c r="IPE16" s="319"/>
      <c r="IPF16" s="319"/>
      <c r="IPG16" s="319"/>
      <c r="IPH16" s="319"/>
      <c r="IPI16" s="319"/>
      <c r="IPJ16" s="319"/>
      <c r="IPK16" s="319"/>
      <c r="IPL16" s="319"/>
      <c r="IPM16" s="319"/>
      <c r="IPN16" s="319"/>
      <c r="IPO16" s="319"/>
      <c r="IPP16" s="319"/>
      <c r="IPQ16" s="319"/>
      <c r="IPR16" s="319"/>
      <c r="IPS16" s="319"/>
      <c r="IPT16" s="319"/>
      <c r="IPU16" s="319"/>
      <c r="IPV16" s="319"/>
      <c r="IPW16" s="319"/>
      <c r="IPX16" s="319"/>
      <c r="IPY16" s="319"/>
      <c r="IPZ16" s="319"/>
      <c r="IQA16" s="319"/>
      <c r="IQB16" s="319"/>
      <c r="IQC16" s="319"/>
      <c r="IQD16" s="319"/>
      <c r="IQE16" s="319"/>
      <c r="IQF16" s="319"/>
      <c r="IQG16" s="319"/>
      <c r="IQH16" s="319"/>
      <c r="IQI16" s="319"/>
      <c r="IQJ16" s="319"/>
      <c r="IQK16" s="319"/>
      <c r="IQL16" s="319"/>
      <c r="IQM16" s="319"/>
      <c r="IQN16" s="319"/>
      <c r="IQO16" s="319"/>
      <c r="IQP16" s="319"/>
      <c r="IQQ16" s="319"/>
      <c r="IQR16" s="319"/>
      <c r="IQS16" s="319"/>
      <c r="IQT16" s="319"/>
      <c r="IQU16" s="319"/>
      <c r="IQV16" s="319"/>
      <c r="IQW16" s="319"/>
      <c r="IQX16" s="319"/>
      <c r="IQY16" s="319"/>
      <c r="IQZ16" s="319"/>
      <c r="IRA16" s="319"/>
      <c r="IRB16" s="319"/>
      <c r="IRC16" s="319"/>
      <c r="IRD16" s="319"/>
      <c r="IRE16" s="319"/>
      <c r="IRF16" s="319"/>
      <c r="IRG16" s="319"/>
      <c r="IRH16" s="319"/>
      <c r="IRI16" s="319"/>
      <c r="IRJ16" s="319"/>
      <c r="IRK16" s="319"/>
      <c r="IRL16" s="319"/>
      <c r="IRM16" s="319"/>
      <c r="IRN16" s="319"/>
      <c r="IRO16" s="319"/>
      <c r="IRP16" s="319"/>
      <c r="IRQ16" s="319"/>
      <c r="IRR16" s="319"/>
      <c r="IRS16" s="319"/>
      <c r="IRT16" s="319"/>
      <c r="IRU16" s="319"/>
      <c r="IRV16" s="319"/>
      <c r="IRW16" s="319"/>
      <c r="IRX16" s="319"/>
      <c r="IRY16" s="319"/>
      <c r="IRZ16" s="319"/>
      <c r="ISA16" s="319"/>
      <c r="ISB16" s="319"/>
      <c r="ISC16" s="319"/>
      <c r="ISD16" s="319"/>
      <c r="ISE16" s="319"/>
      <c r="ISF16" s="319"/>
      <c r="ISG16" s="319"/>
      <c r="ISH16" s="319"/>
      <c r="ISI16" s="319"/>
      <c r="ISJ16" s="319"/>
      <c r="ISK16" s="319"/>
      <c r="ISL16" s="319"/>
      <c r="ISM16" s="319"/>
      <c r="ISN16" s="319"/>
      <c r="ISO16" s="319"/>
      <c r="ISP16" s="319"/>
      <c r="ISQ16" s="319"/>
      <c r="ISR16" s="319"/>
      <c r="ISS16" s="319"/>
      <c r="IST16" s="319"/>
      <c r="ISU16" s="319"/>
      <c r="ISV16" s="319"/>
      <c r="ISW16" s="319"/>
      <c r="ISX16" s="319"/>
      <c r="ISY16" s="319"/>
      <c r="ISZ16" s="319"/>
      <c r="ITA16" s="319"/>
      <c r="ITB16" s="319"/>
      <c r="ITC16" s="319"/>
      <c r="ITD16" s="319"/>
      <c r="ITE16" s="319"/>
      <c r="ITF16" s="319"/>
      <c r="ITG16" s="319"/>
      <c r="ITH16" s="319"/>
      <c r="ITI16" s="319"/>
      <c r="ITJ16" s="319"/>
      <c r="ITK16" s="319"/>
      <c r="ITL16" s="319"/>
      <c r="ITM16" s="319"/>
      <c r="ITN16" s="319"/>
      <c r="ITO16" s="319"/>
      <c r="ITP16" s="319"/>
      <c r="ITQ16" s="319"/>
      <c r="ITR16" s="319"/>
      <c r="ITS16" s="319"/>
      <c r="ITT16" s="319"/>
      <c r="ITU16" s="319"/>
      <c r="ITV16" s="319"/>
      <c r="ITW16" s="319"/>
      <c r="ITX16" s="319"/>
      <c r="ITY16" s="319"/>
      <c r="ITZ16" s="319"/>
      <c r="IUA16" s="319"/>
      <c r="IUB16" s="319"/>
      <c r="IUC16" s="319"/>
      <c r="IUD16" s="319"/>
      <c r="IUE16" s="319"/>
      <c r="IUF16" s="319"/>
      <c r="IUG16" s="319"/>
      <c r="IUH16" s="319"/>
      <c r="IUI16" s="319"/>
      <c r="IUJ16" s="319"/>
      <c r="IUK16" s="319"/>
      <c r="IUL16" s="319"/>
      <c r="IUM16" s="319"/>
      <c r="IUN16" s="319"/>
      <c r="IUO16" s="319"/>
      <c r="IUP16" s="319"/>
      <c r="IUQ16" s="319"/>
      <c r="IUR16" s="319"/>
      <c r="IUS16" s="319"/>
      <c r="IUT16" s="319"/>
      <c r="IUU16" s="319"/>
      <c r="IUV16" s="319"/>
      <c r="IUW16" s="319"/>
      <c r="IUX16" s="319"/>
      <c r="IUY16" s="319"/>
      <c r="IUZ16" s="319"/>
      <c r="IVA16" s="319"/>
      <c r="IVB16" s="319"/>
      <c r="IVC16" s="319"/>
      <c r="IVD16" s="319"/>
      <c r="IVE16" s="319"/>
      <c r="IVF16" s="319"/>
      <c r="IVG16" s="319"/>
      <c r="IVH16" s="319"/>
      <c r="IVI16" s="319"/>
      <c r="IVJ16" s="319"/>
      <c r="IVK16" s="319"/>
      <c r="IVL16" s="319"/>
      <c r="IVM16" s="319"/>
      <c r="IVN16" s="319"/>
      <c r="IVO16" s="319"/>
      <c r="IVP16" s="319"/>
      <c r="IVQ16" s="319"/>
      <c r="IVR16" s="319"/>
      <c r="IVS16" s="319"/>
      <c r="IVT16" s="319"/>
      <c r="IVU16" s="319"/>
      <c r="IVV16" s="319"/>
      <c r="IVW16" s="319"/>
      <c r="IVX16" s="319"/>
      <c r="IVY16" s="319"/>
      <c r="IVZ16" s="319"/>
      <c r="IWA16" s="319"/>
      <c r="IWB16" s="319"/>
      <c r="IWC16" s="319"/>
      <c r="IWD16" s="319"/>
      <c r="IWE16" s="319"/>
      <c r="IWF16" s="319"/>
      <c r="IWG16" s="319"/>
      <c r="IWH16" s="319"/>
      <c r="IWI16" s="319"/>
      <c r="IWJ16" s="319"/>
      <c r="IWK16" s="319"/>
      <c r="IWL16" s="319"/>
      <c r="IWM16" s="319"/>
      <c r="IWN16" s="319"/>
      <c r="IWO16" s="319"/>
      <c r="IWP16" s="319"/>
      <c r="IWQ16" s="319"/>
      <c r="IWR16" s="319"/>
      <c r="IWS16" s="319"/>
      <c r="IWT16" s="319"/>
      <c r="IWU16" s="319"/>
      <c r="IWV16" s="319"/>
      <c r="IWW16" s="319"/>
      <c r="IWX16" s="319"/>
      <c r="IWY16" s="319"/>
      <c r="IWZ16" s="319"/>
      <c r="IXA16" s="319"/>
      <c r="IXB16" s="319"/>
      <c r="IXC16" s="319"/>
      <c r="IXD16" s="319"/>
      <c r="IXE16" s="319"/>
      <c r="IXF16" s="319"/>
      <c r="IXG16" s="319"/>
      <c r="IXH16" s="319"/>
      <c r="IXI16" s="319"/>
      <c r="IXJ16" s="319"/>
      <c r="IXK16" s="319"/>
      <c r="IXL16" s="319"/>
      <c r="IXM16" s="319"/>
      <c r="IXN16" s="319"/>
      <c r="IXO16" s="319"/>
      <c r="IXP16" s="319"/>
      <c r="IXQ16" s="319"/>
      <c r="IXR16" s="319"/>
      <c r="IXS16" s="319"/>
      <c r="IXT16" s="319"/>
      <c r="IXU16" s="319"/>
      <c r="IXV16" s="319"/>
      <c r="IXW16" s="319"/>
      <c r="IXX16" s="319"/>
      <c r="IXY16" s="319"/>
      <c r="IXZ16" s="319"/>
      <c r="IYA16" s="319"/>
      <c r="IYB16" s="319"/>
      <c r="IYC16" s="319"/>
      <c r="IYD16" s="319"/>
      <c r="IYE16" s="319"/>
      <c r="IYF16" s="319"/>
      <c r="IYG16" s="319"/>
      <c r="IYH16" s="319"/>
      <c r="IYI16" s="319"/>
      <c r="IYJ16" s="319"/>
      <c r="IYK16" s="319"/>
      <c r="IYL16" s="319"/>
      <c r="IYM16" s="319"/>
      <c r="IYN16" s="319"/>
      <c r="IYO16" s="319"/>
      <c r="IYP16" s="319"/>
      <c r="IYQ16" s="319"/>
      <c r="IYR16" s="319"/>
      <c r="IYS16" s="319"/>
      <c r="IYT16" s="319"/>
      <c r="IYU16" s="319"/>
      <c r="IYV16" s="319"/>
      <c r="IYW16" s="319"/>
      <c r="IYX16" s="319"/>
      <c r="IYY16" s="319"/>
      <c r="IYZ16" s="319"/>
      <c r="IZA16" s="319"/>
      <c r="IZB16" s="319"/>
      <c r="IZC16" s="319"/>
      <c r="IZD16" s="319"/>
      <c r="IZE16" s="319"/>
      <c r="IZF16" s="319"/>
      <c r="IZG16" s="319"/>
      <c r="IZH16" s="319"/>
      <c r="IZI16" s="319"/>
      <c r="IZJ16" s="319"/>
      <c r="IZK16" s="319"/>
      <c r="IZL16" s="319"/>
      <c r="IZM16" s="319"/>
      <c r="IZN16" s="319"/>
      <c r="IZO16" s="319"/>
      <c r="IZP16" s="319"/>
      <c r="IZQ16" s="319"/>
      <c r="IZR16" s="319"/>
      <c r="IZS16" s="319"/>
      <c r="IZT16" s="319"/>
      <c r="IZU16" s="319"/>
      <c r="IZV16" s="319"/>
      <c r="IZW16" s="319"/>
      <c r="IZX16" s="319"/>
      <c r="IZY16" s="319"/>
      <c r="IZZ16" s="319"/>
      <c r="JAA16" s="319"/>
      <c r="JAB16" s="319"/>
      <c r="JAC16" s="319"/>
      <c r="JAD16" s="319"/>
      <c r="JAE16" s="319"/>
      <c r="JAF16" s="319"/>
      <c r="JAG16" s="319"/>
      <c r="JAH16" s="319"/>
      <c r="JAI16" s="319"/>
      <c r="JAJ16" s="319"/>
      <c r="JAK16" s="319"/>
      <c r="JAL16" s="319"/>
      <c r="JAM16" s="319"/>
      <c r="JAN16" s="319"/>
      <c r="JAO16" s="319"/>
      <c r="JAP16" s="319"/>
      <c r="JAQ16" s="319"/>
      <c r="JAR16" s="319"/>
      <c r="JAS16" s="319"/>
      <c r="JAT16" s="319"/>
      <c r="JAU16" s="319"/>
      <c r="JAV16" s="319"/>
      <c r="JAW16" s="319"/>
      <c r="JAX16" s="319"/>
      <c r="JAY16" s="319"/>
      <c r="JAZ16" s="319"/>
      <c r="JBA16" s="319"/>
      <c r="JBB16" s="319"/>
      <c r="JBC16" s="319"/>
      <c r="JBD16" s="319"/>
      <c r="JBE16" s="319"/>
      <c r="JBF16" s="319"/>
      <c r="JBG16" s="319"/>
      <c r="JBH16" s="319"/>
      <c r="JBI16" s="319"/>
      <c r="JBJ16" s="319"/>
      <c r="JBK16" s="319"/>
      <c r="JBL16" s="319"/>
      <c r="JBM16" s="319"/>
      <c r="JBN16" s="319"/>
      <c r="JBO16" s="319"/>
      <c r="JBP16" s="319"/>
      <c r="JBQ16" s="319"/>
      <c r="JBR16" s="319"/>
      <c r="JBS16" s="319"/>
      <c r="JBT16" s="319"/>
      <c r="JBU16" s="319"/>
      <c r="JBV16" s="319"/>
      <c r="JBW16" s="319"/>
      <c r="JBX16" s="319"/>
      <c r="JBY16" s="319"/>
      <c r="JBZ16" s="319"/>
      <c r="JCA16" s="319"/>
      <c r="JCB16" s="319"/>
      <c r="JCC16" s="319"/>
      <c r="JCD16" s="319"/>
      <c r="JCE16" s="319"/>
      <c r="JCF16" s="319"/>
      <c r="JCG16" s="319"/>
      <c r="JCH16" s="319"/>
      <c r="JCI16" s="319"/>
      <c r="JCJ16" s="319"/>
      <c r="JCK16" s="319"/>
      <c r="JCL16" s="319"/>
      <c r="JCM16" s="319"/>
      <c r="JCN16" s="319"/>
      <c r="JCO16" s="319"/>
      <c r="JCP16" s="319"/>
      <c r="JCQ16" s="319"/>
      <c r="JCR16" s="319"/>
      <c r="JCS16" s="319"/>
      <c r="JCT16" s="319"/>
      <c r="JCU16" s="319"/>
      <c r="JCV16" s="319"/>
      <c r="JCW16" s="319"/>
      <c r="JCX16" s="319"/>
      <c r="JCY16" s="319"/>
      <c r="JCZ16" s="319"/>
      <c r="JDA16" s="319"/>
      <c r="JDB16" s="319"/>
      <c r="JDC16" s="319"/>
      <c r="JDD16" s="319"/>
      <c r="JDE16" s="319"/>
      <c r="JDF16" s="319"/>
      <c r="JDG16" s="319"/>
      <c r="JDH16" s="319"/>
      <c r="JDI16" s="319"/>
      <c r="JDJ16" s="319"/>
      <c r="JDK16" s="319"/>
      <c r="JDL16" s="319"/>
      <c r="JDM16" s="319"/>
      <c r="JDN16" s="319"/>
      <c r="JDO16" s="319"/>
      <c r="JDP16" s="319"/>
      <c r="JDQ16" s="319"/>
      <c r="JDR16" s="319"/>
      <c r="JDS16" s="319"/>
      <c r="JDT16" s="319"/>
      <c r="JDU16" s="319"/>
      <c r="JDV16" s="319"/>
      <c r="JDW16" s="319"/>
      <c r="JDX16" s="319"/>
      <c r="JDY16" s="319"/>
      <c r="JDZ16" s="319"/>
      <c r="JEA16" s="319"/>
      <c r="JEB16" s="319"/>
      <c r="JEC16" s="319"/>
      <c r="JED16" s="319"/>
      <c r="JEE16" s="319"/>
      <c r="JEF16" s="319"/>
      <c r="JEG16" s="319"/>
      <c r="JEH16" s="319"/>
      <c r="JEI16" s="319"/>
      <c r="JEJ16" s="319"/>
      <c r="JEK16" s="319"/>
      <c r="JEL16" s="319"/>
      <c r="JEM16" s="319"/>
      <c r="JEN16" s="319"/>
      <c r="JEO16" s="319"/>
      <c r="JEP16" s="319"/>
      <c r="JEQ16" s="319"/>
      <c r="JER16" s="319"/>
      <c r="JES16" s="319"/>
      <c r="JET16" s="319"/>
      <c r="JEU16" s="319"/>
      <c r="JEV16" s="319"/>
      <c r="JEW16" s="319"/>
      <c r="JEX16" s="319"/>
      <c r="JEY16" s="319"/>
      <c r="JEZ16" s="319"/>
      <c r="JFA16" s="319"/>
      <c r="JFB16" s="319"/>
      <c r="JFC16" s="319"/>
      <c r="JFD16" s="319"/>
      <c r="JFE16" s="319"/>
      <c r="JFF16" s="319"/>
      <c r="JFG16" s="319"/>
      <c r="JFH16" s="319"/>
      <c r="JFI16" s="319"/>
      <c r="JFJ16" s="319"/>
      <c r="JFK16" s="319"/>
      <c r="JFL16" s="319"/>
      <c r="JFM16" s="319"/>
      <c r="JFN16" s="319"/>
      <c r="JFO16" s="319"/>
      <c r="JFP16" s="319"/>
      <c r="JFQ16" s="319"/>
      <c r="JFR16" s="319"/>
      <c r="JFS16" s="319"/>
      <c r="JFT16" s="319"/>
      <c r="JFU16" s="319"/>
      <c r="JFV16" s="319"/>
      <c r="JFW16" s="319"/>
      <c r="JFX16" s="319"/>
      <c r="JFY16" s="319"/>
      <c r="JFZ16" s="319"/>
      <c r="JGA16" s="319"/>
      <c r="JGB16" s="319"/>
      <c r="JGC16" s="319"/>
      <c r="JGD16" s="319"/>
      <c r="JGE16" s="319"/>
      <c r="JGF16" s="319"/>
      <c r="JGG16" s="319"/>
      <c r="JGH16" s="319"/>
      <c r="JGI16" s="319"/>
      <c r="JGJ16" s="319"/>
      <c r="JGK16" s="319"/>
      <c r="JGL16" s="319"/>
      <c r="JGM16" s="319"/>
      <c r="JGN16" s="319"/>
      <c r="JGO16" s="319"/>
      <c r="JGP16" s="319"/>
      <c r="JGQ16" s="319"/>
      <c r="JGR16" s="319"/>
      <c r="JGS16" s="319"/>
      <c r="JGT16" s="319"/>
      <c r="JGU16" s="319"/>
      <c r="JGV16" s="319"/>
      <c r="JGW16" s="319"/>
      <c r="JGX16" s="319"/>
      <c r="JGY16" s="319"/>
      <c r="JGZ16" s="319"/>
      <c r="JHA16" s="319"/>
      <c r="JHB16" s="319"/>
      <c r="JHC16" s="319"/>
      <c r="JHD16" s="319"/>
      <c r="JHE16" s="319"/>
      <c r="JHF16" s="319"/>
      <c r="JHG16" s="319"/>
      <c r="JHH16" s="319"/>
      <c r="JHI16" s="319"/>
      <c r="JHJ16" s="319"/>
      <c r="JHK16" s="319"/>
      <c r="JHL16" s="319"/>
      <c r="JHM16" s="319"/>
      <c r="JHN16" s="319"/>
      <c r="JHO16" s="319"/>
      <c r="JHP16" s="319"/>
      <c r="JHQ16" s="319"/>
      <c r="JHR16" s="319"/>
      <c r="JHS16" s="319"/>
      <c r="JHT16" s="319"/>
      <c r="JHU16" s="319"/>
      <c r="JHV16" s="319"/>
      <c r="JHW16" s="319"/>
      <c r="JHX16" s="319"/>
      <c r="JHY16" s="319"/>
      <c r="JHZ16" s="319"/>
      <c r="JIA16" s="319"/>
      <c r="JIB16" s="319"/>
      <c r="JIC16" s="319"/>
      <c r="JID16" s="319"/>
      <c r="JIE16" s="319"/>
      <c r="JIF16" s="319"/>
      <c r="JIG16" s="319"/>
      <c r="JIH16" s="319"/>
      <c r="JII16" s="319"/>
      <c r="JIJ16" s="319"/>
      <c r="JIK16" s="319"/>
      <c r="JIL16" s="319"/>
      <c r="JIM16" s="319"/>
      <c r="JIN16" s="319"/>
      <c r="JIO16" s="319"/>
      <c r="JIP16" s="319"/>
      <c r="JIQ16" s="319"/>
      <c r="JIR16" s="319"/>
      <c r="JIS16" s="319"/>
      <c r="JIT16" s="319"/>
      <c r="JIU16" s="319"/>
      <c r="JIV16" s="319"/>
      <c r="JIW16" s="319"/>
      <c r="JIX16" s="319"/>
      <c r="JIY16" s="319"/>
      <c r="JIZ16" s="319"/>
      <c r="JJA16" s="319"/>
      <c r="JJB16" s="319"/>
      <c r="JJC16" s="319"/>
      <c r="JJD16" s="319"/>
      <c r="JJE16" s="319"/>
      <c r="JJF16" s="319"/>
      <c r="JJG16" s="319"/>
      <c r="JJH16" s="319"/>
      <c r="JJI16" s="319"/>
      <c r="JJJ16" s="319"/>
      <c r="JJK16" s="319"/>
      <c r="JJL16" s="319"/>
      <c r="JJM16" s="319"/>
      <c r="JJN16" s="319"/>
      <c r="JJO16" s="319"/>
      <c r="JJP16" s="319"/>
      <c r="JJQ16" s="319"/>
      <c r="JJR16" s="319"/>
      <c r="JJS16" s="319"/>
      <c r="JJT16" s="319"/>
      <c r="JJU16" s="319"/>
      <c r="JJV16" s="319"/>
      <c r="JJW16" s="319"/>
      <c r="JJX16" s="319"/>
      <c r="JJY16" s="319"/>
      <c r="JJZ16" s="319"/>
      <c r="JKA16" s="319"/>
      <c r="JKB16" s="319"/>
      <c r="JKC16" s="319"/>
      <c r="JKD16" s="319"/>
      <c r="JKE16" s="319"/>
      <c r="JKF16" s="319"/>
      <c r="JKG16" s="319"/>
      <c r="JKH16" s="319"/>
      <c r="JKI16" s="319"/>
      <c r="JKJ16" s="319"/>
      <c r="JKK16" s="319"/>
      <c r="JKL16" s="319"/>
      <c r="JKM16" s="319"/>
      <c r="JKN16" s="319"/>
      <c r="JKO16" s="319"/>
      <c r="JKP16" s="319"/>
      <c r="JKQ16" s="319"/>
      <c r="JKR16" s="319"/>
      <c r="JKS16" s="319"/>
      <c r="JKT16" s="319"/>
      <c r="JKU16" s="319"/>
      <c r="JKV16" s="319"/>
      <c r="JKW16" s="319"/>
      <c r="JKX16" s="319"/>
      <c r="JKY16" s="319"/>
      <c r="JKZ16" s="319"/>
      <c r="JLA16" s="319"/>
      <c r="JLB16" s="319"/>
      <c r="JLC16" s="319"/>
      <c r="JLD16" s="319"/>
      <c r="JLE16" s="319"/>
      <c r="JLF16" s="319"/>
      <c r="JLG16" s="319"/>
      <c r="JLH16" s="319"/>
      <c r="JLI16" s="319"/>
      <c r="JLJ16" s="319"/>
      <c r="JLK16" s="319"/>
      <c r="JLL16" s="319"/>
      <c r="JLM16" s="319"/>
      <c r="JLN16" s="319"/>
      <c r="JLO16" s="319"/>
      <c r="JLP16" s="319"/>
      <c r="JLQ16" s="319"/>
      <c r="JLR16" s="319"/>
      <c r="JLS16" s="319"/>
      <c r="JLT16" s="319"/>
      <c r="JLU16" s="319"/>
      <c r="JLV16" s="319"/>
      <c r="JLW16" s="319"/>
      <c r="JLX16" s="319"/>
      <c r="JLY16" s="319"/>
      <c r="JLZ16" s="319"/>
      <c r="JMA16" s="319"/>
      <c r="JMB16" s="319"/>
      <c r="JMC16" s="319"/>
      <c r="JMD16" s="319"/>
      <c r="JME16" s="319"/>
      <c r="JMF16" s="319"/>
      <c r="JMG16" s="319"/>
      <c r="JMH16" s="319"/>
      <c r="JMI16" s="319"/>
      <c r="JMJ16" s="319"/>
      <c r="JMK16" s="319"/>
      <c r="JML16" s="319"/>
      <c r="JMM16" s="319"/>
      <c r="JMN16" s="319"/>
      <c r="JMO16" s="319"/>
      <c r="JMP16" s="319"/>
      <c r="JMQ16" s="319"/>
      <c r="JMR16" s="319"/>
      <c r="JMS16" s="319"/>
      <c r="JMT16" s="319"/>
      <c r="JMU16" s="319"/>
      <c r="JMV16" s="319"/>
      <c r="JMW16" s="319"/>
      <c r="JMX16" s="319"/>
      <c r="JMY16" s="319"/>
      <c r="JMZ16" s="319"/>
      <c r="JNA16" s="319"/>
      <c r="JNB16" s="319"/>
      <c r="JNC16" s="319"/>
      <c r="JND16" s="319"/>
      <c r="JNE16" s="319"/>
      <c r="JNF16" s="319"/>
      <c r="JNG16" s="319"/>
      <c r="JNH16" s="319"/>
      <c r="JNI16" s="319"/>
      <c r="JNJ16" s="319"/>
      <c r="JNK16" s="319"/>
      <c r="JNL16" s="319"/>
      <c r="JNM16" s="319"/>
      <c r="JNN16" s="319"/>
      <c r="JNO16" s="319"/>
      <c r="JNP16" s="319"/>
      <c r="JNQ16" s="319"/>
      <c r="JNR16" s="319"/>
      <c r="JNS16" s="319"/>
      <c r="JNT16" s="319"/>
      <c r="JNU16" s="319"/>
      <c r="JNV16" s="319"/>
      <c r="JNW16" s="319"/>
      <c r="JNX16" s="319"/>
      <c r="JNY16" s="319"/>
      <c r="JNZ16" s="319"/>
      <c r="JOA16" s="319"/>
      <c r="JOB16" s="319"/>
      <c r="JOC16" s="319"/>
      <c r="JOD16" s="319"/>
      <c r="JOE16" s="319"/>
      <c r="JOF16" s="319"/>
      <c r="JOG16" s="319"/>
      <c r="JOH16" s="319"/>
      <c r="JOI16" s="319"/>
      <c r="JOJ16" s="319"/>
      <c r="JOK16" s="319"/>
      <c r="JOL16" s="319"/>
      <c r="JOM16" s="319"/>
      <c r="JON16" s="319"/>
      <c r="JOO16" s="319"/>
      <c r="JOP16" s="319"/>
      <c r="JOQ16" s="319"/>
      <c r="JOR16" s="319"/>
      <c r="JOS16" s="319"/>
      <c r="JOT16" s="319"/>
      <c r="JOU16" s="319"/>
      <c r="JOV16" s="319"/>
      <c r="JOW16" s="319"/>
      <c r="JOX16" s="319"/>
      <c r="JOY16" s="319"/>
      <c r="JOZ16" s="319"/>
      <c r="JPA16" s="319"/>
      <c r="JPB16" s="319"/>
      <c r="JPC16" s="319"/>
      <c r="JPD16" s="319"/>
      <c r="JPE16" s="319"/>
      <c r="JPF16" s="319"/>
      <c r="JPG16" s="319"/>
      <c r="JPH16" s="319"/>
      <c r="JPI16" s="319"/>
      <c r="JPJ16" s="319"/>
      <c r="JPK16" s="319"/>
      <c r="JPL16" s="319"/>
      <c r="JPM16" s="319"/>
      <c r="JPN16" s="319"/>
      <c r="JPO16" s="319"/>
      <c r="JPP16" s="319"/>
      <c r="JPQ16" s="319"/>
      <c r="JPR16" s="319"/>
      <c r="JPS16" s="319"/>
      <c r="JPT16" s="319"/>
      <c r="JPU16" s="319"/>
      <c r="JPV16" s="319"/>
      <c r="JPW16" s="319"/>
      <c r="JPX16" s="319"/>
      <c r="JPY16" s="319"/>
      <c r="JPZ16" s="319"/>
      <c r="JQA16" s="319"/>
      <c r="JQB16" s="319"/>
      <c r="JQC16" s="319"/>
      <c r="JQD16" s="319"/>
      <c r="JQE16" s="319"/>
      <c r="JQF16" s="319"/>
      <c r="JQG16" s="319"/>
      <c r="JQH16" s="319"/>
      <c r="JQI16" s="319"/>
      <c r="JQJ16" s="319"/>
      <c r="JQK16" s="319"/>
      <c r="JQL16" s="319"/>
      <c r="JQM16" s="319"/>
      <c r="JQN16" s="319"/>
      <c r="JQO16" s="319"/>
      <c r="JQP16" s="319"/>
      <c r="JQQ16" s="319"/>
      <c r="JQR16" s="319"/>
      <c r="JQS16" s="319"/>
      <c r="JQT16" s="319"/>
      <c r="JQU16" s="319"/>
      <c r="JQV16" s="319"/>
      <c r="JQW16" s="319"/>
      <c r="JQX16" s="319"/>
      <c r="JQY16" s="319"/>
      <c r="JQZ16" s="319"/>
      <c r="JRA16" s="319"/>
      <c r="JRB16" s="319"/>
      <c r="JRC16" s="319"/>
      <c r="JRD16" s="319"/>
      <c r="JRE16" s="319"/>
      <c r="JRF16" s="319"/>
      <c r="JRG16" s="319"/>
      <c r="JRH16" s="319"/>
      <c r="JRI16" s="319"/>
      <c r="JRJ16" s="319"/>
      <c r="JRK16" s="319"/>
      <c r="JRL16" s="319"/>
      <c r="JRM16" s="319"/>
      <c r="JRN16" s="319"/>
      <c r="JRO16" s="319"/>
      <c r="JRP16" s="319"/>
      <c r="JRQ16" s="319"/>
      <c r="JRR16" s="319"/>
      <c r="JRS16" s="319"/>
      <c r="JRT16" s="319"/>
      <c r="JRU16" s="319"/>
      <c r="JRV16" s="319"/>
      <c r="JRW16" s="319"/>
      <c r="JRX16" s="319"/>
      <c r="JRY16" s="319"/>
      <c r="JRZ16" s="319"/>
      <c r="JSA16" s="319"/>
      <c r="JSB16" s="319"/>
      <c r="JSC16" s="319"/>
      <c r="JSD16" s="319"/>
      <c r="JSE16" s="319"/>
      <c r="JSF16" s="319"/>
      <c r="JSG16" s="319"/>
      <c r="JSH16" s="319"/>
      <c r="JSI16" s="319"/>
      <c r="JSJ16" s="319"/>
      <c r="JSK16" s="319"/>
      <c r="JSL16" s="319"/>
      <c r="JSM16" s="319"/>
      <c r="JSN16" s="319"/>
      <c r="JSO16" s="319"/>
      <c r="JSP16" s="319"/>
      <c r="JSQ16" s="319"/>
      <c r="JSR16" s="319"/>
      <c r="JSS16" s="319"/>
      <c r="JST16" s="319"/>
      <c r="JSU16" s="319"/>
      <c r="JSV16" s="319"/>
      <c r="JSW16" s="319"/>
      <c r="JSX16" s="319"/>
      <c r="JSY16" s="319"/>
      <c r="JSZ16" s="319"/>
      <c r="JTA16" s="319"/>
      <c r="JTB16" s="319"/>
      <c r="JTC16" s="319"/>
      <c r="JTD16" s="319"/>
      <c r="JTE16" s="319"/>
      <c r="JTF16" s="319"/>
      <c r="JTG16" s="319"/>
      <c r="JTH16" s="319"/>
      <c r="JTI16" s="319"/>
      <c r="JTJ16" s="319"/>
      <c r="JTK16" s="319"/>
      <c r="JTL16" s="319"/>
      <c r="JTM16" s="319"/>
      <c r="JTN16" s="319"/>
      <c r="JTO16" s="319"/>
      <c r="JTP16" s="319"/>
      <c r="JTQ16" s="319"/>
      <c r="JTR16" s="319"/>
      <c r="JTS16" s="319"/>
      <c r="JTT16" s="319"/>
      <c r="JTU16" s="319"/>
      <c r="JTV16" s="319"/>
      <c r="JTW16" s="319"/>
      <c r="JTX16" s="319"/>
      <c r="JTY16" s="319"/>
      <c r="JTZ16" s="319"/>
      <c r="JUA16" s="319"/>
      <c r="JUB16" s="319"/>
      <c r="JUC16" s="319"/>
      <c r="JUD16" s="319"/>
      <c r="JUE16" s="319"/>
      <c r="JUF16" s="319"/>
      <c r="JUG16" s="319"/>
      <c r="JUH16" s="319"/>
      <c r="JUI16" s="319"/>
      <c r="JUJ16" s="319"/>
      <c r="JUK16" s="319"/>
      <c r="JUL16" s="319"/>
      <c r="JUM16" s="319"/>
      <c r="JUN16" s="319"/>
      <c r="JUO16" s="319"/>
      <c r="JUP16" s="319"/>
      <c r="JUQ16" s="319"/>
      <c r="JUR16" s="319"/>
      <c r="JUS16" s="319"/>
      <c r="JUT16" s="319"/>
      <c r="JUU16" s="319"/>
      <c r="JUV16" s="319"/>
      <c r="JUW16" s="319"/>
      <c r="JUX16" s="319"/>
      <c r="JUY16" s="319"/>
      <c r="JUZ16" s="319"/>
      <c r="JVA16" s="319"/>
      <c r="JVB16" s="319"/>
      <c r="JVC16" s="319"/>
      <c r="JVD16" s="319"/>
      <c r="JVE16" s="319"/>
      <c r="JVF16" s="319"/>
      <c r="JVG16" s="319"/>
      <c r="JVH16" s="319"/>
      <c r="JVI16" s="319"/>
      <c r="JVJ16" s="319"/>
      <c r="JVK16" s="319"/>
      <c r="JVL16" s="319"/>
      <c r="JVM16" s="319"/>
      <c r="JVN16" s="319"/>
      <c r="JVO16" s="319"/>
      <c r="JVP16" s="319"/>
      <c r="JVQ16" s="319"/>
      <c r="JVR16" s="319"/>
      <c r="JVS16" s="319"/>
      <c r="JVT16" s="319"/>
      <c r="JVU16" s="319"/>
      <c r="JVV16" s="319"/>
      <c r="JVW16" s="319"/>
      <c r="JVX16" s="319"/>
      <c r="JVY16" s="319"/>
      <c r="JVZ16" s="319"/>
      <c r="JWA16" s="319"/>
      <c r="JWB16" s="319"/>
      <c r="JWC16" s="319"/>
      <c r="JWD16" s="319"/>
      <c r="JWE16" s="319"/>
      <c r="JWF16" s="319"/>
      <c r="JWG16" s="319"/>
      <c r="JWH16" s="319"/>
      <c r="JWI16" s="319"/>
      <c r="JWJ16" s="319"/>
      <c r="JWK16" s="319"/>
      <c r="JWL16" s="319"/>
      <c r="JWM16" s="319"/>
      <c r="JWN16" s="319"/>
      <c r="JWO16" s="319"/>
      <c r="JWP16" s="319"/>
      <c r="JWQ16" s="319"/>
      <c r="JWR16" s="319"/>
      <c r="JWS16" s="319"/>
      <c r="JWT16" s="319"/>
      <c r="JWU16" s="319"/>
      <c r="JWV16" s="319"/>
      <c r="JWW16" s="319"/>
      <c r="JWX16" s="319"/>
      <c r="JWY16" s="319"/>
      <c r="JWZ16" s="319"/>
      <c r="JXA16" s="319"/>
      <c r="JXB16" s="319"/>
      <c r="JXC16" s="319"/>
      <c r="JXD16" s="319"/>
      <c r="JXE16" s="319"/>
      <c r="JXF16" s="319"/>
      <c r="JXG16" s="319"/>
      <c r="JXH16" s="319"/>
      <c r="JXI16" s="319"/>
      <c r="JXJ16" s="319"/>
      <c r="JXK16" s="319"/>
      <c r="JXL16" s="319"/>
      <c r="JXM16" s="319"/>
      <c r="JXN16" s="319"/>
      <c r="JXO16" s="319"/>
      <c r="JXP16" s="319"/>
      <c r="JXQ16" s="319"/>
      <c r="JXR16" s="319"/>
      <c r="JXS16" s="319"/>
      <c r="JXT16" s="319"/>
      <c r="JXU16" s="319"/>
      <c r="JXV16" s="319"/>
      <c r="JXW16" s="319"/>
      <c r="JXX16" s="319"/>
      <c r="JXY16" s="319"/>
      <c r="JXZ16" s="319"/>
      <c r="JYA16" s="319"/>
      <c r="JYB16" s="319"/>
      <c r="JYC16" s="319"/>
      <c r="JYD16" s="319"/>
      <c r="JYE16" s="319"/>
      <c r="JYF16" s="319"/>
      <c r="JYG16" s="319"/>
      <c r="JYH16" s="319"/>
      <c r="JYI16" s="319"/>
      <c r="JYJ16" s="319"/>
      <c r="JYK16" s="319"/>
      <c r="JYL16" s="319"/>
      <c r="JYM16" s="319"/>
      <c r="JYN16" s="319"/>
      <c r="JYO16" s="319"/>
      <c r="JYP16" s="319"/>
      <c r="JYQ16" s="319"/>
      <c r="JYR16" s="319"/>
      <c r="JYS16" s="319"/>
      <c r="JYT16" s="319"/>
      <c r="JYU16" s="319"/>
      <c r="JYV16" s="319"/>
      <c r="JYW16" s="319"/>
      <c r="JYX16" s="319"/>
      <c r="JYY16" s="319"/>
      <c r="JYZ16" s="319"/>
      <c r="JZA16" s="319"/>
      <c r="JZB16" s="319"/>
      <c r="JZC16" s="319"/>
      <c r="JZD16" s="319"/>
      <c r="JZE16" s="319"/>
      <c r="JZF16" s="319"/>
      <c r="JZG16" s="319"/>
      <c r="JZH16" s="319"/>
      <c r="JZI16" s="319"/>
      <c r="JZJ16" s="319"/>
      <c r="JZK16" s="319"/>
      <c r="JZL16" s="319"/>
      <c r="JZM16" s="319"/>
      <c r="JZN16" s="319"/>
      <c r="JZO16" s="319"/>
      <c r="JZP16" s="319"/>
      <c r="JZQ16" s="319"/>
      <c r="JZR16" s="319"/>
      <c r="JZS16" s="319"/>
      <c r="JZT16" s="319"/>
      <c r="JZU16" s="319"/>
      <c r="JZV16" s="319"/>
      <c r="JZW16" s="319"/>
      <c r="JZX16" s="319"/>
      <c r="JZY16" s="319"/>
      <c r="JZZ16" s="319"/>
      <c r="KAA16" s="319"/>
      <c r="KAB16" s="319"/>
      <c r="KAC16" s="319"/>
      <c r="KAD16" s="319"/>
      <c r="KAE16" s="319"/>
      <c r="KAF16" s="319"/>
      <c r="KAG16" s="319"/>
      <c r="KAH16" s="319"/>
      <c r="KAI16" s="319"/>
      <c r="KAJ16" s="319"/>
      <c r="KAK16" s="319"/>
      <c r="KAL16" s="319"/>
      <c r="KAM16" s="319"/>
      <c r="KAN16" s="319"/>
      <c r="KAO16" s="319"/>
      <c r="KAP16" s="319"/>
      <c r="KAQ16" s="319"/>
      <c r="KAR16" s="319"/>
      <c r="KAS16" s="319"/>
      <c r="KAT16" s="319"/>
      <c r="KAU16" s="319"/>
      <c r="KAV16" s="319"/>
      <c r="KAW16" s="319"/>
      <c r="KAX16" s="319"/>
      <c r="KAY16" s="319"/>
      <c r="KAZ16" s="319"/>
      <c r="KBA16" s="319"/>
      <c r="KBB16" s="319"/>
      <c r="KBC16" s="319"/>
      <c r="KBD16" s="319"/>
      <c r="KBE16" s="319"/>
      <c r="KBF16" s="319"/>
      <c r="KBG16" s="319"/>
      <c r="KBH16" s="319"/>
      <c r="KBI16" s="319"/>
      <c r="KBJ16" s="319"/>
      <c r="KBK16" s="319"/>
      <c r="KBL16" s="319"/>
      <c r="KBM16" s="319"/>
      <c r="KBN16" s="319"/>
      <c r="KBO16" s="319"/>
      <c r="KBP16" s="319"/>
      <c r="KBQ16" s="319"/>
      <c r="KBR16" s="319"/>
      <c r="KBS16" s="319"/>
      <c r="KBT16" s="319"/>
      <c r="KBU16" s="319"/>
      <c r="KBV16" s="319"/>
      <c r="KBW16" s="319"/>
      <c r="KBX16" s="319"/>
      <c r="KBY16" s="319"/>
      <c r="KBZ16" s="319"/>
      <c r="KCA16" s="319"/>
      <c r="KCB16" s="319"/>
      <c r="KCC16" s="319"/>
      <c r="KCD16" s="319"/>
      <c r="KCE16" s="319"/>
      <c r="KCF16" s="319"/>
      <c r="KCG16" s="319"/>
      <c r="KCH16" s="319"/>
      <c r="KCI16" s="319"/>
      <c r="KCJ16" s="319"/>
      <c r="KCK16" s="319"/>
      <c r="KCL16" s="319"/>
      <c r="KCM16" s="319"/>
      <c r="KCN16" s="319"/>
      <c r="KCO16" s="319"/>
      <c r="KCP16" s="319"/>
      <c r="KCQ16" s="319"/>
      <c r="KCR16" s="319"/>
      <c r="KCS16" s="319"/>
      <c r="KCT16" s="319"/>
      <c r="KCU16" s="319"/>
      <c r="KCV16" s="319"/>
      <c r="KCW16" s="319"/>
      <c r="KCX16" s="319"/>
      <c r="KCY16" s="319"/>
      <c r="KCZ16" s="319"/>
      <c r="KDA16" s="319"/>
      <c r="KDB16" s="319"/>
      <c r="KDC16" s="319"/>
      <c r="KDD16" s="319"/>
      <c r="KDE16" s="319"/>
      <c r="KDF16" s="319"/>
      <c r="KDG16" s="319"/>
      <c r="KDH16" s="319"/>
      <c r="KDI16" s="319"/>
      <c r="KDJ16" s="319"/>
      <c r="KDK16" s="319"/>
      <c r="KDL16" s="319"/>
      <c r="KDM16" s="319"/>
      <c r="KDN16" s="319"/>
      <c r="KDO16" s="319"/>
      <c r="KDP16" s="319"/>
      <c r="KDQ16" s="319"/>
      <c r="KDR16" s="319"/>
      <c r="KDS16" s="319"/>
      <c r="KDT16" s="319"/>
      <c r="KDU16" s="319"/>
      <c r="KDV16" s="319"/>
      <c r="KDW16" s="319"/>
      <c r="KDX16" s="319"/>
      <c r="KDY16" s="319"/>
      <c r="KDZ16" s="319"/>
      <c r="KEA16" s="319"/>
      <c r="KEB16" s="319"/>
      <c r="KEC16" s="319"/>
      <c r="KED16" s="319"/>
      <c r="KEE16" s="319"/>
      <c r="KEF16" s="319"/>
      <c r="KEG16" s="319"/>
      <c r="KEH16" s="319"/>
      <c r="KEI16" s="319"/>
      <c r="KEJ16" s="319"/>
      <c r="KEK16" s="319"/>
      <c r="KEL16" s="319"/>
      <c r="KEM16" s="319"/>
      <c r="KEN16" s="319"/>
      <c r="KEO16" s="319"/>
      <c r="KEP16" s="319"/>
      <c r="KEQ16" s="319"/>
      <c r="KER16" s="319"/>
      <c r="KES16" s="319"/>
      <c r="KET16" s="319"/>
      <c r="KEU16" s="319"/>
      <c r="KEV16" s="319"/>
      <c r="KEW16" s="319"/>
      <c r="KEX16" s="319"/>
      <c r="KEY16" s="319"/>
      <c r="KEZ16" s="319"/>
      <c r="KFA16" s="319"/>
      <c r="KFB16" s="319"/>
      <c r="KFC16" s="319"/>
      <c r="KFD16" s="319"/>
      <c r="KFE16" s="319"/>
      <c r="KFF16" s="319"/>
      <c r="KFG16" s="319"/>
      <c r="KFH16" s="319"/>
      <c r="KFI16" s="319"/>
      <c r="KFJ16" s="319"/>
      <c r="KFK16" s="319"/>
      <c r="KFL16" s="319"/>
      <c r="KFM16" s="319"/>
      <c r="KFN16" s="319"/>
      <c r="KFO16" s="319"/>
      <c r="KFP16" s="319"/>
      <c r="KFQ16" s="319"/>
      <c r="KFR16" s="319"/>
      <c r="KFS16" s="319"/>
      <c r="KFT16" s="319"/>
      <c r="KFU16" s="319"/>
      <c r="KFV16" s="319"/>
      <c r="KFW16" s="319"/>
      <c r="KFX16" s="319"/>
      <c r="KFY16" s="319"/>
      <c r="KFZ16" s="319"/>
      <c r="KGA16" s="319"/>
      <c r="KGB16" s="319"/>
      <c r="KGC16" s="319"/>
      <c r="KGD16" s="319"/>
      <c r="KGE16" s="319"/>
      <c r="KGF16" s="319"/>
      <c r="KGG16" s="319"/>
      <c r="KGH16" s="319"/>
      <c r="KGI16" s="319"/>
      <c r="KGJ16" s="319"/>
      <c r="KGK16" s="319"/>
      <c r="KGL16" s="319"/>
      <c r="KGM16" s="319"/>
      <c r="KGN16" s="319"/>
      <c r="KGO16" s="319"/>
      <c r="KGP16" s="319"/>
      <c r="KGQ16" s="319"/>
      <c r="KGR16" s="319"/>
      <c r="KGS16" s="319"/>
      <c r="KGT16" s="319"/>
      <c r="KGU16" s="319"/>
      <c r="KGV16" s="319"/>
      <c r="KGW16" s="319"/>
      <c r="KGX16" s="319"/>
      <c r="KGY16" s="319"/>
      <c r="KGZ16" s="319"/>
      <c r="KHA16" s="319"/>
      <c r="KHB16" s="319"/>
      <c r="KHC16" s="319"/>
      <c r="KHD16" s="319"/>
      <c r="KHE16" s="319"/>
      <c r="KHF16" s="319"/>
      <c r="KHG16" s="319"/>
      <c r="KHH16" s="319"/>
      <c r="KHI16" s="319"/>
      <c r="KHJ16" s="319"/>
      <c r="KHK16" s="319"/>
      <c r="KHL16" s="319"/>
      <c r="KHM16" s="319"/>
      <c r="KHN16" s="319"/>
      <c r="KHO16" s="319"/>
      <c r="KHP16" s="319"/>
      <c r="KHQ16" s="319"/>
      <c r="KHR16" s="319"/>
      <c r="KHS16" s="319"/>
      <c r="KHT16" s="319"/>
      <c r="KHU16" s="319"/>
      <c r="KHV16" s="319"/>
      <c r="KHW16" s="319"/>
      <c r="KHX16" s="319"/>
      <c r="KHY16" s="319"/>
      <c r="KHZ16" s="319"/>
      <c r="KIA16" s="319"/>
      <c r="KIB16" s="319"/>
      <c r="KIC16" s="319"/>
      <c r="KID16" s="319"/>
      <c r="KIE16" s="319"/>
      <c r="KIF16" s="319"/>
      <c r="KIG16" s="319"/>
      <c r="KIH16" s="319"/>
      <c r="KII16" s="319"/>
      <c r="KIJ16" s="319"/>
      <c r="KIK16" s="319"/>
      <c r="KIL16" s="319"/>
      <c r="KIM16" s="319"/>
      <c r="KIN16" s="319"/>
      <c r="KIO16" s="319"/>
      <c r="KIP16" s="319"/>
      <c r="KIQ16" s="319"/>
      <c r="KIR16" s="319"/>
      <c r="KIS16" s="319"/>
      <c r="KIT16" s="319"/>
      <c r="KIU16" s="319"/>
      <c r="KIV16" s="319"/>
      <c r="KIW16" s="319"/>
      <c r="KIX16" s="319"/>
      <c r="KIY16" s="319"/>
      <c r="KIZ16" s="319"/>
      <c r="KJA16" s="319"/>
      <c r="KJB16" s="319"/>
      <c r="KJC16" s="319"/>
      <c r="KJD16" s="319"/>
      <c r="KJE16" s="319"/>
      <c r="KJF16" s="319"/>
      <c r="KJG16" s="319"/>
      <c r="KJH16" s="319"/>
      <c r="KJI16" s="319"/>
      <c r="KJJ16" s="319"/>
      <c r="KJK16" s="319"/>
      <c r="KJL16" s="319"/>
      <c r="KJM16" s="319"/>
      <c r="KJN16" s="319"/>
      <c r="KJO16" s="319"/>
      <c r="KJP16" s="319"/>
      <c r="KJQ16" s="319"/>
      <c r="KJR16" s="319"/>
      <c r="KJS16" s="319"/>
      <c r="KJT16" s="319"/>
      <c r="KJU16" s="319"/>
      <c r="KJV16" s="319"/>
      <c r="KJW16" s="319"/>
      <c r="KJX16" s="319"/>
      <c r="KJY16" s="319"/>
      <c r="KJZ16" s="319"/>
      <c r="KKA16" s="319"/>
      <c r="KKB16" s="319"/>
      <c r="KKC16" s="319"/>
      <c r="KKD16" s="319"/>
      <c r="KKE16" s="319"/>
      <c r="KKF16" s="319"/>
      <c r="KKG16" s="319"/>
      <c r="KKH16" s="319"/>
      <c r="KKI16" s="319"/>
      <c r="KKJ16" s="319"/>
      <c r="KKK16" s="319"/>
      <c r="KKL16" s="319"/>
      <c r="KKM16" s="319"/>
      <c r="KKN16" s="319"/>
      <c r="KKO16" s="319"/>
      <c r="KKP16" s="319"/>
      <c r="KKQ16" s="319"/>
      <c r="KKR16" s="319"/>
      <c r="KKS16" s="319"/>
      <c r="KKT16" s="319"/>
      <c r="KKU16" s="319"/>
      <c r="KKV16" s="319"/>
      <c r="KKW16" s="319"/>
      <c r="KKX16" s="319"/>
      <c r="KKY16" s="319"/>
      <c r="KKZ16" s="319"/>
      <c r="KLA16" s="319"/>
      <c r="KLB16" s="319"/>
      <c r="KLC16" s="319"/>
      <c r="KLD16" s="319"/>
      <c r="KLE16" s="319"/>
      <c r="KLF16" s="319"/>
      <c r="KLG16" s="319"/>
      <c r="KLH16" s="319"/>
      <c r="KLI16" s="319"/>
      <c r="KLJ16" s="319"/>
      <c r="KLK16" s="319"/>
      <c r="KLL16" s="319"/>
      <c r="KLM16" s="319"/>
      <c r="KLN16" s="319"/>
      <c r="KLO16" s="319"/>
      <c r="KLP16" s="319"/>
      <c r="KLQ16" s="319"/>
      <c r="KLR16" s="319"/>
      <c r="KLS16" s="319"/>
      <c r="KLT16" s="319"/>
      <c r="KLU16" s="319"/>
      <c r="KLV16" s="319"/>
      <c r="KLW16" s="319"/>
      <c r="KLX16" s="319"/>
      <c r="KLY16" s="319"/>
      <c r="KLZ16" s="319"/>
      <c r="KMA16" s="319"/>
      <c r="KMB16" s="319"/>
      <c r="KMC16" s="319"/>
      <c r="KMD16" s="319"/>
      <c r="KME16" s="319"/>
      <c r="KMF16" s="319"/>
      <c r="KMG16" s="319"/>
      <c r="KMH16" s="319"/>
      <c r="KMI16" s="319"/>
      <c r="KMJ16" s="319"/>
      <c r="KMK16" s="319"/>
      <c r="KML16" s="319"/>
      <c r="KMM16" s="319"/>
      <c r="KMN16" s="319"/>
      <c r="KMO16" s="319"/>
      <c r="KMP16" s="319"/>
      <c r="KMQ16" s="319"/>
      <c r="KMR16" s="319"/>
      <c r="KMS16" s="319"/>
      <c r="KMT16" s="319"/>
      <c r="KMU16" s="319"/>
      <c r="KMV16" s="319"/>
      <c r="KMW16" s="319"/>
      <c r="KMX16" s="319"/>
      <c r="KMY16" s="319"/>
      <c r="KMZ16" s="319"/>
      <c r="KNA16" s="319"/>
      <c r="KNB16" s="319"/>
      <c r="KNC16" s="319"/>
      <c r="KND16" s="319"/>
      <c r="KNE16" s="319"/>
      <c r="KNF16" s="319"/>
      <c r="KNG16" s="319"/>
      <c r="KNH16" s="319"/>
      <c r="KNI16" s="319"/>
      <c r="KNJ16" s="319"/>
      <c r="KNK16" s="319"/>
      <c r="KNL16" s="319"/>
      <c r="KNM16" s="319"/>
      <c r="KNN16" s="319"/>
      <c r="KNO16" s="319"/>
      <c r="KNP16" s="319"/>
      <c r="KNQ16" s="319"/>
      <c r="KNR16" s="319"/>
      <c r="KNS16" s="319"/>
      <c r="KNT16" s="319"/>
      <c r="KNU16" s="319"/>
      <c r="KNV16" s="319"/>
      <c r="KNW16" s="319"/>
      <c r="KNX16" s="319"/>
      <c r="KNY16" s="319"/>
      <c r="KNZ16" s="319"/>
      <c r="KOA16" s="319"/>
      <c r="KOB16" s="319"/>
      <c r="KOC16" s="319"/>
      <c r="KOD16" s="319"/>
      <c r="KOE16" s="319"/>
      <c r="KOF16" s="319"/>
      <c r="KOG16" s="319"/>
      <c r="KOH16" s="319"/>
      <c r="KOI16" s="319"/>
      <c r="KOJ16" s="319"/>
      <c r="KOK16" s="319"/>
      <c r="KOL16" s="319"/>
      <c r="KOM16" s="319"/>
      <c r="KON16" s="319"/>
      <c r="KOO16" s="319"/>
      <c r="KOP16" s="319"/>
      <c r="KOQ16" s="319"/>
      <c r="KOR16" s="319"/>
      <c r="KOS16" s="319"/>
      <c r="KOT16" s="319"/>
      <c r="KOU16" s="319"/>
      <c r="KOV16" s="319"/>
      <c r="KOW16" s="319"/>
      <c r="KOX16" s="319"/>
      <c r="KOY16" s="319"/>
      <c r="KOZ16" s="319"/>
      <c r="KPA16" s="319"/>
      <c r="KPB16" s="319"/>
      <c r="KPC16" s="319"/>
      <c r="KPD16" s="319"/>
      <c r="KPE16" s="319"/>
      <c r="KPF16" s="319"/>
      <c r="KPG16" s="319"/>
      <c r="KPH16" s="319"/>
      <c r="KPI16" s="319"/>
      <c r="KPJ16" s="319"/>
      <c r="KPK16" s="319"/>
      <c r="KPL16" s="319"/>
      <c r="KPM16" s="319"/>
      <c r="KPN16" s="319"/>
      <c r="KPO16" s="319"/>
      <c r="KPP16" s="319"/>
      <c r="KPQ16" s="319"/>
      <c r="KPR16" s="319"/>
      <c r="KPS16" s="319"/>
      <c r="KPT16" s="319"/>
      <c r="KPU16" s="319"/>
      <c r="KPV16" s="319"/>
      <c r="KPW16" s="319"/>
      <c r="KPX16" s="319"/>
      <c r="KPY16" s="319"/>
      <c r="KPZ16" s="319"/>
      <c r="KQA16" s="319"/>
      <c r="KQB16" s="319"/>
      <c r="KQC16" s="319"/>
      <c r="KQD16" s="319"/>
      <c r="KQE16" s="319"/>
      <c r="KQF16" s="319"/>
      <c r="KQG16" s="319"/>
      <c r="KQH16" s="319"/>
      <c r="KQI16" s="319"/>
      <c r="KQJ16" s="319"/>
      <c r="KQK16" s="319"/>
      <c r="KQL16" s="319"/>
      <c r="KQM16" s="319"/>
      <c r="KQN16" s="319"/>
      <c r="KQO16" s="319"/>
      <c r="KQP16" s="319"/>
      <c r="KQQ16" s="319"/>
      <c r="KQR16" s="319"/>
      <c r="KQS16" s="319"/>
      <c r="KQT16" s="319"/>
      <c r="KQU16" s="319"/>
      <c r="KQV16" s="319"/>
      <c r="KQW16" s="319"/>
      <c r="KQX16" s="319"/>
      <c r="KQY16" s="319"/>
      <c r="KQZ16" s="319"/>
      <c r="KRA16" s="319"/>
      <c r="KRB16" s="319"/>
      <c r="KRC16" s="319"/>
      <c r="KRD16" s="319"/>
      <c r="KRE16" s="319"/>
      <c r="KRF16" s="319"/>
      <c r="KRG16" s="319"/>
      <c r="KRH16" s="319"/>
      <c r="KRI16" s="319"/>
      <c r="KRJ16" s="319"/>
      <c r="KRK16" s="319"/>
      <c r="KRL16" s="319"/>
      <c r="KRM16" s="319"/>
      <c r="KRN16" s="319"/>
      <c r="KRO16" s="319"/>
      <c r="KRP16" s="319"/>
      <c r="KRQ16" s="319"/>
      <c r="KRR16" s="319"/>
      <c r="KRS16" s="319"/>
      <c r="KRT16" s="319"/>
      <c r="KRU16" s="319"/>
      <c r="KRV16" s="319"/>
      <c r="KRW16" s="319"/>
      <c r="KRX16" s="319"/>
      <c r="KRY16" s="319"/>
      <c r="KRZ16" s="319"/>
      <c r="KSA16" s="319"/>
      <c r="KSB16" s="319"/>
      <c r="KSC16" s="319"/>
      <c r="KSD16" s="319"/>
      <c r="KSE16" s="319"/>
      <c r="KSF16" s="319"/>
      <c r="KSG16" s="319"/>
      <c r="KSH16" s="319"/>
      <c r="KSI16" s="319"/>
      <c r="KSJ16" s="319"/>
      <c r="KSK16" s="319"/>
      <c r="KSL16" s="319"/>
      <c r="KSM16" s="319"/>
      <c r="KSN16" s="319"/>
      <c r="KSO16" s="319"/>
      <c r="KSP16" s="319"/>
      <c r="KSQ16" s="319"/>
      <c r="KSR16" s="319"/>
      <c r="KSS16" s="319"/>
      <c r="KST16" s="319"/>
      <c r="KSU16" s="319"/>
      <c r="KSV16" s="319"/>
      <c r="KSW16" s="319"/>
      <c r="KSX16" s="319"/>
      <c r="KSY16" s="319"/>
      <c r="KSZ16" s="319"/>
      <c r="KTA16" s="319"/>
      <c r="KTB16" s="319"/>
      <c r="KTC16" s="319"/>
      <c r="KTD16" s="319"/>
      <c r="KTE16" s="319"/>
      <c r="KTF16" s="319"/>
      <c r="KTG16" s="319"/>
      <c r="KTH16" s="319"/>
      <c r="KTI16" s="319"/>
      <c r="KTJ16" s="319"/>
      <c r="KTK16" s="319"/>
      <c r="KTL16" s="319"/>
      <c r="KTM16" s="319"/>
      <c r="KTN16" s="319"/>
      <c r="KTO16" s="319"/>
      <c r="KTP16" s="319"/>
      <c r="KTQ16" s="319"/>
      <c r="KTR16" s="319"/>
      <c r="KTS16" s="319"/>
      <c r="KTT16" s="319"/>
      <c r="KTU16" s="319"/>
      <c r="KTV16" s="319"/>
      <c r="KTW16" s="319"/>
      <c r="KTX16" s="319"/>
      <c r="KTY16" s="319"/>
      <c r="KTZ16" s="319"/>
      <c r="KUA16" s="319"/>
      <c r="KUB16" s="319"/>
      <c r="KUC16" s="319"/>
      <c r="KUD16" s="319"/>
      <c r="KUE16" s="319"/>
      <c r="KUF16" s="319"/>
      <c r="KUG16" s="319"/>
      <c r="KUH16" s="319"/>
      <c r="KUI16" s="319"/>
      <c r="KUJ16" s="319"/>
      <c r="KUK16" s="319"/>
      <c r="KUL16" s="319"/>
      <c r="KUM16" s="319"/>
      <c r="KUN16" s="319"/>
      <c r="KUO16" s="319"/>
      <c r="KUP16" s="319"/>
      <c r="KUQ16" s="319"/>
      <c r="KUR16" s="319"/>
      <c r="KUS16" s="319"/>
      <c r="KUT16" s="319"/>
      <c r="KUU16" s="319"/>
      <c r="KUV16" s="319"/>
      <c r="KUW16" s="319"/>
      <c r="KUX16" s="319"/>
      <c r="KUY16" s="319"/>
      <c r="KUZ16" s="319"/>
      <c r="KVA16" s="319"/>
      <c r="KVB16" s="319"/>
      <c r="KVC16" s="319"/>
      <c r="KVD16" s="319"/>
      <c r="KVE16" s="319"/>
      <c r="KVF16" s="319"/>
      <c r="KVG16" s="319"/>
      <c r="KVH16" s="319"/>
      <c r="KVI16" s="319"/>
      <c r="KVJ16" s="319"/>
      <c r="KVK16" s="319"/>
      <c r="KVL16" s="319"/>
      <c r="KVM16" s="319"/>
      <c r="KVN16" s="319"/>
      <c r="KVO16" s="319"/>
      <c r="KVP16" s="319"/>
      <c r="KVQ16" s="319"/>
      <c r="KVR16" s="319"/>
      <c r="KVS16" s="319"/>
      <c r="KVT16" s="319"/>
      <c r="KVU16" s="319"/>
      <c r="KVV16" s="319"/>
      <c r="KVW16" s="319"/>
      <c r="KVX16" s="319"/>
      <c r="KVY16" s="319"/>
      <c r="KVZ16" s="319"/>
      <c r="KWA16" s="319"/>
      <c r="KWB16" s="319"/>
      <c r="KWC16" s="319"/>
      <c r="KWD16" s="319"/>
      <c r="KWE16" s="319"/>
      <c r="KWF16" s="319"/>
      <c r="KWG16" s="319"/>
      <c r="KWH16" s="319"/>
      <c r="KWI16" s="319"/>
      <c r="KWJ16" s="319"/>
      <c r="KWK16" s="319"/>
      <c r="KWL16" s="319"/>
      <c r="KWM16" s="319"/>
      <c r="KWN16" s="319"/>
      <c r="KWO16" s="319"/>
      <c r="KWP16" s="319"/>
      <c r="KWQ16" s="319"/>
      <c r="KWR16" s="319"/>
      <c r="KWS16" s="319"/>
      <c r="KWT16" s="319"/>
      <c r="KWU16" s="319"/>
      <c r="KWV16" s="319"/>
      <c r="KWW16" s="319"/>
      <c r="KWX16" s="319"/>
      <c r="KWY16" s="319"/>
      <c r="KWZ16" s="319"/>
      <c r="KXA16" s="319"/>
      <c r="KXB16" s="319"/>
      <c r="KXC16" s="319"/>
      <c r="KXD16" s="319"/>
      <c r="KXE16" s="319"/>
      <c r="KXF16" s="319"/>
      <c r="KXG16" s="319"/>
      <c r="KXH16" s="319"/>
      <c r="KXI16" s="319"/>
      <c r="KXJ16" s="319"/>
      <c r="KXK16" s="319"/>
      <c r="KXL16" s="319"/>
      <c r="KXM16" s="319"/>
      <c r="KXN16" s="319"/>
      <c r="KXO16" s="319"/>
      <c r="KXP16" s="319"/>
      <c r="KXQ16" s="319"/>
      <c r="KXR16" s="319"/>
      <c r="KXS16" s="319"/>
      <c r="KXT16" s="319"/>
      <c r="KXU16" s="319"/>
      <c r="KXV16" s="319"/>
      <c r="KXW16" s="319"/>
      <c r="KXX16" s="319"/>
      <c r="KXY16" s="319"/>
      <c r="KXZ16" s="319"/>
      <c r="KYA16" s="319"/>
      <c r="KYB16" s="319"/>
      <c r="KYC16" s="319"/>
      <c r="KYD16" s="319"/>
      <c r="KYE16" s="319"/>
      <c r="KYF16" s="319"/>
      <c r="KYG16" s="319"/>
      <c r="KYH16" s="319"/>
      <c r="KYI16" s="319"/>
      <c r="KYJ16" s="319"/>
      <c r="KYK16" s="319"/>
      <c r="KYL16" s="319"/>
      <c r="KYM16" s="319"/>
      <c r="KYN16" s="319"/>
      <c r="KYO16" s="319"/>
      <c r="KYP16" s="319"/>
      <c r="KYQ16" s="319"/>
      <c r="KYR16" s="319"/>
      <c r="KYS16" s="319"/>
      <c r="KYT16" s="319"/>
      <c r="KYU16" s="319"/>
      <c r="KYV16" s="319"/>
      <c r="KYW16" s="319"/>
      <c r="KYX16" s="319"/>
      <c r="KYY16" s="319"/>
      <c r="KYZ16" s="319"/>
      <c r="KZA16" s="319"/>
      <c r="KZB16" s="319"/>
      <c r="KZC16" s="319"/>
      <c r="KZD16" s="319"/>
      <c r="KZE16" s="319"/>
      <c r="KZF16" s="319"/>
      <c r="KZG16" s="319"/>
      <c r="KZH16" s="319"/>
      <c r="KZI16" s="319"/>
      <c r="KZJ16" s="319"/>
      <c r="KZK16" s="319"/>
      <c r="KZL16" s="319"/>
      <c r="KZM16" s="319"/>
      <c r="KZN16" s="319"/>
      <c r="KZO16" s="319"/>
      <c r="KZP16" s="319"/>
      <c r="KZQ16" s="319"/>
      <c r="KZR16" s="319"/>
      <c r="KZS16" s="319"/>
      <c r="KZT16" s="319"/>
      <c r="KZU16" s="319"/>
      <c r="KZV16" s="319"/>
      <c r="KZW16" s="319"/>
      <c r="KZX16" s="319"/>
      <c r="KZY16" s="319"/>
      <c r="KZZ16" s="319"/>
      <c r="LAA16" s="319"/>
      <c r="LAB16" s="319"/>
      <c r="LAC16" s="319"/>
      <c r="LAD16" s="319"/>
      <c r="LAE16" s="319"/>
      <c r="LAF16" s="319"/>
      <c r="LAG16" s="319"/>
      <c r="LAH16" s="319"/>
      <c r="LAI16" s="319"/>
      <c r="LAJ16" s="319"/>
      <c r="LAK16" s="319"/>
      <c r="LAL16" s="319"/>
      <c r="LAM16" s="319"/>
      <c r="LAN16" s="319"/>
      <c r="LAO16" s="319"/>
      <c r="LAP16" s="319"/>
      <c r="LAQ16" s="319"/>
      <c r="LAR16" s="319"/>
      <c r="LAS16" s="319"/>
      <c r="LAT16" s="319"/>
      <c r="LAU16" s="319"/>
      <c r="LAV16" s="319"/>
      <c r="LAW16" s="319"/>
      <c r="LAX16" s="319"/>
      <c r="LAY16" s="319"/>
      <c r="LAZ16" s="319"/>
      <c r="LBA16" s="319"/>
      <c r="LBB16" s="319"/>
      <c r="LBC16" s="319"/>
      <c r="LBD16" s="319"/>
      <c r="LBE16" s="319"/>
      <c r="LBF16" s="319"/>
      <c r="LBG16" s="319"/>
      <c r="LBH16" s="319"/>
      <c r="LBI16" s="319"/>
      <c r="LBJ16" s="319"/>
      <c r="LBK16" s="319"/>
      <c r="LBL16" s="319"/>
      <c r="LBM16" s="319"/>
      <c r="LBN16" s="319"/>
      <c r="LBO16" s="319"/>
      <c r="LBP16" s="319"/>
      <c r="LBQ16" s="319"/>
      <c r="LBR16" s="319"/>
      <c r="LBS16" s="319"/>
      <c r="LBT16" s="319"/>
      <c r="LBU16" s="319"/>
      <c r="LBV16" s="319"/>
      <c r="LBW16" s="319"/>
      <c r="LBX16" s="319"/>
      <c r="LBY16" s="319"/>
      <c r="LBZ16" s="319"/>
      <c r="LCA16" s="319"/>
      <c r="LCB16" s="319"/>
      <c r="LCC16" s="319"/>
      <c r="LCD16" s="319"/>
      <c r="LCE16" s="319"/>
      <c r="LCF16" s="319"/>
      <c r="LCG16" s="319"/>
      <c r="LCH16" s="319"/>
      <c r="LCI16" s="319"/>
      <c r="LCJ16" s="319"/>
      <c r="LCK16" s="319"/>
      <c r="LCL16" s="319"/>
      <c r="LCM16" s="319"/>
      <c r="LCN16" s="319"/>
      <c r="LCO16" s="319"/>
      <c r="LCP16" s="319"/>
      <c r="LCQ16" s="319"/>
      <c r="LCR16" s="319"/>
      <c r="LCS16" s="319"/>
      <c r="LCT16" s="319"/>
      <c r="LCU16" s="319"/>
      <c r="LCV16" s="319"/>
      <c r="LCW16" s="319"/>
      <c r="LCX16" s="319"/>
      <c r="LCY16" s="319"/>
      <c r="LCZ16" s="319"/>
      <c r="LDA16" s="319"/>
      <c r="LDB16" s="319"/>
      <c r="LDC16" s="319"/>
      <c r="LDD16" s="319"/>
      <c r="LDE16" s="319"/>
      <c r="LDF16" s="319"/>
      <c r="LDG16" s="319"/>
      <c r="LDH16" s="319"/>
      <c r="LDI16" s="319"/>
      <c r="LDJ16" s="319"/>
      <c r="LDK16" s="319"/>
      <c r="LDL16" s="319"/>
      <c r="LDM16" s="319"/>
      <c r="LDN16" s="319"/>
      <c r="LDO16" s="319"/>
      <c r="LDP16" s="319"/>
      <c r="LDQ16" s="319"/>
      <c r="LDR16" s="319"/>
      <c r="LDS16" s="319"/>
      <c r="LDT16" s="319"/>
      <c r="LDU16" s="319"/>
      <c r="LDV16" s="319"/>
      <c r="LDW16" s="319"/>
      <c r="LDX16" s="319"/>
      <c r="LDY16" s="319"/>
      <c r="LDZ16" s="319"/>
      <c r="LEA16" s="319"/>
      <c r="LEB16" s="319"/>
      <c r="LEC16" s="319"/>
      <c r="LED16" s="319"/>
      <c r="LEE16" s="319"/>
      <c r="LEF16" s="319"/>
      <c r="LEG16" s="319"/>
      <c r="LEH16" s="319"/>
      <c r="LEI16" s="319"/>
      <c r="LEJ16" s="319"/>
      <c r="LEK16" s="319"/>
      <c r="LEL16" s="319"/>
      <c r="LEM16" s="319"/>
      <c r="LEN16" s="319"/>
      <c r="LEO16" s="319"/>
      <c r="LEP16" s="319"/>
      <c r="LEQ16" s="319"/>
      <c r="LER16" s="319"/>
      <c r="LES16" s="319"/>
      <c r="LET16" s="319"/>
      <c r="LEU16" s="319"/>
      <c r="LEV16" s="319"/>
      <c r="LEW16" s="319"/>
      <c r="LEX16" s="319"/>
      <c r="LEY16" s="319"/>
      <c r="LEZ16" s="319"/>
      <c r="LFA16" s="319"/>
      <c r="LFB16" s="319"/>
      <c r="LFC16" s="319"/>
      <c r="LFD16" s="319"/>
      <c r="LFE16" s="319"/>
      <c r="LFF16" s="319"/>
      <c r="LFG16" s="319"/>
      <c r="LFH16" s="319"/>
      <c r="LFI16" s="319"/>
      <c r="LFJ16" s="319"/>
      <c r="LFK16" s="319"/>
      <c r="LFL16" s="319"/>
      <c r="LFM16" s="319"/>
      <c r="LFN16" s="319"/>
      <c r="LFO16" s="319"/>
      <c r="LFP16" s="319"/>
      <c r="LFQ16" s="319"/>
      <c r="LFR16" s="319"/>
      <c r="LFS16" s="319"/>
      <c r="LFT16" s="319"/>
      <c r="LFU16" s="319"/>
      <c r="LFV16" s="319"/>
      <c r="LFW16" s="319"/>
      <c r="LFX16" s="319"/>
      <c r="LFY16" s="319"/>
      <c r="LFZ16" s="319"/>
      <c r="LGA16" s="319"/>
      <c r="LGB16" s="319"/>
      <c r="LGC16" s="319"/>
      <c r="LGD16" s="319"/>
      <c r="LGE16" s="319"/>
      <c r="LGF16" s="319"/>
      <c r="LGG16" s="319"/>
      <c r="LGH16" s="319"/>
      <c r="LGI16" s="319"/>
      <c r="LGJ16" s="319"/>
      <c r="LGK16" s="319"/>
      <c r="LGL16" s="319"/>
      <c r="LGM16" s="319"/>
      <c r="LGN16" s="319"/>
      <c r="LGO16" s="319"/>
      <c r="LGP16" s="319"/>
      <c r="LGQ16" s="319"/>
      <c r="LGR16" s="319"/>
      <c r="LGS16" s="319"/>
      <c r="LGT16" s="319"/>
      <c r="LGU16" s="319"/>
      <c r="LGV16" s="319"/>
      <c r="LGW16" s="319"/>
      <c r="LGX16" s="319"/>
      <c r="LGY16" s="319"/>
      <c r="LGZ16" s="319"/>
      <c r="LHA16" s="319"/>
      <c r="LHB16" s="319"/>
      <c r="LHC16" s="319"/>
      <c r="LHD16" s="319"/>
      <c r="LHE16" s="319"/>
      <c r="LHF16" s="319"/>
      <c r="LHG16" s="319"/>
      <c r="LHH16" s="319"/>
      <c r="LHI16" s="319"/>
      <c r="LHJ16" s="319"/>
      <c r="LHK16" s="319"/>
      <c r="LHL16" s="319"/>
      <c r="LHM16" s="319"/>
      <c r="LHN16" s="319"/>
      <c r="LHO16" s="319"/>
      <c r="LHP16" s="319"/>
      <c r="LHQ16" s="319"/>
      <c r="LHR16" s="319"/>
      <c r="LHS16" s="319"/>
      <c r="LHT16" s="319"/>
      <c r="LHU16" s="319"/>
      <c r="LHV16" s="319"/>
      <c r="LHW16" s="319"/>
      <c r="LHX16" s="319"/>
      <c r="LHY16" s="319"/>
      <c r="LHZ16" s="319"/>
      <c r="LIA16" s="319"/>
      <c r="LIB16" s="319"/>
      <c r="LIC16" s="319"/>
      <c r="LID16" s="319"/>
      <c r="LIE16" s="319"/>
      <c r="LIF16" s="319"/>
      <c r="LIG16" s="319"/>
      <c r="LIH16" s="319"/>
      <c r="LII16" s="319"/>
      <c r="LIJ16" s="319"/>
      <c r="LIK16" s="319"/>
      <c r="LIL16" s="319"/>
      <c r="LIM16" s="319"/>
      <c r="LIN16" s="319"/>
      <c r="LIO16" s="319"/>
      <c r="LIP16" s="319"/>
      <c r="LIQ16" s="319"/>
      <c r="LIR16" s="319"/>
      <c r="LIS16" s="319"/>
      <c r="LIT16" s="319"/>
      <c r="LIU16" s="319"/>
      <c r="LIV16" s="319"/>
      <c r="LIW16" s="319"/>
      <c r="LIX16" s="319"/>
      <c r="LIY16" s="319"/>
      <c r="LIZ16" s="319"/>
      <c r="LJA16" s="319"/>
      <c r="LJB16" s="319"/>
      <c r="LJC16" s="319"/>
      <c r="LJD16" s="319"/>
      <c r="LJE16" s="319"/>
      <c r="LJF16" s="319"/>
      <c r="LJG16" s="319"/>
      <c r="LJH16" s="319"/>
      <c r="LJI16" s="319"/>
      <c r="LJJ16" s="319"/>
      <c r="LJK16" s="319"/>
      <c r="LJL16" s="319"/>
      <c r="LJM16" s="319"/>
      <c r="LJN16" s="319"/>
      <c r="LJO16" s="319"/>
      <c r="LJP16" s="319"/>
      <c r="LJQ16" s="319"/>
      <c r="LJR16" s="319"/>
      <c r="LJS16" s="319"/>
      <c r="LJT16" s="319"/>
      <c r="LJU16" s="319"/>
      <c r="LJV16" s="319"/>
      <c r="LJW16" s="319"/>
      <c r="LJX16" s="319"/>
      <c r="LJY16" s="319"/>
      <c r="LJZ16" s="319"/>
      <c r="LKA16" s="319"/>
      <c r="LKB16" s="319"/>
      <c r="LKC16" s="319"/>
      <c r="LKD16" s="319"/>
      <c r="LKE16" s="319"/>
      <c r="LKF16" s="319"/>
      <c r="LKG16" s="319"/>
      <c r="LKH16" s="319"/>
      <c r="LKI16" s="319"/>
      <c r="LKJ16" s="319"/>
      <c r="LKK16" s="319"/>
      <c r="LKL16" s="319"/>
      <c r="LKM16" s="319"/>
      <c r="LKN16" s="319"/>
      <c r="LKO16" s="319"/>
      <c r="LKP16" s="319"/>
      <c r="LKQ16" s="319"/>
      <c r="LKR16" s="319"/>
      <c r="LKS16" s="319"/>
      <c r="LKT16" s="319"/>
      <c r="LKU16" s="319"/>
      <c r="LKV16" s="319"/>
      <c r="LKW16" s="319"/>
      <c r="LKX16" s="319"/>
      <c r="LKY16" s="319"/>
      <c r="LKZ16" s="319"/>
      <c r="LLA16" s="319"/>
      <c r="LLB16" s="319"/>
      <c r="LLC16" s="319"/>
      <c r="LLD16" s="319"/>
      <c r="LLE16" s="319"/>
      <c r="LLF16" s="319"/>
      <c r="LLG16" s="319"/>
      <c r="LLH16" s="319"/>
      <c r="LLI16" s="319"/>
      <c r="LLJ16" s="319"/>
      <c r="LLK16" s="319"/>
      <c r="LLL16" s="319"/>
      <c r="LLM16" s="319"/>
      <c r="LLN16" s="319"/>
      <c r="LLO16" s="319"/>
      <c r="LLP16" s="319"/>
      <c r="LLQ16" s="319"/>
      <c r="LLR16" s="319"/>
      <c r="LLS16" s="319"/>
      <c r="LLT16" s="319"/>
      <c r="LLU16" s="319"/>
      <c r="LLV16" s="319"/>
      <c r="LLW16" s="319"/>
      <c r="LLX16" s="319"/>
      <c r="LLY16" s="319"/>
      <c r="LLZ16" s="319"/>
      <c r="LMA16" s="319"/>
      <c r="LMB16" s="319"/>
      <c r="LMC16" s="319"/>
      <c r="LMD16" s="319"/>
      <c r="LME16" s="319"/>
      <c r="LMF16" s="319"/>
      <c r="LMG16" s="319"/>
      <c r="LMH16" s="319"/>
      <c r="LMI16" s="319"/>
      <c r="LMJ16" s="319"/>
      <c r="LMK16" s="319"/>
      <c r="LML16" s="319"/>
      <c r="LMM16" s="319"/>
      <c r="LMN16" s="319"/>
      <c r="LMO16" s="319"/>
      <c r="LMP16" s="319"/>
      <c r="LMQ16" s="319"/>
      <c r="LMR16" s="319"/>
      <c r="LMS16" s="319"/>
      <c r="LMT16" s="319"/>
      <c r="LMU16" s="319"/>
      <c r="LMV16" s="319"/>
      <c r="LMW16" s="319"/>
      <c r="LMX16" s="319"/>
      <c r="LMY16" s="319"/>
      <c r="LMZ16" s="319"/>
      <c r="LNA16" s="319"/>
      <c r="LNB16" s="319"/>
      <c r="LNC16" s="319"/>
      <c r="LND16" s="319"/>
      <c r="LNE16" s="319"/>
      <c r="LNF16" s="319"/>
      <c r="LNG16" s="319"/>
      <c r="LNH16" s="319"/>
      <c r="LNI16" s="319"/>
      <c r="LNJ16" s="319"/>
      <c r="LNK16" s="319"/>
      <c r="LNL16" s="319"/>
      <c r="LNM16" s="319"/>
      <c r="LNN16" s="319"/>
      <c r="LNO16" s="319"/>
      <c r="LNP16" s="319"/>
      <c r="LNQ16" s="319"/>
      <c r="LNR16" s="319"/>
      <c r="LNS16" s="319"/>
      <c r="LNT16" s="319"/>
      <c r="LNU16" s="319"/>
      <c r="LNV16" s="319"/>
      <c r="LNW16" s="319"/>
      <c r="LNX16" s="319"/>
      <c r="LNY16" s="319"/>
      <c r="LNZ16" s="319"/>
      <c r="LOA16" s="319"/>
      <c r="LOB16" s="319"/>
      <c r="LOC16" s="319"/>
      <c r="LOD16" s="319"/>
      <c r="LOE16" s="319"/>
      <c r="LOF16" s="319"/>
      <c r="LOG16" s="319"/>
      <c r="LOH16" s="319"/>
      <c r="LOI16" s="319"/>
      <c r="LOJ16" s="319"/>
      <c r="LOK16" s="319"/>
      <c r="LOL16" s="319"/>
      <c r="LOM16" s="319"/>
      <c r="LON16" s="319"/>
      <c r="LOO16" s="319"/>
      <c r="LOP16" s="319"/>
      <c r="LOQ16" s="319"/>
      <c r="LOR16" s="319"/>
      <c r="LOS16" s="319"/>
      <c r="LOT16" s="319"/>
      <c r="LOU16" s="319"/>
      <c r="LOV16" s="319"/>
      <c r="LOW16" s="319"/>
      <c r="LOX16" s="319"/>
      <c r="LOY16" s="319"/>
      <c r="LOZ16" s="319"/>
      <c r="LPA16" s="319"/>
      <c r="LPB16" s="319"/>
      <c r="LPC16" s="319"/>
      <c r="LPD16" s="319"/>
      <c r="LPE16" s="319"/>
      <c r="LPF16" s="319"/>
      <c r="LPG16" s="319"/>
      <c r="LPH16" s="319"/>
      <c r="LPI16" s="319"/>
      <c r="LPJ16" s="319"/>
      <c r="LPK16" s="319"/>
      <c r="LPL16" s="319"/>
      <c r="LPM16" s="319"/>
      <c r="LPN16" s="319"/>
      <c r="LPO16" s="319"/>
      <c r="LPP16" s="319"/>
      <c r="LPQ16" s="319"/>
      <c r="LPR16" s="319"/>
      <c r="LPS16" s="319"/>
      <c r="LPT16" s="319"/>
      <c r="LPU16" s="319"/>
      <c r="LPV16" s="319"/>
      <c r="LPW16" s="319"/>
      <c r="LPX16" s="319"/>
      <c r="LPY16" s="319"/>
      <c r="LPZ16" s="319"/>
      <c r="LQA16" s="319"/>
      <c r="LQB16" s="319"/>
      <c r="LQC16" s="319"/>
      <c r="LQD16" s="319"/>
      <c r="LQE16" s="319"/>
      <c r="LQF16" s="319"/>
      <c r="LQG16" s="319"/>
      <c r="LQH16" s="319"/>
      <c r="LQI16" s="319"/>
      <c r="LQJ16" s="319"/>
      <c r="LQK16" s="319"/>
      <c r="LQL16" s="319"/>
      <c r="LQM16" s="319"/>
      <c r="LQN16" s="319"/>
      <c r="LQO16" s="319"/>
      <c r="LQP16" s="319"/>
      <c r="LQQ16" s="319"/>
      <c r="LQR16" s="319"/>
      <c r="LQS16" s="319"/>
      <c r="LQT16" s="319"/>
      <c r="LQU16" s="319"/>
      <c r="LQV16" s="319"/>
      <c r="LQW16" s="319"/>
      <c r="LQX16" s="319"/>
      <c r="LQY16" s="319"/>
      <c r="LQZ16" s="319"/>
      <c r="LRA16" s="319"/>
      <c r="LRB16" s="319"/>
      <c r="LRC16" s="319"/>
      <c r="LRD16" s="319"/>
      <c r="LRE16" s="319"/>
      <c r="LRF16" s="319"/>
      <c r="LRG16" s="319"/>
      <c r="LRH16" s="319"/>
      <c r="LRI16" s="319"/>
      <c r="LRJ16" s="319"/>
      <c r="LRK16" s="319"/>
      <c r="LRL16" s="319"/>
      <c r="LRM16" s="319"/>
      <c r="LRN16" s="319"/>
      <c r="LRO16" s="319"/>
      <c r="LRP16" s="319"/>
      <c r="LRQ16" s="319"/>
      <c r="LRR16" s="319"/>
      <c r="LRS16" s="319"/>
      <c r="LRT16" s="319"/>
      <c r="LRU16" s="319"/>
      <c r="LRV16" s="319"/>
      <c r="LRW16" s="319"/>
      <c r="LRX16" s="319"/>
      <c r="LRY16" s="319"/>
      <c r="LRZ16" s="319"/>
      <c r="LSA16" s="319"/>
      <c r="LSB16" s="319"/>
      <c r="LSC16" s="319"/>
      <c r="LSD16" s="319"/>
      <c r="LSE16" s="319"/>
      <c r="LSF16" s="319"/>
      <c r="LSG16" s="319"/>
      <c r="LSH16" s="319"/>
      <c r="LSI16" s="319"/>
      <c r="LSJ16" s="319"/>
      <c r="LSK16" s="319"/>
      <c r="LSL16" s="319"/>
      <c r="LSM16" s="319"/>
      <c r="LSN16" s="319"/>
      <c r="LSO16" s="319"/>
      <c r="LSP16" s="319"/>
      <c r="LSQ16" s="319"/>
      <c r="LSR16" s="319"/>
      <c r="LSS16" s="319"/>
      <c r="LST16" s="319"/>
      <c r="LSU16" s="319"/>
      <c r="LSV16" s="319"/>
      <c r="LSW16" s="319"/>
      <c r="LSX16" s="319"/>
      <c r="LSY16" s="319"/>
      <c r="LSZ16" s="319"/>
      <c r="LTA16" s="319"/>
      <c r="LTB16" s="319"/>
      <c r="LTC16" s="319"/>
      <c r="LTD16" s="319"/>
      <c r="LTE16" s="319"/>
      <c r="LTF16" s="319"/>
      <c r="LTG16" s="319"/>
      <c r="LTH16" s="319"/>
      <c r="LTI16" s="319"/>
      <c r="LTJ16" s="319"/>
      <c r="LTK16" s="319"/>
      <c r="LTL16" s="319"/>
      <c r="LTM16" s="319"/>
      <c r="LTN16" s="319"/>
      <c r="LTO16" s="319"/>
      <c r="LTP16" s="319"/>
      <c r="LTQ16" s="319"/>
      <c r="LTR16" s="319"/>
      <c r="LTS16" s="319"/>
      <c r="LTT16" s="319"/>
      <c r="LTU16" s="319"/>
      <c r="LTV16" s="319"/>
      <c r="LTW16" s="319"/>
      <c r="LTX16" s="319"/>
      <c r="LTY16" s="319"/>
      <c r="LTZ16" s="319"/>
      <c r="LUA16" s="319"/>
      <c r="LUB16" s="319"/>
      <c r="LUC16" s="319"/>
      <c r="LUD16" s="319"/>
      <c r="LUE16" s="319"/>
      <c r="LUF16" s="319"/>
      <c r="LUG16" s="319"/>
      <c r="LUH16" s="319"/>
      <c r="LUI16" s="319"/>
      <c r="LUJ16" s="319"/>
      <c r="LUK16" s="319"/>
      <c r="LUL16" s="319"/>
      <c r="LUM16" s="319"/>
      <c r="LUN16" s="319"/>
      <c r="LUO16" s="319"/>
      <c r="LUP16" s="319"/>
      <c r="LUQ16" s="319"/>
      <c r="LUR16" s="319"/>
      <c r="LUS16" s="319"/>
      <c r="LUT16" s="319"/>
      <c r="LUU16" s="319"/>
      <c r="LUV16" s="319"/>
      <c r="LUW16" s="319"/>
      <c r="LUX16" s="319"/>
      <c r="LUY16" s="319"/>
      <c r="LUZ16" s="319"/>
      <c r="LVA16" s="319"/>
      <c r="LVB16" s="319"/>
      <c r="LVC16" s="319"/>
      <c r="LVD16" s="319"/>
      <c r="LVE16" s="319"/>
      <c r="LVF16" s="319"/>
      <c r="LVG16" s="319"/>
      <c r="LVH16" s="319"/>
      <c r="LVI16" s="319"/>
      <c r="LVJ16" s="319"/>
      <c r="LVK16" s="319"/>
      <c r="LVL16" s="319"/>
      <c r="LVM16" s="319"/>
      <c r="LVN16" s="319"/>
      <c r="LVO16" s="319"/>
      <c r="LVP16" s="319"/>
      <c r="LVQ16" s="319"/>
      <c r="LVR16" s="319"/>
      <c r="LVS16" s="319"/>
      <c r="LVT16" s="319"/>
      <c r="LVU16" s="319"/>
      <c r="LVV16" s="319"/>
      <c r="LVW16" s="319"/>
      <c r="LVX16" s="319"/>
      <c r="LVY16" s="319"/>
      <c r="LVZ16" s="319"/>
      <c r="LWA16" s="319"/>
      <c r="LWB16" s="319"/>
      <c r="LWC16" s="319"/>
      <c r="LWD16" s="319"/>
      <c r="LWE16" s="319"/>
      <c r="LWF16" s="319"/>
      <c r="LWG16" s="319"/>
      <c r="LWH16" s="319"/>
      <c r="LWI16" s="319"/>
      <c r="LWJ16" s="319"/>
      <c r="LWK16" s="319"/>
      <c r="LWL16" s="319"/>
      <c r="LWM16" s="319"/>
      <c r="LWN16" s="319"/>
      <c r="LWO16" s="319"/>
      <c r="LWP16" s="319"/>
      <c r="LWQ16" s="319"/>
      <c r="LWR16" s="319"/>
      <c r="LWS16" s="319"/>
      <c r="LWT16" s="319"/>
      <c r="LWU16" s="319"/>
      <c r="LWV16" s="319"/>
      <c r="LWW16" s="319"/>
      <c r="LWX16" s="319"/>
      <c r="LWY16" s="319"/>
      <c r="LWZ16" s="319"/>
      <c r="LXA16" s="319"/>
      <c r="LXB16" s="319"/>
      <c r="LXC16" s="319"/>
      <c r="LXD16" s="319"/>
      <c r="LXE16" s="319"/>
      <c r="LXF16" s="319"/>
      <c r="LXG16" s="319"/>
      <c r="LXH16" s="319"/>
      <c r="LXI16" s="319"/>
      <c r="LXJ16" s="319"/>
      <c r="LXK16" s="319"/>
      <c r="LXL16" s="319"/>
      <c r="LXM16" s="319"/>
      <c r="LXN16" s="319"/>
      <c r="LXO16" s="319"/>
      <c r="LXP16" s="319"/>
      <c r="LXQ16" s="319"/>
      <c r="LXR16" s="319"/>
      <c r="LXS16" s="319"/>
      <c r="LXT16" s="319"/>
      <c r="LXU16" s="319"/>
      <c r="LXV16" s="319"/>
      <c r="LXW16" s="319"/>
      <c r="LXX16" s="319"/>
      <c r="LXY16" s="319"/>
      <c r="LXZ16" s="319"/>
      <c r="LYA16" s="319"/>
      <c r="LYB16" s="319"/>
      <c r="LYC16" s="319"/>
      <c r="LYD16" s="319"/>
      <c r="LYE16" s="319"/>
      <c r="LYF16" s="319"/>
      <c r="LYG16" s="319"/>
      <c r="LYH16" s="319"/>
      <c r="LYI16" s="319"/>
      <c r="LYJ16" s="319"/>
      <c r="LYK16" s="319"/>
      <c r="LYL16" s="319"/>
      <c r="LYM16" s="319"/>
      <c r="LYN16" s="319"/>
      <c r="LYO16" s="319"/>
      <c r="LYP16" s="319"/>
      <c r="LYQ16" s="319"/>
      <c r="LYR16" s="319"/>
      <c r="LYS16" s="319"/>
      <c r="LYT16" s="319"/>
      <c r="LYU16" s="319"/>
      <c r="LYV16" s="319"/>
      <c r="LYW16" s="319"/>
      <c r="LYX16" s="319"/>
      <c r="LYY16" s="319"/>
      <c r="LYZ16" s="319"/>
      <c r="LZA16" s="319"/>
      <c r="LZB16" s="319"/>
      <c r="LZC16" s="319"/>
      <c r="LZD16" s="319"/>
      <c r="LZE16" s="319"/>
      <c r="LZF16" s="319"/>
      <c r="LZG16" s="319"/>
      <c r="LZH16" s="319"/>
      <c r="LZI16" s="319"/>
      <c r="LZJ16" s="319"/>
      <c r="LZK16" s="319"/>
      <c r="LZL16" s="319"/>
      <c r="LZM16" s="319"/>
      <c r="LZN16" s="319"/>
      <c r="LZO16" s="319"/>
      <c r="LZP16" s="319"/>
      <c r="LZQ16" s="319"/>
      <c r="LZR16" s="319"/>
      <c r="LZS16" s="319"/>
      <c r="LZT16" s="319"/>
      <c r="LZU16" s="319"/>
      <c r="LZV16" s="319"/>
      <c r="LZW16" s="319"/>
      <c r="LZX16" s="319"/>
      <c r="LZY16" s="319"/>
      <c r="LZZ16" s="319"/>
      <c r="MAA16" s="319"/>
      <c r="MAB16" s="319"/>
      <c r="MAC16" s="319"/>
      <c r="MAD16" s="319"/>
      <c r="MAE16" s="319"/>
      <c r="MAF16" s="319"/>
      <c r="MAG16" s="319"/>
      <c r="MAH16" s="319"/>
      <c r="MAI16" s="319"/>
      <c r="MAJ16" s="319"/>
      <c r="MAK16" s="319"/>
      <c r="MAL16" s="319"/>
      <c r="MAM16" s="319"/>
      <c r="MAN16" s="319"/>
      <c r="MAO16" s="319"/>
      <c r="MAP16" s="319"/>
      <c r="MAQ16" s="319"/>
      <c r="MAR16" s="319"/>
      <c r="MAS16" s="319"/>
      <c r="MAT16" s="319"/>
      <c r="MAU16" s="319"/>
      <c r="MAV16" s="319"/>
      <c r="MAW16" s="319"/>
      <c r="MAX16" s="319"/>
      <c r="MAY16" s="319"/>
      <c r="MAZ16" s="319"/>
      <c r="MBA16" s="319"/>
      <c r="MBB16" s="319"/>
      <c r="MBC16" s="319"/>
      <c r="MBD16" s="319"/>
      <c r="MBE16" s="319"/>
      <c r="MBF16" s="319"/>
      <c r="MBG16" s="319"/>
      <c r="MBH16" s="319"/>
      <c r="MBI16" s="319"/>
      <c r="MBJ16" s="319"/>
      <c r="MBK16" s="319"/>
      <c r="MBL16" s="319"/>
      <c r="MBM16" s="319"/>
      <c r="MBN16" s="319"/>
      <c r="MBO16" s="319"/>
      <c r="MBP16" s="319"/>
      <c r="MBQ16" s="319"/>
      <c r="MBR16" s="319"/>
      <c r="MBS16" s="319"/>
      <c r="MBT16" s="319"/>
      <c r="MBU16" s="319"/>
      <c r="MBV16" s="319"/>
      <c r="MBW16" s="319"/>
      <c r="MBX16" s="319"/>
      <c r="MBY16" s="319"/>
      <c r="MBZ16" s="319"/>
      <c r="MCA16" s="319"/>
      <c r="MCB16" s="319"/>
      <c r="MCC16" s="319"/>
      <c r="MCD16" s="319"/>
      <c r="MCE16" s="319"/>
      <c r="MCF16" s="319"/>
      <c r="MCG16" s="319"/>
      <c r="MCH16" s="319"/>
      <c r="MCI16" s="319"/>
      <c r="MCJ16" s="319"/>
      <c r="MCK16" s="319"/>
      <c r="MCL16" s="319"/>
      <c r="MCM16" s="319"/>
      <c r="MCN16" s="319"/>
      <c r="MCO16" s="319"/>
      <c r="MCP16" s="319"/>
      <c r="MCQ16" s="319"/>
      <c r="MCR16" s="319"/>
      <c r="MCS16" s="319"/>
      <c r="MCT16" s="319"/>
      <c r="MCU16" s="319"/>
      <c r="MCV16" s="319"/>
      <c r="MCW16" s="319"/>
      <c r="MCX16" s="319"/>
      <c r="MCY16" s="319"/>
      <c r="MCZ16" s="319"/>
      <c r="MDA16" s="319"/>
      <c r="MDB16" s="319"/>
      <c r="MDC16" s="319"/>
      <c r="MDD16" s="319"/>
      <c r="MDE16" s="319"/>
      <c r="MDF16" s="319"/>
      <c r="MDG16" s="319"/>
      <c r="MDH16" s="319"/>
      <c r="MDI16" s="319"/>
      <c r="MDJ16" s="319"/>
      <c r="MDK16" s="319"/>
      <c r="MDL16" s="319"/>
      <c r="MDM16" s="319"/>
      <c r="MDN16" s="319"/>
      <c r="MDO16" s="319"/>
      <c r="MDP16" s="319"/>
      <c r="MDQ16" s="319"/>
      <c r="MDR16" s="319"/>
      <c r="MDS16" s="319"/>
      <c r="MDT16" s="319"/>
      <c r="MDU16" s="319"/>
      <c r="MDV16" s="319"/>
      <c r="MDW16" s="319"/>
      <c r="MDX16" s="319"/>
      <c r="MDY16" s="319"/>
      <c r="MDZ16" s="319"/>
      <c r="MEA16" s="319"/>
      <c r="MEB16" s="319"/>
      <c r="MEC16" s="319"/>
      <c r="MED16" s="319"/>
      <c r="MEE16" s="319"/>
      <c r="MEF16" s="319"/>
      <c r="MEG16" s="319"/>
      <c r="MEH16" s="319"/>
      <c r="MEI16" s="319"/>
      <c r="MEJ16" s="319"/>
      <c r="MEK16" s="319"/>
      <c r="MEL16" s="319"/>
      <c r="MEM16" s="319"/>
      <c r="MEN16" s="319"/>
      <c r="MEO16" s="319"/>
      <c r="MEP16" s="319"/>
      <c r="MEQ16" s="319"/>
      <c r="MER16" s="319"/>
      <c r="MES16" s="319"/>
      <c r="MET16" s="319"/>
      <c r="MEU16" s="319"/>
      <c r="MEV16" s="319"/>
      <c r="MEW16" s="319"/>
      <c r="MEX16" s="319"/>
      <c r="MEY16" s="319"/>
      <c r="MEZ16" s="319"/>
      <c r="MFA16" s="319"/>
      <c r="MFB16" s="319"/>
      <c r="MFC16" s="319"/>
      <c r="MFD16" s="319"/>
      <c r="MFE16" s="319"/>
      <c r="MFF16" s="319"/>
      <c r="MFG16" s="319"/>
      <c r="MFH16" s="319"/>
      <c r="MFI16" s="319"/>
      <c r="MFJ16" s="319"/>
      <c r="MFK16" s="319"/>
      <c r="MFL16" s="319"/>
      <c r="MFM16" s="319"/>
      <c r="MFN16" s="319"/>
      <c r="MFO16" s="319"/>
      <c r="MFP16" s="319"/>
      <c r="MFQ16" s="319"/>
      <c r="MFR16" s="319"/>
      <c r="MFS16" s="319"/>
      <c r="MFT16" s="319"/>
      <c r="MFU16" s="319"/>
      <c r="MFV16" s="319"/>
      <c r="MFW16" s="319"/>
      <c r="MFX16" s="319"/>
      <c r="MFY16" s="319"/>
      <c r="MFZ16" s="319"/>
      <c r="MGA16" s="319"/>
      <c r="MGB16" s="319"/>
      <c r="MGC16" s="319"/>
      <c r="MGD16" s="319"/>
      <c r="MGE16" s="319"/>
      <c r="MGF16" s="319"/>
      <c r="MGG16" s="319"/>
      <c r="MGH16" s="319"/>
      <c r="MGI16" s="319"/>
      <c r="MGJ16" s="319"/>
      <c r="MGK16" s="319"/>
      <c r="MGL16" s="319"/>
      <c r="MGM16" s="319"/>
      <c r="MGN16" s="319"/>
      <c r="MGO16" s="319"/>
      <c r="MGP16" s="319"/>
      <c r="MGQ16" s="319"/>
      <c r="MGR16" s="319"/>
      <c r="MGS16" s="319"/>
      <c r="MGT16" s="319"/>
      <c r="MGU16" s="319"/>
      <c r="MGV16" s="319"/>
      <c r="MGW16" s="319"/>
      <c r="MGX16" s="319"/>
      <c r="MGY16" s="319"/>
      <c r="MGZ16" s="319"/>
      <c r="MHA16" s="319"/>
      <c r="MHB16" s="319"/>
      <c r="MHC16" s="319"/>
      <c r="MHD16" s="319"/>
      <c r="MHE16" s="319"/>
      <c r="MHF16" s="319"/>
      <c r="MHG16" s="319"/>
      <c r="MHH16" s="319"/>
      <c r="MHI16" s="319"/>
      <c r="MHJ16" s="319"/>
      <c r="MHK16" s="319"/>
      <c r="MHL16" s="319"/>
      <c r="MHM16" s="319"/>
      <c r="MHN16" s="319"/>
      <c r="MHO16" s="319"/>
      <c r="MHP16" s="319"/>
      <c r="MHQ16" s="319"/>
      <c r="MHR16" s="319"/>
      <c r="MHS16" s="319"/>
      <c r="MHT16" s="319"/>
      <c r="MHU16" s="319"/>
      <c r="MHV16" s="319"/>
      <c r="MHW16" s="319"/>
      <c r="MHX16" s="319"/>
      <c r="MHY16" s="319"/>
      <c r="MHZ16" s="319"/>
      <c r="MIA16" s="319"/>
      <c r="MIB16" s="319"/>
      <c r="MIC16" s="319"/>
      <c r="MID16" s="319"/>
      <c r="MIE16" s="319"/>
      <c r="MIF16" s="319"/>
      <c r="MIG16" s="319"/>
      <c r="MIH16" s="319"/>
      <c r="MII16" s="319"/>
      <c r="MIJ16" s="319"/>
      <c r="MIK16" s="319"/>
      <c r="MIL16" s="319"/>
      <c r="MIM16" s="319"/>
      <c r="MIN16" s="319"/>
      <c r="MIO16" s="319"/>
      <c r="MIP16" s="319"/>
      <c r="MIQ16" s="319"/>
      <c r="MIR16" s="319"/>
      <c r="MIS16" s="319"/>
      <c r="MIT16" s="319"/>
      <c r="MIU16" s="319"/>
      <c r="MIV16" s="319"/>
      <c r="MIW16" s="319"/>
      <c r="MIX16" s="319"/>
      <c r="MIY16" s="319"/>
      <c r="MIZ16" s="319"/>
      <c r="MJA16" s="319"/>
      <c r="MJB16" s="319"/>
      <c r="MJC16" s="319"/>
      <c r="MJD16" s="319"/>
      <c r="MJE16" s="319"/>
      <c r="MJF16" s="319"/>
      <c r="MJG16" s="319"/>
      <c r="MJH16" s="319"/>
      <c r="MJI16" s="319"/>
      <c r="MJJ16" s="319"/>
      <c r="MJK16" s="319"/>
      <c r="MJL16" s="319"/>
      <c r="MJM16" s="319"/>
      <c r="MJN16" s="319"/>
      <c r="MJO16" s="319"/>
      <c r="MJP16" s="319"/>
      <c r="MJQ16" s="319"/>
      <c r="MJR16" s="319"/>
      <c r="MJS16" s="319"/>
      <c r="MJT16" s="319"/>
      <c r="MJU16" s="319"/>
      <c r="MJV16" s="319"/>
      <c r="MJW16" s="319"/>
      <c r="MJX16" s="319"/>
      <c r="MJY16" s="319"/>
      <c r="MJZ16" s="319"/>
      <c r="MKA16" s="319"/>
      <c r="MKB16" s="319"/>
      <c r="MKC16" s="319"/>
      <c r="MKD16" s="319"/>
      <c r="MKE16" s="319"/>
      <c r="MKF16" s="319"/>
      <c r="MKG16" s="319"/>
      <c r="MKH16" s="319"/>
      <c r="MKI16" s="319"/>
      <c r="MKJ16" s="319"/>
      <c r="MKK16" s="319"/>
      <c r="MKL16" s="319"/>
      <c r="MKM16" s="319"/>
      <c r="MKN16" s="319"/>
      <c r="MKO16" s="319"/>
      <c r="MKP16" s="319"/>
      <c r="MKQ16" s="319"/>
      <c r="MKR16" s="319"/>
      <c r="MKS16" s="319"/>
      <c r="MKT16" s="319"/>
      <c r="MKU16" s="319"/>
      <c r="MKV16" s="319"/>
      <c r="MKW16" s="319"/>
      <c r="MKX16" s="319"/>
      <c r="MKY16" s="319"/>
      <c r="MKZ16" s="319"/>
      <c r="MLA16" s="319"/>
      <c r="MLB16" s="319"/>
      <c r="MLC16" s="319"/>
      <c r="MLD16" s="319"/>
      <c r="MLE16" s="319"/>
      <c r="MLF16" s="319"/>
      <c r="MLG16" s="319"/>
      <c r="MLH16" s="319"/>
      <c r="MLI16" s="319"/>
      <c r="MLJ16" s="319"/>
      <c r="MLK16" s="319"/>
      <c r="MLL16" s="319"/>
      <c r="MLM16" s="319"/>
      <c r="MLN16" s="319"/>
      <c r="MLO16" s="319"/>
      <c r="MLP16" s="319"/>
      <c r="MLQ16" s="319"/>
      <c r="MLR16" s="319"/>
      <c r="MLS16" s="319"/>
      <c r="MLT16" s="319"/>
      <c r="MLU16" s="319"/>
      <c r="MLV16" s="319"/>
      <c r="MLW16" s="319"/>
      <c r="MLX16" s="319"/>
      <c r="MLY16" s="319"/>
      <c r="MLZ16" s="319"/>
      <c r="MMA16" s="319"/>
      <c r="MMB16" s="319"/>
      <c r="MMC16" s="319"/>
      <c r="MMD16" s="319"/>
      <c r="MME16" s="319"/>
      <c r="MMF16" s="319"/>
      <c r="MMG16" s="319"/>
      <c r="MMH16" s="319"/>
      <c r="MMI16" s="319"/>
      <c r="MMJ16" s="319"/>
      <c r="MMK16" s="319"/>
      <c r="MML16" s="319"/>
      <c r="MMM16" s="319"/>
      <c r="MMN16" s="319"/>
      <c r="MMO16" s="319"/>
      <c r="MMP16" s="319"/>
      <c r="MMQ16" s="319"/>
      <c r="MMR16" s="319"/>
      <c r="MMS16" s="319"/>
      <c r="MMT16" s="319"/>
      <c r="MMU16" s="319"/>
      <c r="MMV16" s="319"/>
      <c r="MMW16" s="319"/>
      <c r="MMX16" s="319"/>
      <c r="MMY16" s="319"/>
      <c r="MMZ16" s="319"/>
      <c r="MNA16" s="319"/>
      <c r="MNB16" s="319"/>
      <c r="MNC16" s="319"/>
      <c r="MND16" s="319"/>
      <c r="MNE16" s="319"/>
      <c r="MNF16" s="319"/>
      <c r="MNG16" s="319"/>
      <c r="MNH16" s="319"/>
      <c r="MNI16" s="319"/>
      <c r="MNJ16" s="319"/>
      <c r="MNK16" s="319"/>
      <c r="MNL16" s="319"/>
      <c r="MNM16" s="319"/>
      <c r="MNN16" s="319"/>
      <c r="MNO16" s="319"/>
      <c r="MNP16" s="319"/>
      <c r="MNQ16" s="319"/>
      <c r="MNR16" s="319"/>
      <c r="MNS16" s="319"/>
      <c r="MNT16" s="319"/>
      <c r="MNU16" s="319"/>
      <c r="MNV16" s="319"/>
      <c r="MNW16" s="319"/>
      <c r="MNX16" s="319"/>
      <c r="MNY16" s="319"/>
      <c r="MNZ16" s="319"/>
      <c r="MOA16" s="319"/>
      <c r="MOB16" s="319"/>
      <c r="MOC16" s="319"/>
      <c r="MOD16" s="319"/>
      <c r="MOE16" s="319"/>
      <c r="MOF16" s="319"/>
      <c r="MOG16" s="319"/>
      <c r="MOH16" s="319"/>
      <c r="MOI16" s="319"/>
      <c r="MOJ16" s="319"/>
      <c r="MOK16" s="319"/>
      <c r="MOL16" s="319"/>
      <c r="MOM16" s="319"/>
      <c r="MON16" s="319"/>
      <c r="MOO16" s="319"/>
      <c r="MOP16" s="319"/>
      <c r="MOQ16" s="319"/>
      <c r="MOR16" s="319"/>
      <c r="MOS16" s="319"/>
      <c r="MOT16" s="319"/>
      <c r="MOU16" s="319"/>
      <c r="MOV16" s="319"/>
      <c r="MOW16" s="319"/>
      <c r="MOX16" s="319"/>
      <c r="MOY16" s="319"/>
      <c r="MOZ16" s="319"/>
      <c r="MPA16" s="319"/>
      <c r="MPB16" s="319"/>
      <c r="MPC16" s="319"/>
      <c r="MPD16" s="319"/>
      <c r="MPE16" s="319"/>
      <c r="MPF16" s="319"/>
      <c r="MPG16" s="319"/>
      <c r="MPH16" s="319"/>
      <c r="MPI16" s="319"/>
      <c r="MPJ16" s="319"/>
      <c r="MPK16" s="319"/>
      <c r="MPL16" s="319"/>
      <c r="MPM16" s="319"/>
      <c r="MPN16" s="319"/>
      <c r="MPO16" s="319"/>
      <c r="MPP16" s="319"/>
      <c r="MPQ16" s="319"/>
      <c r="MPR16" s="319"/>
      <c r="MPS16" s="319"/>
      <c r="MPT16" s="319"/>
      <c r="MPU16" s="319"/>
      <c r="MPV16" s="319"/>
      <c r="MPW16" s="319"/>
      <c r="MPX16" s="319"/>
      <c r="MPY16" s="319"/>
      <c r="MPZ16" s="319"/>
      <c r="MQA16" s="319"/>
      <c r="MQB16" s="319"/>
      <c r="MQC16" s="319"/>
      <c r="MQD16" s="319"/>
      <c r="MQE16" s="319"/>
      <c r="MQF16" s="319"/>
      <c r="MQG16" s="319"/>
      <c r="MQH16" s="319"/>
      <c r="MQI16" s="319"/>
      <c r="MQJ16" s="319"/>
      <c r="MQK16" s="319"/>
      <c r="MQL16" s="319"/>
      <c r="MQM16" s="319"/>
      <c r="MQN16" s="319"/>
      <c r="MQO16" s="319"/>
      <c r="MQP16" s="319"/>
      <c r="MQQ16" s="319"/>
      <c r="MQR16" s="319"/>
      <c r="MQS16" s="319"/>
      <c r="MQT16" s="319"/>
      <c r="MQU16" s="319"/>
      <c r="MQV16" s="319"/>
      <c r="MQW16" s="319"/>
      <c r="MQX16" s="319"/>
      <c r="MQY16" s="319"/>
      <c r="MQZ16" s="319"/>
      <c r="MRA16" s="319"/>
      <c r="MRB16" s="319"/>
      <c r="MRC16" s="319"/>
      <c r="MRD16" s="319"/>
      <c r="MRE16" s="319"/>
      <c r="MRF16" s="319"/>
      <c r="MRG16" s="319"/>
      <c r="MRH16" s="319"/>
      <c r="MRI16" s="319"/>
      <c r="MRJ16" s="319"/>
      <c r="MRK16" s="319"/>
      <c r="MRL16" s="319"/>
      <c r="MRM16" s="319"/>
      <c r="MRN16" s="319"/>
      <c r="MRO16" s="319"/>
      <c r="MRP16" s="319"/>
      <c r="MRQ16" s="319"/>
      <c r="MRR16" s="319"/>
      <c r="MRS16" s="319"/>
      <c r="MRT16" s="319"/>
      <c r="MRU16" s="319"/>
      <c r="MRV16" s="319"/>
      <c r="MRW16" s="319"/>
      <c r="MRX16" s="319"/>
      <c r="MRY16" s="319"/>
      <c r="MRZ16" s="319"/>
      <c r="MSA16" s="319"/>
      <c r="MSB16" s="319"/>
      <c r="MSC16" s="319"/>
      <c r="MSD16" s="319"/>
      <c r="MSE16" s="319"/>
      <c r="MSF16" s="319"/>
      <c r="MSG16" s="319"/>
      <c r="MSH16" s="319"/>
      <c r="MSI16" s="319"/>
      <c r="MSJ16" s="319"/>
      <c r="MSK16" s="319"/>
      <c r="MSL16" s="319"/>
      <c r="MSM16" s="319"/>
      <c r="MSN16" s="319"/>
      <c r="MSO16" s="319"/>
      <c r="MSP16" s="319"/>
      <c r="MSQ16" s="319"/>
      <c r="MSR16" s="319"/>
      <c r="MSS16" s="319"/>
      <c r="MST16" s="319"/>
      <c r="MSU16" s="319"/>
      <c r="MSV16" s="319"/>
      <c r="MSW16" s="319"/>
      <c r="MSX16" s="319"/>
      <c r="MSY16" s="319"/>
      <c r="MSZ16" s="319"/>
      <c r="MTA16" s="319"/>
      <c r="MTB16" s="319"/>
      <c r="MTC16" s="319"/>
      <c r="MTD16" s="319"/>
      <c r="MTE16" s="319"/>
      <c r="MTF16" s="319"/>
      <c r="MTG16" s="319"/>
      <c r="MTH16" s="319"/>
      <c r="MTI16" s="319"/>
      <c r="MTJ16" s="319"/>
      <c r="MTK16" s="319"/>
      <c r="MTL16" s="319"/>
      <c r="MTM16" s="319"/>
      <c r="MTN16" s="319"/>
      <c r="MTO16" s="319"/>
      <c r="MTP16" s="319"/>
      <c r="MTQ16" s="319"/>
      <c r="MTR16" s="319"/>
      <c r="MTS16" s="319"/>
      <c r="MTT16" s="319"/>
      <c r="MTU16" s="319"/>
      <c r="MTV16" s="319"/>
      <c r="MTW16" s="319"/>
      <c r="MTX16" s="319"/>
      <c r="MTY16" s="319"/>
      <c r="MTZ16" s="319"/>
      <c r="MUA16" s="319"/>
      <c r="MUB16" s="319"/>
      <c r="MUC16" s="319"/>
      <c r="MUD16" s="319"/>
      <c r="MUE16" s="319"/>
      <c r="MUF16" s="319"/>
      <c r="MUG16" s="319"/>
      <c r="MUH16" s="319"/>
      <c r="MUI16" s="319"/>
      <c r="MUJ16" s="319"/>
      <c r="MUK16" s="319"/>
      <c r="MUL16" s="319"/>
      <c r="MUM16" s="319"/>
      <c r="MUN16" s="319"/>
      <c r="MUO16" s="319"/>
      <c r="MUP16" s="319"/>
      <c r="MUQ16" s="319"/>
      <c r="MUR16" s="319"/>
      <c r="MUS16" s="319"/>
      <c r="MUT16" s="319"/>
      <c r="MUU16" s="319"/>
      <c r="MUV16" s="319"/>
      <c r="MUW16" s="319"/>
      <c r="MUX16" s="319"/>
      <c r="MUY16" s="319"/>
      <c r="MUZ16" s="319"/>
      <c r="MVA16" s="319"/>
      <c r="MVB16" s="319"/>
      <c r="MVC16" s="319"/>
      <c r="MVD16" s="319"/>
      <c r="MVE16" s="319"/>
      <c r="MVF16" s="319"/>
      <c r="MVG16" s="319"/>
      <c r="MVH16" s="319"/>
      <c r="MVI16" s="319"/>
      <c r="MVJ16" s="319"/>
      <c r="MVK16" s="319"/>
      <c r="MVL16" s="319"/>
      <c r="MVM16" s="319"/>
      <c r="MVN16" s="319"/>
      <c r="MVO16" s="319"/>
      <c r="MVP16" s="319"/>
      <c r="MVQ16" s="319"/>
      <c r="MVR16" s="319"/>
      <c r="MVS16" s="319"/>
      <c r="MVT16" s="319"/>
      <c r="MVU16" s="319"/>
      <c r="MVV16" s="319"/>
      <c r="MVW16" s="319"/>
      <c r="MVX16" s="319"/>
      <c r="MVY16" s="319"/>
      <c r="MVZ16" s="319"/>
      <c r="MWA16" s="319"/>
      <c r="MWB16" s="319"/>
      <c r="MWC16" s="319"/>
      <c r="MWD16" s="319"/>
      <c r="MWE16" s="319"/>
      <c r="MWF16" s="319"/>
      <c r="MWG16" s="319"/>
      <c r="MWH16" s="319"/>
      <c r="MWI16" s="319"/>
      <c r="MWJ16" s="319"/>
      <c r="MWK16" s="319"/>
      <c r="MWL16" s="319"/>
      <c r="MWM16" s="319"/>
      <c r="MWN16" s="319"/>
      <c r="MWO16" s="319"/>
      <c r="MWP16" s="319"/>
      <c r="MWQ16" s="319"/>
      <c r="MWR16" s="319"/>
      <c r="MWS16" s="319"/>
      <c r="MWT16" s="319"/>
      <c r="MWU16" s="319"/>
      <c r="MWV16" s="319"/>
      <c r="MWW16" s="319"/>
      <c r="MWX16" s="319"/>
      <c r="MWY16" s="319"/>
      <c r="MWZ16" s="319"/>
      <c r="MXA16" s="319"/>
      <c r="MXB16" s="319"/>
      <c r="MXC16" s="319"/>
      <c r="MXD16" s="319"/>
      <c r="MXE16" s="319"/>
      <c r="MXF16" s="319"/>
      <c r="MXG16" s="319"/>
      <c r="MXH16" s="319"/>
      <c r="MXI16" s="319"/>
      <c r="MXJ16" s="319"/>
      <c r="MXK16" s="319"/>
      <c r="MXL16" s="319"/>
      <c r="MXM16" s="319"/>
      <c r="MXN16" s="319"/>
      <c r="MXO16" s="319"/>
      <c r="MXP16" s="319"/>
      <c r="MXQ16" s="319"/>
      <c r="MXR16" s="319"/>
      <c r="MXS16" s="319"/>
      <c r="MXT16" s="319"/>
      <c r="MXU16" s="319"/>
      <c r="MXV16" s="319"/>
      <c r="MXW16" s="319"/>
      <c r="MXX16" s="319"/>
      <c r="MXY16" s="319"/>
      <c r="MXZ16" s="319"/>
      <c r="MYA16" s="319"/>
      <c r="MYB16" s="319"/>
      <c r="MYC16" s="319"/>
      <c r="MYD16" s="319"/>
      <c r="MYE16" s="319"/>
      <c r="MYF16" s="319"/>
      <c r="MYG16" s="319"/>
      <c r="MYH16" s="319"/>
      <c r="MYI16" s="319"/>
      <c r="MYJ16" s="319"/>
      <c r="MYK16" s="319"/>
      <c r="MYL16" s="319"/>
      <c r="MYM16" s="319"/>
      <c r="MYN16" s="319"/>
      <c r="MYO16" s="319"/>
      <c r="MYP16" s="319"/>
      <c r="MYQ16" s="319"/>
      <c r="MYR16" s="319"/>
      <c r="MYS16" s="319"/>
      <c r="MYT16" s="319"/>
      <c r="MYU16" s="319"/>
      <c r="MYV16" s="319"/>
      <c r="MYW16" s="319"/>
      <c r="MYX16" s="319"/>
      <c r="MYY16" s="319"/>
      <c r="MYZ16" s="319"/>
      <c r="MZA16" s="319"/>
      <c r="MZB16" s="319"/>
      <c r="MZC16" s="319"/>
      <c r="MZD16" s="319"/>
      <c r="MZE16" s="319"/>
      <c r="MZF16" s="319"/>
      <c r="MZG16" s="319"/>
      <c r="MZH16" s="319"/>
      <c r="MZI16" s="319"/>
      <c r="MZJ16" s="319"/>
      <c r="MZK16" s="319"/>
      <c r="MZL16" s="319"/>
      <c r="MZM16" s="319"/>
      <c r="MZN16" s="319"/>
      <c r="MZO16" s="319"/>
      <c r="MZP16" s="319"/>
      <c r="MZQ16" s="319"/>
      <c r="MZR16" s="319"/>
      <c r="MZS16" s="319"/>
      <c r="MZT16" s="319"/>
      <c r="MZU16" s="319"/>
      <c r="MZV16" s="319"/>
      <c r="MZW16" s="319"/>
      <c r="MZX16" s="319"/>
      <c r="MZY16" s="319"/>
      <c r="MZZ16" s="319"/>
      <c r="NAA16" s="319"/>
      <c r="NAB16" s="319"/>
      <c r="NAC16" s="319"/>
      <c r="NAD16" s="319"/>
      <c r="NAE16" s="319"/>
      <c r="NAF16" s="319"/>
      <c r="NAG16" s="319"/>
      <c r="NAH16" s="319"/>
      <c r="NAI16" s="319"/>
      <c r="NAJ16" s="319"/>
      <c r="NAK16" s="319"/>
      <c r="NAL16" s="319"/>
      <c r="NAM16" s="319"/>
      <c r="NAN16" s="319"/>
      <c r="NAO16" s="319"/>
      <c r="NAP16" s="319"/>
      <c r="NAQ16" s="319"/>
      <c r="NAR16" s="319"/>
      <c r="NAS16" s="319"/>
      <c r="NAT16" s="319"/>
      <c r="NAU16" s="319"/>
      <c r="NAV16" s="319"/>
      <c r="NAW16" s="319"/>
      <c r="NAX16" s="319"/>
      <c r="NAY16" s="319"/>
      <c r="NAZ16" s="319"/>
      <c r="NBA16" s="319"/>
      <c r="NBB16" s="319"/>
      <c r="NBC16" s="319"/>
      <c r="NBD16" s="319"/>
      <c r="NBE16" s="319"/>
      <c r="NBF16" s="319"/>
      <c r="NBG16" s="319"/>
      <c r="NBH16" s="319"/>
      <c r="NBI16" s="319"/>
      <c r="NBJ16" s="319"/>
      <c r="NBK16" s="319"/>
      <c r="NBL16" s="319"/>
      <c r="NBM16" s="319"/>
      <c r="NBN16" s="319"/>
      <c r="NBO16" s="319"/>
      <c r="NBP16" s="319"/>
      <c r="NBQ16" s="319"/>
      <c r="NBR16" s="319"/>
      <c r="NBS16" s="319"/>
      <c r="NBT16" s="319"/>
      <c r="NBU16" s="319"/>
      <c r="NBV16" s="319"/>
      <c r="NBW16" s="319"/>
      <c r="NBX16" s="319"/>
      <c r="NBY16" s="319"/>
      <c r="NBZ16" s="319"/>
      <c r="NCA16" s="319"/>
      <c r="NCB16" s="319"/>
      <c r="NCC16" s="319"/>
      <c r="NCD16" s="319"/>
      <c r="NCE16" s="319"/>
      <c r="NCF16" s="319"/>
      <c r="NCG16" s="319"/>
      <c r="NCH16" s="319"/>
      <c r="NCI16" s="319"/>
      <c r="NCJ16" s="319"/>
      <c r="NCK16" s="319"/>
      <c r="NCL16" s="319"/>
      <c r="NCM16" s="319"/>
      <c r="NCN16" s="319"/>
      <c r="NCO16" s="319"/>
      <c r="NCP16" s="319"/>
      <c r="NCQ16" s="319"/>
      <c r="NCR16" s="319"/>
      <c r="NCS16" s="319"/>
      <c r="NCT16" s="319"/>
      <c r="NCU16" s="319"/>
      <c r="NCV16" s="319"/>
      <c r="NCW16" s="319"/>
      <c r="NCX16" s="319"/>
      <c r="NCY16" s="319"/>
      <c r="NCZ16" s="319"/>
      <c r="NDA16" s="319"/>
      <c r="NDB16" s="319"/>
      <c r="NDC16" s="319"/>
      <c r="NDD16" s="319"/>
      <c r="NDE16" s="319"/>
      <c r="NDF16" s="319"/>
      <c r="NDG16" s="319"/>
      <c r="NDH16" s="319"/>
      <c r="NDI16" s="319"/>
      <c r="NDJ16" s="319"/>
      <c r="NDK16" s="319"/>
      <c r="NDL16" s="319"/>
      <c r="NDM16" s="319"/>
      <c r="NDN16" s="319"/>
      <c r="NDO16" s="319"/>
      <c r="NDP16" s="319"/>
      <c r="NDQ16" s="319"/>
      <c r="NDR16" s="319"/>
      <c r="NDS16" s="319"/>
      <c r="NDT16" s="319"/>
      <c r="NDU16" s="319"/>
      <c r="NDV16" s="319"/>
      <c r="NDW16" s="319"/>
      <c r="NDX16" s="319"/>
      <c r="NDY16" s="319"/>
      <c r="NDZ16" s="319"/>
      <c r="NEA16" s="319"/>
      <c r="NEB16" s="319"/>
      <c r="NEC16" s="319"/>
      <c r="NED16" s="319"/>
      <c r="NEE16" s="319"/>
      <c r="NEF16" s="319"/>
      <c r="NEG16" s="319"/>
      <c r="NEH16" s="319"/>
      <c r="NEI16" s="319"/>
      <c r="NEJ16" s="319"/>
      <c r="NEK16" s="319"/>
      <c r="NEL16" s="319"/>
      <c r="NEM16" s="319"/>
      <c r="NEN16" s="319"/>
      <c r="NEO16" s="319"/>
      <c r="NEP16" s="319"/>
      <c r="NEQ16" s="319"/>
      <c r="NER16" s="319"/>
      <c r="NES16" s="319"/>
      <c r="NET16" s="319"/>
      <c r="NEU16" s="319"/>
      <c r="NEV16" s="319"/>
      <c r="NEW16" s="319"/>
      <c r="NEX16" s="319"/>
      <c r="NEY16" s="319"/>
      <c r="NEZ16" s="319"/>
      <c r="NFA16" s="319"/>
      <c r="NFB16" s="319"/>
      <c r="NFC16" s="319"/>
      <c r="NFD16" s="319"/>
      <c r="NFE16" s="319"/>
      <c r="NFF16" s="319"/>
      <c r="NFG16" s="319"/>
      <c r="NFH16" s="319"/>
      <c r="NFI16" s="319"/>
      <c r="NFJ16" s="319"/>
      <c r="NFK16" s="319"/>
      <c r="NFL16" s="319"/>
      <c r="NFM16" s="319"/>
      <c r="NFN16" s="319"/>
      <c r="NFO16" s="319"/>
      <c r="NFP16" s="319"/>
      <c r="NFQ16" s="319"/>
      <c r="NFR16" s="319"/>
      <c r="NFS16" s="319"/>
      <c r="NFT16" s="319"/>
      <c r="NFU16" s="319"/>
      <c r="NFV16" s="319"/>
      <c r="NFW16" s="319"/>
      <c r="NFX16" s="319"/>
      <c r="NFY16" s="319"/>
      <c r="NFZ16" s="319"/>
      <c r="NGA16" s="319"/>
      <c r="NGB16" s="319"/>
      <c r="NGC16" s="319"/>
      <c r="NGD16" s="319"/>
      <c r="NGE16" s="319"/>
      <c r="NGF16" s="319"/>
      <c r="NGG16" s="319"/>
      <c r="NGH16" s="319"/>
      <c r="NGI16" s="319"/>
      <c r="NGJ16" s="319"/>
      <c r="NGK16" s="319"/>
      <c r="NGL16" s="319"/>
      <c r="NGM16" s="319"/>
      <c r="NGN16" s="319"/>
      <c r="NGO16" s="319"/>
      <c r="NGP16" s="319"/>
      <c r="NGQ16" s="319"/>
      <c r="NGR16" s="319"/>
      <c r="NGS16" s="319"/>
      <c r="NGT16" s="319"/>
      <c r="NGU16" s="319"/>
      <c r="NGV16" s="319"/>
      <c r="NGW16" s="319"/>
      <c r="NGX16" s="319"/>
      <c r="NGY16" s="319"/>
      <c r="NGZ16" s="319"/>
      <c r="NHA16" s="319"/>
      <c r="NHB16" s="319"/>
      <c r="NHC16" s="319"/>
      <c r="NHD16" s="319"/>
      <c r="NHE16" s="319"/>
      <c r="NHF16" s="319"/>
      <c r="NHG16" s="319"/>
      <c r="NHH16" s="319"/>
      <c r="NHI16" s="319"/>
      <c r="NHJ16" s="319"/>
      <c r="NHK16" s="319"/>
      <c r="NHL16" s="319"/>
      <c r="NHM16" s="319"/>
      <c r="NHN16" s="319"/>
      <c r="NHO16" s="319"/>
      <c r="NHP16" s="319"/>
      <c r="NHQ16" s="319"/>
      <c r="NHR16" s="319"/>
      <c r="NHS16" s="319"/>
      <c r="NHT16" s="319"/>
      <c r="NHU16" s="319"/>
      <c r="NHV16" s="319"/>
      <c r="NHW16" s="319"/>
      <c r="NHX16" s="319"/>
      <c r="NHY16" s="319"/>
      <c r="NHZ16" s="319"/>
      <c r="NIA16" s="319"/>
      <c r="NIB16" s="319"/>
      <c r="NIC16" s="319"/>
      <c r="NID16" s="319"/>
      <c r="NIE16" s="319"/>
      <c r="NIF16" s="319"/>
      <c r="NIG16" s="319"/>
      <c r="NIH16" s="319"/>
      <c r="NII16" s="319"/>
      <c r="NIJ16" s="319"/>
      <c r="NIK16" s="319"/>
      <c r="NIL16" s="319"/>
      <c r="NIM16" s="319"/>
      <c r="NIN16" s="319"/>
      <c r="NIO16" s="319"/>
      <c r="NIP16" s="319"/>
      <c r="NIQ16" s="319"/>
      <c r="NIR16" s="319"/>
      <c r="NIS16" s="319"/>
      <c r="NIT16" s="319"/>
      <c r="NIU16" s="319"/>
      <c r="NIV16" s="319"/>
      <c r="NIW16" s="319"/>
      <c r="NIX16" s="319"/>
      <c r="NIY16" s="319"/>
      <c r="NIZ16" s="319"/>
      <c r="NJA16" s="319"/>
      <c r="NJB16" s="319"/>
      <c r="NJC16" s="319"/>
      <c r="NJD16" s="319"/>
      <c r="NJE16" s="319"/>
      <c r="NJF16" s="319"/>
      <c r="NJG16" s="319"/>
      <c r="NJH16" s="319"/>
      <c r="NJI16" s="319"/>
      <c r="NJJ16" s="319"/>
      <c r="NJK16" s="319"/>
      <c r="NJL16" s="319"/>
      <c r="NJM16" s="319"/>
      <c r="NJN16" s="319"/>
      <c r="NJO16" s="319"/>
      <c r="NJP16" s="319"/>
      <c r="NJQ16" s="319"/>
      <c r="NJR16" s="319"/>
      <c r="NJS16" s="319"/>
      <c r="NJT16" s="319"/>
      <c r="NJU16" s="319"/>
      <c r="NJV16" s="319"/>
      <c r="NJW16" s="319"/>
      <c r="NJX16" s="319"/>
      <c r="NJY16" s="319"/>
      <c r="NJZ16" s="319"/>
      <c r="NKA16" s="319"/>
      <c r="NKB16" s="319"/>
      <c r="NKC16" s="319"/>
      <c r="NKD16" s="319"/>
      <c r="NKE16" s="319"/>
      <c r="NKF16" s="319"/>
      <c r="NKG16" s="319"/>
      <c r="NKH16" s="319"/>
      <c r="NKI16" s="319"/>
      <c r="NKJ16" s="319"/>
      <c r="NKK16" s="319"/>
      <c r="NKL16" s="319"/>
      <c r="NKM16" s="319"/>
      <c r="NKN16" s="319"/>
      <c r="NKO16" s="319"/>
      <c r="NKP16" s="319"/>
      <c r="NKQ16" s="319"/>
      <c r="NKR16" s="319"/>
      <c r="NKS16" s="319"/>
      <c r="NKT16" s="319"/>
      <c r="NKU16" s="319"/>
      <c r="NKV16" s="319"/>
      <c r="NKW16" s="319"/>
      <c r="NKX16" s="319"/>
      <c r="NKY16" s="319"/>
      <c r="NKZ16" s="319"/>
      <c r="NLA16" s="319"/>
      <c r="NLB16" s="319"/>
      <c r="NLC16" s="319"/>
      <c r="NLD16" s="319"/>
      <c r="NLE16" s="319"/>
      <c r="NLF16" s="319"/>
      <c r="NLG16" s="319"/>
      <c r="NLH16" s="319"/>
      <c r="NLI16" s="319"/>
      <c r="NLJ16" s="319"/>
      <c r="NLK16" s="319"/>
      <c r="NLL16" s="319"/>
      <c r="NLM16" s="319"/>
      <c r="NLN16" s="319"/>
      <c r="NLO16" s="319"/>
      <c r="NLP16" s="319"/>
      <c r="NLQ16" s="319"/>
      <c r="NLR16" s="319"/>
      <c r="NLS16" s="319"/>
      <c r="NLT16" s="319"/>
      <c r="NLU16" s="319"/>
      <c r="NLV16" s="319"/>
      <c r="NLW16" s="319"/>
      <c r="NLX16" s="319"/>
      <c r="NLY16" s="319"/>
      <c r="NLZ16" s="319"/>
      <c r="NMA16" s="319"/>
      <c r="NMB16" s="319"/>
      <c r="NMC16" s="319"/>
      <c r="NMD16" s="319"/>
      <c r="NME16" s="319"/>
      <c r="NMF16" s="319"/>
      <c r="NMG16" s="319"/>
      <c r="NMH16" s="319"/>
      <c r="NMI16" s="319"/>
      <c r="NMJ16" s="319"/>
      <c r="NMK16" s="319"/>
      <c r="NML16" s="319"/>
      <c r="NMM16" s="319"/>
      <c r="NMN16" s="319"/>
      <c r="NMO16" s="319"/>
      <c r="NMP16" s="319"/>
      <c r="NMQ16" s="319"/>
      <c r="NMR16" s="319"/>
      <c r="NMS16" s="319"/>
      <c r="NMT16" s="319"/>
      <c r="NMU16" s="319"/>
      <c r="NMV16" s="319"/>
      <c r="NMW16" s="319"/>
      <c r="NMX16" s="319"/>
      <c r="NMY16" s="319"/>
      <c r="NMZ16" s="319"/>
      <c r="NNA16" s="319"/>
      <c r="NNB16" s="319"/>
      <c r="NNC16" s="319"/>
      <c r="NND16" s="319"/>
      <c r="NNE16" s="319"/>
      <c r="NNF16" s="319"/>
      <c r="NNG16" s="319"/>
      <c r="NNH16" s="319"/>
      <c r="NNI16" s="319"/>
      <c r="NNJ16" s="319"/>
      <c r="NNK16" s="319"/>
      <c r="NNL16" s="319"/>
      <c r="NNM16" s="319"/>
      <c r="NNN16" s="319"/>
      <c r="NNO16" s="319"/>
      <c r="NNP16" s="319"/>
      <c r="NNQ16" s="319"/>
      <c r="NNR16" s="319"/>
      <c r="NNS16" s="319"/>
      <c r="NNT16" s="319"/>
      <c r="NNU16" s="319"/>
      <c r="NNV16" s="319"/>
      <c r="NNW16" s="319"/>
      <c r="NNX16" s="319"/>
      <c r="NNY16" s="319"/>
      <c r="NNZ16" s="319"/>
      <c r="NOA16" s="319"/>
      <c r="NOB16" s="319"/>
      <c r="NOC16" s="319"/>
      <c r="NOD16" s="319"/>
      <c r="NOE16" s="319"/>
      <c r="NOF16" s="319"/>
      <c r="NOG16" s="319"/>
      <c r="NOH16" s="319"/>
      <c r="NOI16" s="319"/>
      <c r="NOJ16" s="319"/>
      <c r="NOK16" s="319"/>
      <c r="NOL16" s="319"/>
      <c r="NOM16" s="319"/>
      <c r="NON16" s="319"/>
      <c r="NOO16" s="319"/>
      <c r="NOP16" s="319"/>
      <c r="NOQ16" s="319"/>
      <c r="NOR16" s="319"/>
      <c r="NOS16" s="319"/>
      <c r="NOT16" s="319"/>
      <c r="NOU16" s="319"/>
      <c r="NOV16" s="319"/>
      <c r="NOW16" s="319"/>
      <c r="NOX16" s="319"/>
      <c r="NOY16" s="319"/>
      <c r="NOZ16" s="319"/>
      <c r="NPA16" s="319"/>
      <c r="NPB16" s="319"/>
      <c r="NPC16" s="319"/>
      <c r="NPD16" s="319"/>
      <c r="NPE16" s="319"/>
      <c r="NPF16" s="319"/>
      <c r="NPG16" s="319"/>
      <c r="NPH16" s="319"/>
      <c r="NPI16" s="319"/>
      <c r="NPJ16" s="319"/>
      <c r="NPK16" s="319"/>
      <c r="NPL16" s="319"/>
      <c r="NPM16" s="319"/>
      <c r="NPN16" s="319"/>
      <c r="NPO16" s="319"/>
      <c r="NPP16" s="319"/>
      <c r="NPQ16" s="319"/>
      <c r="NPR16" s="319"/>
      <c r="NPS16" s="319"/>
      <c r="NPT16" s="319"/>
      <c r="NPU16" s="319"/>
      <c r="NPV16" s="319"/>
      <c r="NPW16" s="319"/>
      <c r="NPX16" s="319"/>
      <c r="NPY16" s="319"/>
      <c r="NPZ16" s="319"/>
      <c r="NQA16" s="319"/>
      <c r="NQB16" s="319"/>
      <c r="NQC16" s="319"/>
      <c r="NQD16" s="319"/>
      <c r="NQE16" s="319"/>
      <c r="NQF16" s="319"/>
      <c r="NQG16" s="319"/>
      <c r="NQH16" s="319"/>
      <c r="NQI16" s="319"/>
      <c r="NQJ16" s="319"/>
      <c r="NQK16" s="319"/>
      <c r="NQL16" s="319"/>
      <c r="NQM16" s="319"/>
      <c r="NQN16" s="319"/>
      <c r="NQO16" s="319"/>
      <c r="NQP16" s="319"/>
      <c r="NQQ16" s="319"/>
      <c r="NQR16" s="319"/>
      <c r="NQS16" s="319"/>
      <c r="NQT16" s="319"/>
      <c r="NQU16" s="319"/>
      <c r="NQV16" s="319"/>
      <c r="NQW16" s="319"/>
      <c r="NQX16" s="319"/>
      <c r="NQY16" s="319"/>
      <c r="NQZ16" s="319"/>
      <c r="NRA16" s="319"/>
      <c r="NRB16" s="319"/>
      <c r="NRC16" s="319"/>
      <c r="NRD16" s="319"/>
      <c r="NRE16" s="319"/>
      <c r="NRF16" s="319"/>
      <c r="NRG16" s="319"/>
      <c r="NRH16" s="319"/>
      <c r="NRI16" s="319"/>
      <c r="NRJ16" s="319"/>
      <c r="NRK16" s="319"/>
      <c r="NRL16" s="319"/>
      <c r="NRM16" s="319"/>
      <c r="NRN16" s="319"/>
      <c r="NRO16" s="319"/>
      <c r="NRP16" s="319"/>
      <c r="NRQ16" s="319"/>
      <c r="NRR16" s="319"/>
      <c r="NRS16" s="319"/>
      <c r="NRT16" s="319"/>
      <c r="NRU16" s="319"/>
      <c r="NRV16" s="319"/>
      <c r="NRW16" s="319"/>
      <c r="NRX16" s="319"/>
      <c r="NRY16" s="319"/>
      <c r="NRZ16" s="319"/>
      <c r="NSA16" s="319"/>
      <c r="NSB16" s="319"/>
      <c r="NSC16" s="319"/>
      <c r="NSD16" s="319"/>
      <c r="NSE16" s="319"/>
      <c r="NSF16" s="319"/>
      <c r="NSG16" s="319"/>
      <c r="NSH16" s="319"/>
      <c r="NSI16" s="319"/>
      <c r="NSJ16" s="319"/>
      <c r="NSK16" s="319"/>
      <c r="NSL16" s="319"/>
      <c r="NSM16" s="319"/>
      <c r="NSN16" s="319"/>
      <c r="NSO16" s="319"/>
      <c r="NSP16" s="319"/>
      <c r="NSQ16" s="319"/>
      <c r="NSR16" s="319"/>
      <c r="NSS16" s="319"/>
      <c r="NST16" s="319"/>
      <c r="NSU16" s="319"/>
      <c r="NSV16" s="319"/>
      <c r="NSW16" s="319"/>
      <c r="NSX16" s="319"/>
      <c r="NSY16" s="319"/>
      <c r="NSZ16" s="319"/>
      <c r="NTA16" s="319"/>
      <c r="NTB16" s="319"/>
      <c r="NTC16" s="319"/>
      <c r="NTD16" s="319"/>
      <c r="NTE16" s="319"/>
      <c r="NTF16" s="319"/>
      <c r="NTG16" s="319"/>
      <c r="NTH16" s="319"/>
      <c r="NTI16" s="319"/>
      <c r="NTJ16" s="319"/>
      <c r="NTK16" s="319"/>
      <c r="NTL16" s="319"/>
      <c r="NTM16" s="319"/>
      <c r="NTN16" s="319"/>
      <c r="NTO16" s="319"/>
      <c r="NTP16" s="319"/>
      <c r="NTQ16" s="319"/>
      <c r="NTR16" s="319"/>
      <c r="NTS16" s="319"/>
      <c r="NTT16" s="319"/>
      <c r="NTU16" s="319"/>
      <c r="NTV16" s="319"/>
      <c r="NTW16" s="319"/>
      <c r="NTX16" s="319"/>
      <c r="NTY16" s="319"/>
      <c r="NTZ16" s="319"/>
      <c r="NUA16" s="319"/>
      <c r="NUB16" s="319"/>
      <c r="NUC16" s="319"/>
      <c r="NUD16" s="319"/>
      <c r="NUE16" s="319"/>
      <c r="NUF16" s="319"/>
      <c r="NUG16" s="319"/>
      <c r="NUH16" s="319"/>
      <c r="NUI16" s="319"/>
      <c r="NUJ16" s="319"/>
      <c r="NUK16" s="319"/>
      <c r="NUL16" s="319"/>
      <c r="NUM16" s="319"/>
      <c r="NUN16" s="319"/>
      <c r="NUO16" s="319"/>
      <c r="NUP16" s="319"/>
      <c r="NUQ16" s="319"/>
      <c r="NUR16" s="319"/>
      <c r="NUS16" s="319"/>
      <c r="NUT16" s="319"/>
      <c r="NUU16" s="319"/>
      <c r="NUV16" s="319"/>
      <c r="NUW16" s="319"/>
      <c r="NUX16" s="319"/>
      <c r="NUY16" s="319"/>
      <c r="NUZ16" s="319"/>
      <c r="NVA16" s="319"/>
      <c r="NVB16" s="319"/>
      <c r="NVC16" s="319"/>
      <c r="NVD16" s="319"/>
      <c r="NVE16" s="319"/>
      <c r="NVF16" s="319"/>
      <c r="NVG16" s="319"/>
      <c r="NVH16" s="319"/>
      <c r="NVI16" s="319"/>
      <c r="NVJ16" s="319"/>
      <c r="NVK16" s="319"/>
      <c r="NVL16" s="319"/>
      <c r="NVM16" s="319"/>
      <c r="NVN16" s="319"/>
      <c r="NVO16" s="319"/>
      <c r="NVP16" s="319"/>
      <c r="NVQ16" s="319"/>
      <c r="NVR16" s="319"/>
      <c r="NVS16" s="319"/>
      <c r="NVT16" s="319"/>
      <c r="NVU16" s="319"/>
      <c r="NVV16" s="319"/>
      <c r="NVW16" s="319"/>
      <c r="NVX16" s="319"/>
      <c r="NVY16" s="319"/>
      <c r="NVZ16" s="319"/>
      <c r="NWA16" s="319"/>
      <c r="NWB16" s="319"/>
      <c r="NWC16" s="319"/>
      <c r="NWD16" s="319"/>
      <c r="NWE16" s="319"/>
      <c r="NWF16" s="319"/>
      <c r="NWG16" s="319"/>
      <c r="NWH16" s="319"/>
      <c r="NWI16" s="319"/>
      <c r="NWJ16" s="319"/>
      <c r="NWK16" s="319"/>
      <c r="NWL16" s="319"/>
      <c r="NWM16" s="319"/>
      <c r="NWN16" s="319"/>
      <c r="NWO16" s="319"/>
      <c r="NWP16" s="319"/>
      <c r="NWQ16" s="319"/>
      <c r="NWR16" s="319"/>
      <c r="NWS16" s="319"/>
      <c r="NWT16" s="319"/>
      <c r="NWU16" s="319"/>
      <c r="NWV16" s="319"/>
      <c r="NWW16" s="319"/>
      <c r="NWX16" s="319"/>
      <c r="NWY16" s="319"/>
      <c r="NWZ16" s="319"/>
      <c r="NXA16" s="319"/>
      <c r="NXB16" s="319"/>
      <c r="NXC16" s="319"/>
      <c r="NXD16" s="319"/>
      <c r="NXE16" s="319"/>
      <c r="NXF16" s="319"/>
      <c r="NXG16" s="319"/>
      <c r="NXH16" s="319"/>
      <c r="NXI16" s="319"/>
      <c r="NXJ16" s="319"/>
      <c r="NXK16" s="319"/>
      <c r="NXL16" s="319"/>
      <c r="NXM16" s="319"/>
      <c r="NXN16" s="319"/>
      <c r="NXO16" s="319"/>
      <c r="NXP16" s="319"/>
      <c r="NXQ16" s="319"/>
      <c r="NXR16" s="319"/>
      <c r="NXS16" s="319"/>
      <c r="NXT16" s="319"/>
      <c r="NXU16" s="319"/>
      <c r="NXV16" s="319"/>
      <c r="NXW16" s="319"/>
      <c r="NXX16" s="319"/>
      <c r="NXY16" s="319"/>
      <c r="NXZ16" s="319"/>
      <c r="NYA16" s="319"/>
      <c r="NYB16" s="319"/>
      <c r="NYC16" s="319"/>
      <c r="NYD16" s="319"/>
      <c r="NYE16" s="319"/>
      <c r="NYF16" s="319"/>
      <c r="NYG16" s="319"/>
      <c r="NYH16" s="319"/>
      <c r="NYI16" s="319"/>
      <c r="NYJ16" s="319"/>
      <c r="NYK16" s="319"/>
      <c r="NYL16" s="319"/>
      <c r="NYM16" s="319"/>
      <c r="NYN16" s="319"/>
      <c r="NYO16" s="319"/>
      <c r="NYP16" s="319"/>
      <c r="NYQ16" s="319"/>
      <c r="NYR16" s="319"/>
      <c r="NYS16" s="319"/>
      <c r="NYT16" s="319"/>
      <c r="NYU16" s="319"/>
      <c r="NYV16" s="319"/>
      <c r="NYW16" s="319"/>
      <c r="NYX16" s="319"/>
      <c r="NYY16" s="319"/>
      <c r="NYZ16" s="319"/>
      <c r="NZA16" s="319"/>
      <c r="NZB16" s="319"/>
      <c r="NZC16" s="319"/>
      <c r="NZD16" s="319"/>
      <c r="NZE16" s="319"/>
      <c r="NZF16" s="319"/>
      <c r="NZG16" s="319"/>
      <c r="NZH16" s="319"/>
      <c r="NZI16" s="319"/>
      <c r="NZJ16" s="319"/>
      <c r="NZK16" s="319"/>
      <c r="NZL16" s="319"/>
      <c r="NZM16" s="319"/>
      <c r="NZN16" s="319"/>
      <c r="NZO16" s="319"/>
      <c r="NZP16" s="319"/>
      <c r="NZQ16" s="319"/>
      <c r="NZR16" s="319"/>
      <c r="NZS16" s="319"/>
      <c r="NZT16" s="319"/>
      <c r="NZU16" s="319"/>
      <c r="NZV16" s="319"/>
      <c r="NZW16" s="319"/>
      <c r="NZX16" s="319"/>
      <c r="NZY16" s="319"/>
      <c r="NZZ16" s="319"/>
      <c r="OAA16" s="319"/>
      <c r="OAB16" s="319"/>
      <c r="OAC16" s="319"/>
      <c r="OAD16" s="319"/>
      <c r="OAE16" s="319"/>
      <c r="OAF16" s="319"/>
      <c r="OAG16" s="319"/>
      <c r="OAH16" s="319"/>
      <c r="OAI16" s="319"/>
      <c r="OAJ16" s="319"/>
      <c r="OAK16" s="319"/>
      <c r="OAL16" s="319"/>
      <c r="OAM16" s="319"/>
      <c r="OAN16" s="319"/>
      <c r="OAO16" s="319"/>
      <c r="OAP16" s="319"/>
      <c r="OAQ16" s="319"/>
      <c r="OAR16" s="319"/>
      <c r="OAS16" s="319"/>
      <c r="OAT16" s="319"/>
      <c r="OAU16" s="319"/>
      <c r="OAV16" s="319"/>
      <c r="OAW16" s="319"/>
      <c r="OAX16" s="319"/>
      <c r="OAY16" s="319"/>
      <c r="OAZ16" s="319"/>
      <c r="OBA16" s="319"/>
      <c r="OBB16" s="319"/>
      <c r="OBC16" s="319"/>
      <c r="OBD16" s="319"/>
      <c r="OBE16" s="319"/>
      <c r="OBF16" s="319"/>
      <c r="OBG16" s="319"/>
      <c r="OBH16" s="319"/>
      <c r="OBI16" s="319"/>
      <c r="OBJ16" s="319"/>
      <c r="OBK16" s="319"/>
      <c r="OBL16" s="319"/>
      <c r="OBM16" s="319"/>
      <c r="OBN16" s="319"/>
      <c r="OBO16" s="319"/>
      <c r="OBP16" s="319"/>
      <c r="OBQ16" s="319"/>
      <c r="OBR16" s="319"/>
      <c r="OBS16" s="319"/>
      <c r="OBT16" s="319"/>
      <c r="OBU16" s="319"/>
      <c r="OBV16" s="319"/>
      <c r="OBW16" s="319"/>
      <c r="OBX16" s="319"/>
      <c r="OBY16" s="319"/>
      <c r="OBZ16" s="319"/>
      <c r="OCA16" s="319"/>
      <c r="OCB16" s="319"/>
      <c r="OCC16" s="319"/>
      <c r="OCD16" s="319"/>
      <c r="OCE16" s="319"/>
      <c r="OCF16" s="319"/>
      <c r="OCG16" s="319"/>
      <c r="OCH16" s="319"/>
      <c r="OCI16" s="319"/>
      <c r="OCJ16" s="319"/>
      <c r="OCK16" s="319"/>
      <c r="OCL16" s="319"/>
      <c r="OCM16" s="319"/>
      <c r="OCN16" s="319"/>
      <c r="OCO16" s="319"/>
      <c r="OCP16" s="319"/>
      <c r="OCQ16" s="319"/>
      <c r="OCR16" s="319"/>
      <c r="OCS16" s="319"/>
      <c r="OCT16" s="319"/>
      <c r="OCU16" s="319"/>
      <c r="OCV16" s="319"/>
      <c r="OCW16" s="319"/>
      <c r="OCX16" s="319"/>
      <c r="OCY16" s="319"/>
      <c r="OCZ16" s="319"/>
      <c r="ODA16" s="319"/>
      <c r="ODB16" s="319"/>
      <c r="ODC16" s="319"/>
      <c r="ODD16" s="319"/>
      <c r="ODE16" s="319"/>
      <c r="ODF16" s="319"/>
      <c r="ODG16" s="319"/>
      <c r="ODH16" s="319"/>
      <c r="ODI16" s="319"/>
      <c r="ODJ16" s="319"/>
      <c r="ODK16" s="319"/>
      <c r="ODL16" s="319"/>
      <c r="ODM16" s="319"/>
      <c r="ODN16" s="319"/>
      <c r="ODO16" s="319"/>
      <c r="ODP16" s="319"/>
      <c r="ODQ16" s="319"/>
      <c r="ODR16" s="319"/>
      <c r="ODS16" s="319"/>
      <c r="ODT16" s="319"/>
      <c r="ODU16" s="319"/>
      <c r="ODV16" s="319"/>
      <c r="ODW16" s="319"/>
      <c r="ODX16" s="319"/>
      <c r="ODY16" s="319"/>
      <c r="ODZ16" s="319"/>
      <c r="OEA16" s="319"/>
      <c r="OEB16" s="319"/>
      <c r="OEC16" s="319"/>
      <c r="OED16" s="319"/>
      <c r="OEE16" s="319"/>
      <c r="OEF16" s="319"/>
      <c r="OEG16" s="319"/>
      <c r="OEH16" s="319"/>
      <c r="OEI16" s="319"/>
      <c r="OEJ16" s="319"/>
      <c r="OEK16" s="319"/>
      <c r="OEL16" s="319"/>
      <c r="OEM16" s="319"/>
      <c r="OEN16" s="319"/>
      <c r="OEO16" s="319"/>
      <c r="OEP16" s="319"/>
      <c r="OEQ16" s="319"/>
      <c r="OER16" s="319"/>
      <c r="OES16" s="319"/>
      <c r="OET16" s="319"/>
      <c r="OEU16" s="319"/>
      <c r="OEV16" s="319"/>
      <c r="OEW16" s="319"/>
      <c r="OEX16" s="319"/>
      <c r="OEY16" s="319"/>
      <c r="OEZ16" s="319"/>
      <c r="OFA16" s="319"/>
      <c r="OFB16" s="319"/>
      <c r="OFC16" s="319"/>
      <c r="OFD16" s="319"/>
      <c r="OFE16" s="319"/>
      <c r="OFF16" s="319"/>
      <c r="OFG16" s="319"/>
      <c r="OFH16" s="319"/>
      <c r="OFI16" s="319"/>
      <c r="OFJ16" s="319"/>
      <c r="OFK16" s="319"/>
      <c r="OFL16" s="319"/>
      <c r="OFM16" s="319"/>
      <c r="OFN16" s="319"/>
      <c r="OFO16" s="319"/>
      <c r="OFP16" s="319"/>
      <c r="OFQ16" s="319"/>
      <c r="OFR16" s="319"/>
      <c r="OFS16" s="319"/>
      <c r="OFT16" s="319"/>
      <c r="OFU16" s="319"/>
      <c r="OFV16" s="319"/>
      <c r="OFW16" s="319"/>
      <c r="OFX16" s="319"/>
      <c r="OFY16" s="319"/>
      <c r="OFZ16" s="319"/>
      <c r="OGA16" s="319"/>
      <c r="OGB16" s="319"/>
      <c r="OGC16" s="319"/>
      <c r="OGD16" s="319"/>
      <c r="OGE16" s="319"/>
      <c r="OGF16" s="319"/>
      <c r="OGG16" s="319"/>
      <c r="OGH16" s="319"/>
      <c r="OGI16" s="319"/>
      <c r="OGJ16" s="319"/>
      <c r="OGK16" s="319"/>
      <c r="OGL16" s="319"/>
      <c r="OGM16" s="319"/>
      <c r="OGN16" s="319"/>
      <c r="OGO16" s="319"/>
      <c r="OGP16" s="319"/>
      <c r="OGQ16" s="319"/>
      <c r="OGR16" s="319"/>
      <c r="OGS16" s="319"/>
      <c r="OGT16" s="319"/>
      <c r="OGU16" s="319"/>
      <c r="OGV16" s="319"/>
      <c r="OGW16" s="319"/>
      <c r="OGX16" s="319"/>
      <c r="OGY16" s="319"/>
      <c r="OGZ16" s="319"/>
      <c r="OHA16" s="319"/>
      <c r="OHB16" s="319"/>
      <c r="OHC16" s="319"/>
      <c r="OHD16" s="319"/>
      <c r="OHE16" s="319"/>
      <c r="OHF16" s="319"/>
      <c r="OHG16" s="319"/>
      <c r="OHH16" s="319"/>
      <c r="OHI16" s="319"/>
      <c r="OHJ16" s="319"/>
      <c r="OHK16" s="319"/>
      <c r="OHL16" s="319"/>
      <c r="OHM16" s="319"/>
      <c r="OHN16" s="319"/>
      <c r="OHO16" s="319"/>
      <c r="OHP16" s="319"/>
      <c r="OHQ16" s="319"/>
      <c r="OHR16" s="319"/>
      <c r="OHS16" s="319"/>
      <c r="OHT16" s="319"/>
      <c r="OHU16" s="319"/>
      <c r="OHV16" s="319"/>
      <c r="OHW16" s="319"/>
      <c r="OHX16" s="319"/>
      <c r="OHY16" s="319"/>
      <c r="OHZ16" s="319"/>
      <c r="OIA16" s="319"/>
      <c r="OIB16" s="319"/>
      <c r="OIC16" s="319"/>
      <c r="OID16" s="319"/>
      <c r="OIE16" s="319"/>
      <c r="OIF16" s="319"/>
      <c r="OIG16" s="319"/>
      <c r="OIH16" s="319"/>
      <c r="OII16" s="319"/>
      <c r="OIJ16" s="319"/>
      <c r="OIK16" s="319"/>
      <c r="OIL16" s="319"/>
      <c r="OIM16" s="319"/>
      <c r="OIN16" s="319"/>
      <c r="OIO16" s="319"/>
      <c r="OIP16" s="319"/>
      <c r="OIQ16" s="319"/>
      <c r="OIR16" s="319"/>
      <c r="OIS16" s="319"/>
      <c r="OIT16" s="319"/>
      <c r="OIU16" s="319"/>
      <c r="OIV16" s="319"/>
      <c r="OIW16" s="319"/>
      <c r="OIX16" s="319"/>
      <c r="OIY16" s="319"/>
      <c r="OIZ16" s="319"/>
      <c r="OJA16" s="319"/>
      <c r="OJB16" s="319"/>
      <c r="OJC16" s="319"/>
      <c r="OJD16" s="319"/>
      <c r="OJE16" s="319"/>
      <c r="OJF16" s="319"/>
      <c r="OJG16" s="319"/>
      <c r="OJH16" s="319"/>
      <c r="OJI16" s="319"/>
      <c r="OJJ16" s="319"/>
      <c r="OJK16" s="319"/>
      <c r="OJL16" s="319"/>
      <c r="OJM16" s="319"/>
      <c r="OJN16" s="319"/>
      <c r="OJO16" s="319"/>
      <c r="OJP16" s="319"/>
      <c r="OJQ16" s="319"/>
      <c r="OJR16" s="319"/>
      <c r="OJS16" s="319"/>
      <c r="OJT16" s="319"/>
      <c r="OJU16" s="319"/>
      <c r="OJV16" s="319"/>
      <c r="OJW16" s="319"/>
      <c r="OJX16" s="319"/>
      <c r="OJY16" s="319"/>
      <c r="OJZ16" s="319"/>
      <c r="OKA16" s="319"/>
      <c r="OKB16" s="319"/>
      <c r="OKC16" s="319"/>
      <c r="OKD16" s="319"/>
      <c r="OKE16" s="319"/>
      <c r="OKF16" s="319"/>
      <c r="OKG16" s="319"/>
      <c r="OKH16" s="319"/>
      <c r="OKI16" s="319"/>
      <c r="OKJ16" s="319"/>
      <c r="OKK16" s="319"/>
      <c r="OKL16" s="319"/>
      <c r="OKM16" s="319"/>
      <c r="OKN16" s="319"/>
      <c r="OKO16" s="319"/>
      <c r="OKP16" s="319"/>
      <c r="OKQ16" s="319"/>
      <c r="OKR16" s="319"/>
      <c r="OKS16" s="319"/>
      <c r="OKT16" s="319"/>
      <c r="OKU16" s="319"/>
      <c r="OKV16" s="319"/>
      <c r="OKW16" s="319"/>
      <c r="OKX16" s="319"/>
      <c r="OKY16" s="319"/>
      <c r="OKZ16" s="319"/>
      <c r="OLA16" s="319"/>
      <c r="OLB16" s="319"/>
      <c r="OLC16" s="319"/>
      <c r="OLD16" s="319"/>
      <c r="OLE16" s="319"/>
      <c r="OLF16" s="319"/>
      <c r="OLG16" s="319"/>
      <c r="OLH16" s="319"/>
      <c r="OLI16" s="319"/>
      <c r="OLJ16" s="319"/>
      <c r="OLK16" s="319"/>
      <c r="OLL16" s="319"/>
      <c r="OLM16" s="319"/>
      <c r="OLN16" s="319"/>
      <c r="OLO16" s="319"/>
      <c r="OLP16" s="319"/>
      <c r="OLQ16" s="319"/>
      <c r="OLR16" s="319"/>
      <c r="OLS16" s="319"/>
      <c r="OLT16" s="319"/>
      <c r="OLU16" s="319"/>
      <c r="OLV16" s="319"/>
      <c r="OLW16" s="319"/>
      <c r="OLX16" s="319"/>
      <c r="OLY16" s="319"/>
      <c r="OLZ16" s="319"/>
      <c r="OMA16" s="319"/>
      <c r="OMB16" s="319"/>
      <c r="OMC16" s="319"/>
      <c r="OMD16" s="319"/>
      <c r="OME16" s="319"/>
      <c r="OMF16" s="319"/>
      <c r="OMG16" s="319"/>
      <c r="OMH16" s="319"/>
      <c r="OMI16" s="319"/>
      <c r="OMJ16" s="319"/>
      <c r="OMK16" s="319"/>
      <c r="OML16" s="319"/>
      <c r="OMM16" s="319"/>
      <c r="OMN16" s="319"/>
      <c r="OMO16" s="319"/>
      <c r="OMP16" s="319"/>
      <c r="OMQ16" s="319"/>
      <c r="OMR16" s="319"/>
      <c r="OMS16" s="319"/>
      <c r="OMT16" s="319"/>
      <c r="OMU16" s="319"/>
      <c r="OMV16" s="319"/>
      <c r="OMW16" s="319"/>
      <c r="OMX16" s="319"/>
      <c r="OMY16" s="319"/>
      <c r="OMZ16" s="319"/>
      <c r="ONA16" s="319"/>
      <c r="ONB16" s="319"/>
      <c r="ONC16" s="319"/>
      <c r="OND16" s="319"/>
      <c r="ONE16" s="319"/>
      <c r="ONF16" s="319"/>
      <c r="ONG16" s="319"/>
      <c r="ONH16" s="319"/>
      <c r="ONI16" s="319"/>
      <c r="ONJ16" s="319"/>
      <c r="ONK16" s="319"/>
      <c r="ONL16" s="319"/>
      <c r="ONM16" s="319"/>
      <c r="ONN16" s="319"/>
      <c r="ONO16" s="319"/>
      <c r="ONP16" s="319"/>
      <c r="ONQ16" s="319"/>
      <c r="ONR16" s="319"/>
      <c r="ONS16" s="319"/>
      <c r="ONT16" s="319"/>
      <c r="ONU16" s="319"/>
      <c r="ONV16" s="319"/>
      <c r="ONW16" s="319"/>
      <c r="ONX16" s="319"/>
      <c r="ONY16" s="319"/>
      <c r="ONZ16" s="319"/>
      <c r="OOA16" s="319"/>
      <c r="OOB16" s="319"/>
      <c r="OOC16" s="319"/>
      <c r="OOD16" s="319"/>
      <c r="OOE16" s="319"/>
      <c r="OOF16" s="319"/>
      <c r="OOG16" s="319"/>
      <c r="OOH16" s="319"/>
      <c r="OOI16" s="319"/>
      <c r="OOJ16" s="319"/>
      <c r="OOK16" s="319"/>
      <c r="OOL16" s="319"/>
      <c r="OOM16" s="319"/>
      <c r="OON16" s="319"/>
      <c r="OOO16" s="319"/>
      <c r="OOP16" s="319"/>
      <c r="OOQ16" s="319"/>
      <c r="OOR16" s="319"/>
      <c r="OOS16" s="319"/>
      <c r="OOT16" s="319"/>
      <c r="OOU16" s="319"/>
      <c r="OOV16" s="319"/>
      <c r="OOW16" s="319"/>
      <c r="OOX16" s="319"/>
      <c r="OOY16" s="319"/>
      <c r="OOZ16" s="319"/>
      <c r="OPA16" s="319"/>
      <c r="OPB16" s="319"/>
      <c r="OPC16" s="319"/>
      <c r="OPD16" s="319"/>
      <c r="OPE16" s="319"/>
      <c r="OPF16" s="319"/>
      <c r="OPG16" s="319"/>
      <c r="OPH16" s="319"/>
      <c r="OPI16" s="319"/>
      <c r="OPJ16" s="319"/>
      <c r="OPK16" s="319"/>
      <c r="OPL16" s="319"/>
      <c r="OPM16" s="319"/>
      <c r="OPN16" s="319"/>
      <c r="OPO16" s="319"/>
      <c r="OPP16" s="319"/>
      <c r="OPQ16" s="319"/>
      <c r="OPR16" s="319"/>
      <c r="OPS16" s="319"/>
      <c r="OPT16" s="319"/>
      <c r="OPU16" s="319"/>
      <c r="OPV16" s="319"/>
      <c r="OPW16" s="319"/>
      <c r="OPX16" s="319"/>
      <c r="OPY16" s="319"/>
      <c r="OPZ16" s="319"/>
      <c r="OQA16" s="319"/>
      <c r="OQB16" s="319"/>
      <c r="OQC16" s="319"/>
      <c r="OQD16" s="319"/>
      <c r="OQE16" s="319"/>
      <c r="OQF16" s="319"/>
      <c r="OQG16" s="319"/>
      <c r="OQH16" s="319"/>
      <c r="OQI16" s="319"/>
      <c r="OQJ16" s="319"/>
      <c r="OQK16" s="319"/>
      <c r="OQL16" s="319"/>
      <c r="OQM16" s="319"/>
      <c r="OQN16" s="319"/>
      <c r="OQO16" s="319"/>
      <c r="OQP16" s="319"/>
      <c r="OQQ16" s="319"/>
      <c r="OQR16" s="319"/>
      <c r="OQS16" s="319"/>
      <c r="OQT16" s="319"/>
      <c r="OQU16" s="319"/>
      <c r="OQV16" s="319"/>
      <c r="OQW16" s="319"/>
      <c r="OQX16" s="319"/>
      <c r="OQY16" s="319"/>
      <c r="OQZ16" s="319"/>
      <c r="ORA16" s="319"/>
      <c r="ORB16" s="319"/>
      <c r="ORC16" s="319"/>
      <c r="ORD16" s="319"/>
      <c r="ORE16" s="319"/>
      <c r="ORF16" s="319"/>
      <c r="ORG16" s="319"/>
      <c r="ORH16" s="319"/>
      <c r="ORI16" s="319"/>
      <c r="ORJ16" s="319"/>
      <c r="ORK16" s="319"/>
      <c r="ORL16" s="319"/>
      <c r="ORM16" s="319"/>
      <c r="ORN16" s="319"/>
      <c r="ORO16" s="319"/>
      <c r="ORP16" s="319"/>
      <c r="ORQ16" s="319"/>
      <c r="ORR16" s="319"/>
      <c r="ORS16" s="319"/>
      <c r="ORT16" s="319"/>
      <c r="ORU16" s="319"/>
      <c r="ORV16" s="319"/>
      <c r="ORW16" s="319"/>
      <c r="ORX16" s="319"/>
      <c r="ORY16" s="319"/>
      <c r="ORZ16" s="319"/>
      <c r="OSA16" s="319"/>
      <c r="OSB16" s="319"/>
      <c r="OSC16" s="319"/>
      <c r="OSD16" s="319"/>
      <c r="OSE16" s="319"/>
      <c r="OSF16" s="319"/>
      <c r="OSG16" s="319"/>
      <c r="OSH16" s="319"/>
      <c r="OSI16" s="319"/>
      <c r="OSJ16" s="319"/>
      <c r="OSK16" s="319"/>
      <c r="OSL16" s="319"/>
      <c r="OSM16" s="319"/>
      <c r="OSN16" s="319"/>
      <c r="OSO16" s="319"/>
      <c r="OSP16" s="319"/>
      <c r="OSQ16" s="319"/>
      <c r="OSR16" s="319"/>
      <c r="OSS16" s="319"/>
      <c r="OST16" s="319"/>
      <c r="OSU16" s="319"/>
      <c r="OSV16" s="319"/>
      <c r="OSW16" s="319"/>
      <c r="OSX16" s="319"/>
      <c r="OSY16" s="319"/>
      <c r="OSZ16" s="319"/>
      <c r="OTA16" s="319"/>
      <c r="OTB16" s="319"/>
      <c r="OTC16" s="319"/>
      <c r="OTD16" s="319"/>
      <c r="OTE16" s="319"/>
      <c r="OTF16" s="319"/>
      <c r="OTG16" s="319"/>
      <c r="OTH16" s="319"/>
      <c r="OTI16" s="319"/>
      <c r="OTJ16" s="319"/>
      <c r="OTK16" s="319"/>
      <c r="OTL16" s="319"/>
      <c r="OTM16" s="319"/>
      <c r="OTN16" s="319"/>
      <c r="OTO16" s="319"/>
      <c r="OTP16" s="319"/>
      <c r="OTQ16" s="319"/>
      <c r="OTR16" s="319"/>
      <c r="OTS16" s="319"/>
      <c r="OTT16" s="319"/>
      <c r="OTU16" s="319"/>
      <c r="OTV16" s="319"/>
      <c r="OTW16" s="319"/>
      <c r="OTX16" s="319"/>
      <c r="OTY16" s="319"/>
      <c r="OTZ16" s="319"/>
      <c r="OUA16" s="319"/>
      <c r="OUB16" s="319"/>
      <c r="OUC16" s="319"/>
      <c r="OUD16" s="319"/>
      <c r="OUE16" s="319"/>
      <c r="OUF16" s="319"/>
      <c r="OUG16" s="319"/>
      <c r="OUH16" s="319"/>
      <c r="OUI16" s="319"/>
      <c r="OUJ16" s="319"/>
      <c r="OUK16" s="319"/>
      <c r="OUL16" s="319"/>
      <c r="OUM16" s="319"/>
      <c r="OUN16" s="319"/>
      <c r="OUO16" s="319"/>
      <c r="OUP16" s="319"/>
      <c r="OUQ16" s="319"/>
      <c r="OUR16" s="319"/>
      <c r="OUS16" s="319"/>
      <c r="OUT16" s="319"/>
      <c r="OUU16" s="319"/>
      <c r="OUV16" s="319"/>
      <c r="OUW16" s="319"/>
      <c r="OUX16" s="319"/>
      <c r="OUY16" s="319"/>
      <c r="OUZ16" s="319"/>
      <c r="OVA16" s="319"/>
      <c r="OVB16" s="319"/>
      <c r="OVC16" s="319"/>
      <c r="OVD16" s="319"/>
      <c r="OVE16" s="319"/>
      <c r="OVF16" s="319"/>
      <c r="OVG16" s="319"/>
      <c r="OVH16" s="319"/>
      <c r="OVI16" s="319"/>
      <c r="OVJ16" s="319"/>
      <c r="OVK16" s="319"/>
      <c r="OVL16" s="319"/>
      <c r="OVM16" s="319"/>
      <c r="OVN16" s="319"/>
      <c r="OVO16" s="319"/>
      <c r="OVP16" s="319"/>
      <c r="OVQ16" s="319"/>
      <c r="OVR16" s="319"/>
      <c r="OVS16" s="319"/>
      <c r="OVT16" s="319"/>
      <c r="OVU16" s="319"/>
      <c r="OVV16" s="319"/>
      <c r="OVW16" s="319"/>
      <c r="OVX16" s="319"/>
      <c r="OVY16" s="319"/>
      <c r="OVZ16" s="319"/>
      <c r="OWA16" s="319"/>
      <c r="OWB16" s="319"/>
      <c r="OWC16" s="319"/>
      <c r="OWD16" s="319"/>
      <c r="OWE16" s="319"/>
      <c r="OWF16" s="319"/>
      <c r="OWG16" s="319"/>
      <c r="OWH16" s="319"/>
      <c r="OWI16" s="319"/>
      <c r="OWJ16" s="319"/>
      <c r="OWK16" s="319"/>
      <c r="OWL16" s="319"/>
      <c r="OWM16" s="319"/>
      <c r="OWN16" s="319"/>
      <c r="OWO16" s="319"/>
      <c r="OWP16" s="319"/>
      <c r="OWQ16" s="319"/>
      <c r="OWR16" s="319"/>
      <c r="OWS16" s="319"/>
      <c r="OWT16" s="319"/>
      <c r="OWU16" s="319"/>
      <c r="OWV16" s="319"/>
      <c r="OWW16" s="319"/>
      <c r="OWX16" s="319"/>
      <c r="OWY16" s="319"/>
      <c r="OWZ16" s="319"/>
      <c r="OXA16" s="319"/>
      <c r="OXB16" s="319"/>
      <c r="OXC16" s="319"/>
      <c r="OXD16" s="319"/>
      <c r="OXE16" s="319"/>
      <c r="OXF16" s="319"/>
      <c r="OXG16" s="319"/>
      <c r="OXH16" s="319"/>
      <c r="OXI16" s="319"/>
      <c r="OXJ16" s="319"/>
      <c r="OXK16" s="319"/>
      <c r="OXL16" s="319"/>
      <c r="OXM16" s="319"/>
      <c r="OXN16" s="319"/>
      <c r="OXO16" s="319"/>
      <c r="OXP16" s="319"/>
      <c r="OXQ16" s="319"/>
      <c r="OXR16" s="319"/>
      <c r="OXS16" s="319"/>
      <c r="OXT16" s="319"/>
      <c r="OXU16" s="319"/>
      <c r="OXV16" s="319"/>
      <c r="OXW16" s="319"/>
      <c r="OXX16" s="319"/>
      <c r="OXY16" s="319"/>
      <c r="OXZ16" s="319"/>
      <c r="OYA16" s="319"/>
      <c r="OYB16" s="319"/>
      <c r="OYC16" s="319"/>
      <c r="OYD16" s="319"/>
      <c r="OYE16" s="319"/>
      <c r="OYF16" s="319"/>
      <c r="OYG16" s="319"/>
      <c r="OYH16" s="319"/>
      <c r="OYI16" s="319"/>
      <c r="OYJ16" s="319"/>
      <c r="OYK16" s="319"/>
      <c r="OYL16" s="319"/>
      <c r="OYM16" s="319"/>
      <c r="OYN16" s="319"/>
      <c r="OYO16" s="319"/>
      <c r="OYP16" s="319"/>
      <c r="OYQ16" s="319"/>
      <c r="OYR16" s="319"/>
      <c r="OYS16" s="319"/>
      <c r="OYT16" s="319"/>
      <c r="OYU16" s="319"/>
      <c r="OYV16" s="319"/>
      <c r="OYW16" s="319"/>
      <c r="OYX16" s="319"/>
      <c r="OYY16" s="319"/>
      <c r="OYZ16" s="319"/>
      <c r="OZA16" s="319"/>
      <c r="OZB16" s="319"/>
      <c r="OZC16" s="319"/>
      <c r="OZD16" s="319"/>
      <c r="OZE16" s="319"/>
      <c r="OZF16" s="319"/>
      <c r="OZG16" s="319"/>
      <c r="OZH16" s="319"/>
      <c r="OZI16" s="319"/>
      <c r="OZJ16" s="319"/>
      <c r="OZK16" s="319"/>
      <c r="OZL16" s="319"/>
      <c r="OZM16" s="319"/>
      <c r="OZN16" s="319"/>
      <c r="OZO16" s="319"/>
      <c r="OZP16" s="319"/>
      <c r="OZQ16" s="319"/>
      <c r="OZR16" s="319"/>
      <c r="OZS16" s="319"/>
      <c r="OZT16" s="319"/>
      <c r="OZU16" s="319"/>
      <c r="OZV16" s="319"/>
      <c r="OZW16" s="319"/>
      <c r="OZX16" s="319"/>
      <c r="OZY16" s="319"/>
      <c r="OZZ16" s="319"/>
      <c r="PAA16" s="319"/>
      <c r="PAB16" s="319"/>
      <c r="PAC16" s="319"/>
      <c r="PAD16" s="319"/>
      <c r="PAE16" s="319"/>
      <c r="PAF16" s="319"/>
      <c r="PAG16" s="319"/>
      <c r="PAH16" s="319"/>
      <c r="PAI16" s="319"/>
      <c r="PAJ16" s="319"/>
      <c r="PAK16" s="319"/>
      <c r="PAL16" s="319"/>
      <c r="PAM16" s="319"/>
      <c r="PAN16" s="319"/>
      <c r="PAO16" s="319"/>
      <c r="PAP16" s="319"/>
      <c r="PAQ16" s="319"/>
      <c r="PAR16" s="319"/>
      <c r="PAS16" s="319"/>
      <c r="PAT16" s="319"/>
      <c r="PAU16" s="319"/>
      <c r="PAV16" s="319"/>
      <c r="PAW16" s="319"/>
      <c r="PAX16" s="319"/>
      <c r="PAY16" s="319"/>
      <c r="PAZ16" s="319"/>
      <c r="PBA16" s="319"/>
      <c r="PBB16" s="319"/>
      <c r="PBC16" s="319"/>
      <c r="PBD16" s="319"/>
      <c r="PBE16" s="319"/>
      <c r="PBF16" s="319"/>
      <c r="PBG16" s="319"/>
      <c r="PBH16" s="319"/>
      <c r="PBI16" s="319"/>
      <c r="PBJ16" s="319"/>
      <c r="PBK16" s="319"/>
      <c r="PBL16" s="319"/>
      <c r="PBM16" s="319"/>
      <c r="PBN16" s="319"/>
      <c r="PBO16" s="319"/>
      <c r="PBP16" s="319"/>
      <c r="PBQ16" s="319"/>
      <c r="PBR16" s="319"/>
      <c r="PBS16" s="319"/>
      <c r="PBT16" s="319"/>
      <c r="PBU16" s="319"/>
      <c r="PBV16" s="319"/>
      <c r="PBW16" s="319"/>
      <c r="PBX16" s="319"/>
      <c r="PBY16" s="319"/>
      <c r="PBZ16" s="319"/>
      <c r="PCA16" s="319"/>
      <c r="PCB16" s="319"/>
      <c r="PCC16" s="319"/>
      <c r="PCD16" s="319"/>
      <c r="PCE16" s="319"/>
      <c r="PCF16" s="319"/>
      <c r="PCG16" s="319"/>
      <c r="PCH16" s="319"/>
      <c r="PCI16" s="319"/>
      <c r="PCJ16" s="319"/>
      <c r="PCK16" s="319"/>
      <c r="PCL16" s="319"/>
      <c r="PCM16" s="319"/>
      <c r="PCN16" s="319"/>
      <c r="PCO16" s="319"/>
      <c r="PCP16" s="319"/>
      <c r="PCQ16" s="319"/>
      <c r="PCR16" s="319"/>
      <c r="PCS16" s="319"/>
      <c r="PCT16" s="319"/>
      <c r="PCU16" s="319"/>
      <c r="PCV16" s="319"/>
      <c r="PCW16" s="319"/>
      <c r="PCX16" s="319"/>
      <c r="PCY16" s="319"/>
      <c r="PCZ16" s="319"/>
      <c r="PDA16" s="319"/>
      <c r="PDB16" s="319"/>
      <c r="PDC16" s="319"/>
      <c r="PDD16" s="319"/>
      <c r="PDE16" s="319"/>
      <c r="PDF16" s="319"/>
      <c r="PDG16" s="319"/>
      <c r="PDH16" s="319"/>
      <c r="PDI16" s="319"/>
      <c r="PDJ16" s="319"/>
      <c r="PDK16" s="319"/>
      <c r="PDL16" s="319"/>
      <c r="PDM16" s="319"/>
      <c r="PDN16" s="319"/>
      <c r="PDO16" s="319"/>
      <c r="PDP16" s="319"/>
      <c r="PDQ16" s="319"/>
      <c r="PDR16" s="319"/>
      <c r="PDS16" s="319"/>
      <c r="PDT16" s="319"/>
      <c r="PDU16" s="319"/>
      <c r="PDV16" s="319"/>
      <c r="PDW16" s="319"/>
      <c r="PDX16" s="319"/>
      <c r="PDY16" s="319"/>
      <c r="PDZ16" s="319"/>
      <c r="PEA16" s="319"/>
      <c r="PEB16" s="319"/>
      <c r="PEC16" s="319"/>
      <c r="PED16" s="319"/>
      <c r="PEE16" s="319"/>
      <c r="PEF16" s="319"/>
      <c r="PEG16" s="319"/>
      <c r="PEH16" s="319"/>
      <c r="PEI16" s="319"/>
      <c r="PEJ16" s="319"/>
      <c r="PEK16" s="319"/>
      <c r="PEL16" s="319"/>
      <c r="PEM16" s="319"/>
      <c r="PEN16" s="319"/>
      <c r="PEO16" s="319"/>
      <c r="PEP16" s="319"/>
      <c r="PEQ16" s="319"/>
      <c r="PER16" s="319"/>
      <c r="PES16" s="319"/>
      <c r="PET16" s="319"/>
      <c r="PEU16" s="319"/>
      <c r="PEV16" s="319"/>
      <c r="PEW16" s="319"/>
      <c r="PEX16" s="319"/>
      <c r="PEY16" s="319"/>
      <c r="PEZ16" s="319"/>
      <c r="PFA16" s="319"/>
      <c r="PFB16" s="319"/>
      <c r="PFC16" s="319"/>
      <c r="PFD16" s="319"/>
      <c r="PFE16" s="319"/>
      <c r="PFF16" s="319"/>
      <c r="PFG16" s="319"/>
      <c r="PFH16" s="319"/>
      <c r="PFI16" s="319"/>
      <c r="PFJ16" s="319"/>
      <c r="PFK16" s="319"/>
      <c r="PFL16" s="319"/>
      <c r="PFM16" s="319"/>
      <c r="PFN16" s="319"/>
      <c r="PFO16" s="319"/>
      <c r="PFP16" s="319"/>
      <c r="PFQ16" s="319"/>
      <c r="PFR16" s="319"/>
      <c r="PFS16" s="319"/>
      <c r="PFT16" s="319"/>
      <c r="PFU16" s="319"/>
      <c r="PFV16" s="319"/>
      <c r="PFW16" s="319"/>
      <c r="PFX16" s="319"/>
      <c r="PFY16" s="319"/>
      <c r="PFZ16" s="319"/>
      <c r="PGA16" s="319"/>
      <c r="PGB16" s="319"/>
      <c r="PGC16" s="319"/>
      <c r="PGD16" s="319"/>
      <c r="PGE16" s="319"/>
      <c r="PGF16" s="319"/>
      <c r="PGG16" s="319"/>
      <c r="PGH16" s="319"/>
      <c r="PGI16" s="319"/>
      <c r="PGJ16" s="319"/>
      <c r="PGK16" s="319"/>
      <c r="PGL16" s="319"/>
      <c r="PGM16" s="319"/>
      <c r="PGN16" s="319"/>
      <c r="PGO16" s="319"/>
      <c r="PGP16" s="319"/>
      <c r="PGQ16" s="319"/>
      <c r="PGR16" s="319"/>
      <c r="PGS16" s="319"/>
      <c r="PGT16" s="319"/>
      <c r="PGU16" s="319"/>
      <c r="PGV16" s="319"/>
      <c r="PGW16" s="319"/>
      <c r="PGX16" s="319"/>
      <c r="PGY16" s="319"/>
      <c r="PGZ16" s="319"/>
      <c r="PHA16" s="319"/>
      <c r="PHB16" s="319"/>
      <c r="PHC16" s="319"/>
      <c r="PHD16" s="319"/>
      <c r="PHE16" s="319"/>
      <c r="PHF16" s="319"/>
      <c r="PHG16" s="319"/>
      <c r="PHH16" s="319"/>
      <c r="PHI16" s="319"/>
      <c r="PHJ16" s="319"/>
      <c r="PHK16" s="319"/>
      <c r="PHL16" s="319"/>
      <c r="PHM16" s="319"/>
      <c r="PHN16" s="319"/>
      <c r="PHO16" s="319"/>
      <c r="PHP16" s="319"/>
      <c r="PHQ16" s="319"/>
      <c r="PHR16" s="319"/>
      <c r="PHS16" s="319"/>
      <c r="PHT16" s="319"/>
      <c r="PHU16" s="319"/>
      <c r="PHV16" s="319"/>
      <c r="PHW16" s="319"/>
      <c r="PHX16" s="319"/>
      <c r="PHY16" s="319"/>
      <c r="PHZ16" s="319"/>
      <c r="PIA16" s="319"/>
      <c r="PIB16" s="319"/>
      <c r="PIC16" s="319"/>
      <c r="PID16" s="319"/>
      <c r="PIE16" s="319"/>
      <c r="PIF16" s="319"/>
      <c r="PIG16" s="319"/>
      <c r="PIH16" s="319"/>
      <c r="PII16" s="319"/>
      <c r="PIJ16" s="319"/>
      <c r="PIK16" s="319"/>
      <c r="PIL16" s="319"/>
      <c r="PIM16" s="319"/>
      <c r="PIN16" s="319"/>
      <c r="PIO16" s="319"/>
      <c r="PIP16" s="319"/>
      <c r="PIQ16" s="319"/>
      <c r="PIR16" s="319"/>
      <c r="PIS16" s="319"/>
      <c r="PIT16" s="319"/>
      <c r="PIU16" s="319"/>
      <c r="PIV16" s="319"/>
      <c r="PIW16" s="319"/>
      <c r="PIX16" s="319"/>
      <c r="PIY16" s="319"/>
      <c r="PIZ16" s="319"/>
      <c r="PJA16" s="319"/>
      <c r="PJB16" s="319"/>
      <c r="PJC16" s="319"/>
      <c r="PJD16" s="319"/>
      <c r="PJE16" s="319"/>
      <c r="PJF16" s="319"/>
      <c r="PJG16" s="319"/>
      <c r="PJH16" s="319"/>
      <c r="PJI16" s="319"/>
      <c r="PJJ16" s="319"/>
      <c r="PJK16" s="319"/>
      <c r="PJL16" s="319"/>
      <c r="PJM16" s="319"/>
      <c r="PJN16" s="319"/>
      <c r="PJO16" s="319"/>
      <c r="PJP16" s="319"/>
      <c r="PJQ16" s="319"/>
      <c r="PJR16" s="319"/>
      <c r="PJS16" s="319"/>
      <c r="PJT16" s="319"/>
      <c r="PJU16" s="319"/>
      <c r="PJV16" s="319"/>
      <c r="PJW16" s="319"/>
      <c r="PJX16" s="319"/>
      <c r="PJY16" s="319"/>
      <c r="PJZ16" s="319"/>
      <c r="PKA16" s="319"/>
      <c r="PKB16" s="319"/>
      <c r="PKC16" s="319"/>
      <c r="PKD16" s="319"/>
      <c r="PKE16" s="319"/>
      <c r="PKF16" s="319"/>
      <c r="PKG16" s="319"/>
      <c r="PKH16" s="319"/>
      <c r="PKI16" s="319"/>
      <c r="PKJ16" s="319"/>
      <c r="PKK16" s="319"/>
      <c r="PKL16" s="319"/>
      <c r="PKM16" s="319"/>
      <c r="PKN16" s="319"/>
      <c r="PKO16" s="319"/>
      <c r="PKP16" s="319"/>
      <c r="PKQ16" s="319"/>
      <c r="PKR16" s="319"/>
      <c r="PKS16" s="319"/>
      <c r="PKT16" s="319"/>
      <c r="PKU16" s="319"/>
      <c r="PKV16" s="319"/>
      <c r="PKW16" s="319"/>
      <c r="PKX16" s="319"/>
      <c r="PKY16" s="319"/>
      <c r="PKZ16" s="319"/>
      <c r="PLA16" s="319"/>
      <c r="PLB16" s="319"/>
      <c r="PLC16" s="319"/>
      <c r="PLD16" s="319"/>
      <c r="PLE16" s="319"/>
      <c r="PLF16" s="319"/>
      <c r="PLG16" s="319"/>
      <c r="PLH16" s="319"/>
      <c r="PLI16" s="319"/>
      <c r="PLJ16" s="319"/>
      <c r="PLK16" s="319"/>
      <c r="PLL16" s="319"/>
      <c r="PLM16" s="319"/>
      <c r="PLN16" s="319"/>
      <c r="PLO16" s="319"/>
      <c r="PLP16" s="319"/>
      <c r="PLQ16" s="319"/>
      <c r="PLR16" s="319"/>
      <c r="PLS16" s="319"/>
      <c r="PLT16" s="319"/>
      <c r="PLU16" s="319"/>
      <c r="PLV16" s="319"/>
      <c r="PLW16" s="319"/>
      <c r="PLX16" s="319"/>
      <c r="PLY16" s="319"/>
      <c r="PLZ16" s="319"/>
      <c r="PMA16" s="319"/>
      <c r="PMB16" s="319"/>
      <c r="PMC16" s="319"/>
      <c r="PMD16" s="319"/>
      <c r="PME16" s="319"/>
      <c r="PMF16" s="319"/>
      <c r="PMG16" s="319"/>
      <c r="PMH16" s="319"/>
      <c r="PMI16" s="319"/>
      <c r="PMJ16" s="319"/>
      <c r="PMK16" s="319"/>
      <c r="PML16" s="319"/>
      <c r="PMM16" s="319"/>
      <c r="PMN16" s="319"/>
      <c r="PMO16" s="319"/>
      <c r="PMP16" s="319"/>
      <c r="PMQ16" s="319"/>
      <c r="PMR16" s="319"/>
      <c r="PMS16" s="319"/>
      <c r="PMT16" s="319"/>
      <c r="PMU16" s="319"/>
      <c r="PMV16" s="319"/>
      <c r="PMW16" s="319"/>
      <c r="PMX16" s="319"/>
      <c r="PMY16" s="319"/>
      <c r="PMZ16" s="319"/>
      <c r="PNA16" s="319"/>
      <c r="PNB16" s="319"/>
      <c r="PNC16" s="319"/>
      <c r="PND16" s="319"/>
      <c r="PNE16" s="319"/>
      <c r="PNF16" s="319"/>
      <c r="PNG16" s="319"/>
      <c r="PNH16" s="319"/>
      <c r="PNI16" s="319"/>
      <c r="PNJ16" s="319"/>
      <c r="PNK16" s="319"/>
      <c r="PNL16" s="319"/>
      <c r="PNM16" s="319"/>
      <c r="PNN16" s="319"/>
      <c r="PNO16" s="319"/>
      <c r="PNP16" s="319"/>
      <c r="PNQ16" s="319"/>
      <c r="PNR16" s="319"/>
      <c r="PNS16" s="319"/>
      <c r="PNT16" s="319"/>
      <c r="PNU16" s="319"/>
      <c r="PNV16" s="319"/>
      <c r="PNW16" s="319"/>
      <c r="PNX16" s="319"/>
      <c r="PNY16" s="319"/>
      <c r="PNZ16" s="319"/>
      <c r="POA16" s="319"/>
      <c r="POB16" s="319"/>
      <c r="POC16" s="319"/>
      <c r="POD16" s="319"/>
      <c r="POE16" s="319"/>
      <c r="POF16" s="319"/>
      <c r="POG16" s="319"/>
      <c r="POH16" s="319"/>
      <c r="POI16" s="319"/>
      <c r="POJ16" s="319"/>
      <c r="POK16" s="319"/>
      <c r="POL16" s="319"/>
      <c r="POM16" s="319"/>
      <c r="PON16" s="319"/>
      <c r="POO16" s="319"/>
      <c r="POP16" s="319"/>
      <c r="POQ16" s="319"/>
      <c r="POR16" s="319"/>
      <c r="POS16" s="319"/>
      <c r="POT16" s="319"/>
      <c r="POU16" s="319"/>
      <c r="POV16" s="319"/>
      <c r="POW16" s="319"/>
      <c r="POX16" s="319"/>
      <c r="POY16" s="319"/>
      <c r="POZ16" s="319"/>
      <c r="PPA16" s="319"/>
      <c r="PPB16" s="319"/>
      <c r="PPC16" s="319"/>
      <c r="PPD16" s="319"/>
      <c r="PPE16" s="319"/>
      <c r="PPF16" s="319"/>
      <c r="PPG16" s="319"/>
      <c r="PPH16" s="319"/>
      <c r="PPI16" s="319"/>
      <c r="PPJ16" s="319"/>
      <c r="PPK16" s="319"/>
      <c r="PPL16" s="319"/>
      <c r="PPM16" s="319"/>
      <c r="PPN16" s="319"/>
      <c r="PPO16" s="319"/>
      <c r="PPP16" s="319"/>
      <c r="PPQ16" s="319"/>
      <c r="PPR16" s="319"/>
      <c r="PPS16" s="319"/>
      <c r="PPT16" s="319"/>
      <c r="PPU16" s="319"/>
      <c r="PPV16" s="319"/>
      <c r="PPW16" s="319"/>
      <c r="PPX16" s="319"/>
      <c r="PPY16" s="319"/>
      <c r="PPZ16" s="319"/>
      <c r="PQA16" s="319"/>
      <c r="PQB16" s="319"/>
      <c r="PQC16" s="319"/>
      <c r="PQD16" s="319"/>
      <c r="PQE16" s="319"/>
      <c r="PQF16" s="319"/>
      <c r="PQG16" s="319"/>
      <c r="PQH16" s="319"/>
      <c r="PQI16" s="319"/>
      <c r="PQJ16" s="319"/>
      <c r="PQK16" s="319"/>
      <c r="PQL16" s="319"/>
      <c r="PQM16" s="319"/>
      <c r="PQN16" s="319"/>
      <c r="PQO16" s="319"/>
      <c r="PQP16" s="319"/>
      <c r="PQQ16" s="319"/>
      <c r="PQR16" s="319"/>
      <c r="PQS16" s="319"/>
      <c r="PQT16" s="319"/>
      <c r="PQU16" s="319"/>
      <c r="PQV16" s="319"/>
      <c r="PQW16" s="319"/>
      <c r="PQX16" s="319"/>
      <c r="PQY16" s="319"/>
      <c r="PQZ16" s="319"/>
      <c r="PRA16" s="319"/>
      <c r="PRB16" s="319"/>
      <c r="PRC16" s="319"/>
      <c r="PRD16" s="319"/>
      <c r="PRE16" s="319"/>
      <c r="PRF16" s="319"/>
      <c r="PRG16" s="319"/>
      <c r="PRH16" s="319"/>
      <c r="PRI16" s="319"/>
      <c r="PRJ16" s="319"/>
      <c r="PRK16" s="319"/>
      <c r="PRL16" s="319"/>
      <c r="PRM16" s="319"/>
      <c r="PRN16" s="319"/>
      <c r="PRO16" s="319"/>
      <c r="PRP16" s="319"/>
      <c r="PRQ16" s="319"/>
      <c r="PRR16" s="319"/>
      <c r="PRS16" s="319"/>
      <c r="PRT16" s="319"/>
      <c r="PRU16" s="319"/>
      <c r="PRV16" s="319"/>
      <c r="PRW16" s="319"/>
      <c r="PRX16" s="319"/>
      <c r="PRY16" s="319"/>
      <c r="PRZ16" s="319"/>
      <c r="PSA16" s="319"/>
      <c r="PSB16" s="319"/>
      <c r="PSC16" s="319"/>
      <c r="PSD16" s="319"/>
      <c r="PSE16" s="319"/>
      <c r="PSF16" s="319"/>
      <c r="PSG16" s="319"/>
      <c r="PSH16" s="319"/>
      <c r="PSI16" s="319"/>
      <c r="PSJ16" s="319"/>
      <c r="PSK16" s="319"/>
      <c r="PSL16" s="319"/>
      <c r="PSM16" s="319"/>
      <c r="PSN16" s="319"/>
      <c r="PSO16" s="319"/>
      <c r="PSP16" s="319"/>
      <c r="PSQ16" s="319"/>
      <c r="PSR16" s="319"/>
      <c r="PSS16" s="319"/>
      <c r="PST16" s="319"/>
      <c r="PSU16" s="319"/>
      <c r="PSV16" s="319"/>
      <c r="PSW16" s="319"/>
      <c r="PSX16" s="319"/>
      <c r="PSY16" s="319"/>
      <c r="PSZ16" s="319"/>
      <c r="PTA16" s="319"/>
      <c r="PTB16" s="319"/>
      <c r="PTC16" s="319"/>
      <c r="PTD16" s="319"/>
      <c r="PTE16" s="319"/>
      <c r="PTF16" s="319"/>
      <c r="PTG16" s="319"/>
      <c r="PTH16" s="319"/>
      <c r="PTI16" s="319"/>
      <c r="PTJ16" s="319"/>
      <c r="PTK16" s="319"/>
      <c r="PTL16" s="319"/>
      <c r="PTM16" s="319"/>
      <c r="PTN16" s="319"/>
      <c r="PTO16" s="319"/>
      <c r="PTP16" s="319"/>
      <c r="PTQ16" s="319"/>
      <c r="PTR16" s="319"/>
      <c r="PTS16" s="319"/>
      <c r="PTT16" s="319"/>
      <c r="PTU16" s="319"/>
      <c r="PTV16" s="319"/>
      <c r="PTW16" s="319"/>
      <c r="PTX16" s="319"/>
      <c r="PTY16" s="319"/>
      <c r="PTZ16" s="319"/>
      <c r="PUA16" s="319"/>
      <c r="PUB16" s="319"/>
      <c r="PUC16" s="319"/>
      <c r="PUD16" s="319"/>
      <c r="PUE16" s="319"/>
      <c r="PUF16" s="319"/>
      <c r="PUG16" s="319"/>
      <c r="PUH16" s="319"/>
      <c r="PUI16" s="319"/>
      <c r="PUJ16" s="319"/>
      <c r="PUK16" s="319"/>
      <c r="PUL16" s="319"/>
      <c r="PUM16" s="319"/>
      <c r="PUN16" s="319"/>
      <c r="PUO16" s="319"/>
      <c r="PUP16" s="319"/>
      <c r="PUQ16" s="319"/>
      <c r="PUR16" s="319"/>
      <c r="PUS16" s="319"/>
      <c r="PUT16" s="319"/>
      <c r="PUU16" s="319"/>
      <c r="PUV16" s="319"/>
      <c r="PUW16" s="319"/>
      <c r="PUX16" s="319"/>
      <c r="PUY16" s="319"/>
      <c r="PUZ16" s="319"/>
      <c r="PVA16" s="319"/>
      <c r="PVB16" s="319"/>
      <c r="PVC16" s="319"/>
      <c r="PVD16" s="319"/>
      <c r="PVE16" s="319"/>
      <c r="PVF16" s="319"/>
      <c r="PVG16" s="319"/>
      <c r="PVH16" s="319"/>
      <c r="PVI16" s="319"/>
      <c r="PVJ16" s="319"/>
      <c r="PVK16" s="319"/>
      <c r="PVL16" s="319"/>
      <c r="PVM16" s="319"/>
      <c r="PVN16" s="319"/>
      <c r="PVO16" s="319"/>
      <c r="PVP16" s="319"/>
      <c r="PVQ16" s="319"/>
      <c r="PVR16" s="319"/>
      <c r="PVS16" s="319"/>
      <c r="PVT16" s="319"/>
      <c r="PVU16" s="319"/>
      <c r="PVV16" s="319"/>
      <c r="PVW16" s="319"/>
      <c r="PVX16" s="319"/>
      <c r="PVY16" s="319"/>
      <c r="PVZ16" s="319"/>
      <c r="PWA16" s="319"/>
      <c r="PWB16" s="319"/>
      <c r="PWC16" s="319"/>
      <c r="PWD16" s="319"/>
      <c r="PWE16" s="319"/>
      <c r="PWF16" s="319"/>
      <c r="PWG16" s="319"/>
      <c r="PWH16" s="319"/>
      <c r="PWI16" s="319"/>
      <c r="PWJ16" s="319"/>
      <c r="PWK16" s="319"/>
      <c r="PWL16" s="319"/>
      <c r="PWM16" s="319"/>
      <c r="PWN16" s="319"/>
      <c r="PWO16" s="319"/>
      <c r="PWP16" s="319"/>
      <c r="PWQ16" s="319"/>
      <c r="PWR16" s="319"/>
      <c r="PWS16" s="319"/>
      <c r="PWT16" s="319"/>
      <c r="PWU16" s="319"/>
      <c r="PWV16" s="319"/>
      <c r="PWW16" s="319"/>
      <c r="PWX16" s="319"/>
      <c r="PWY16" s="319"/>
      <c r="PWZ16" s="319"/>
      <c r="PXA16" s="319"/>
      <c r="PXB16" s="319"/>
      <c r="PXC16" s="319"/>
      <c r="PXD16" s="319"/>
      <c r="PXE16" s="319"/>
      <c r="PXF16" s="319"/>
      <c r="PXG16" s="319"/>
      <c r="PXH16" s="319"/>
      <c r="PXI16" s="319"/>
      <c r="PXJ16" s="319"/>
      <c r="PXK16" s="319"/>
      <c r="PXL16" s="319"/>
      <c r="PXM16" s="319"/>
      <c r="PXN16" s="319"/>
      <c r="PXO16" s="319"/>
      <c r="PXP16" s="319"/>
      <c r="PXQ16" s="319"/>
      <c r="PXR16" s="319"/>
      <c r="PXS16" s="319"/>
      <c r="PXT16" s="319"/>
      <c r="PXU16" s="319"/>
      <c r="PXV16" s="319"/>
      <c r="PXW16" s="319"/>
      <c r="PXX16" s="319"/>
      <c r="PXY16" s="319"/>
      <c r="PXZ16" s="319"/>
      <c r="PYA16" s="319"/>
      <c r="PYB16" s="319"/>
      <c r="PYC16" s="319"/>
      <c r="PYD16" s="319"/>
      <c r="PYE16" s="319"/>
      <c r="PYF16" s="319"/>
      <c r="PYG16" s="319"/>
      <c r="PYH16" s="319"/>
      <c r="PYI16" s="319"/>
      <c r="PYJ16" s="319"/>
      <c r="PYK16" s="319"/>
      <c r="PYL16" s="319"/>
      <c r="PYM16" s="319"/>
      <c r="PYN16" s="319"/>
      <c r="PYO16" s="319"/>
      <c r="PYP16" s="319"/>
      <c r="PYQ16" s="319"/>
      <c r="PYR16" s="319"/>
      <c r="PYS16" s="319"/>
      <c r="PYT16" s="319"/>
      <c r="PYU16" s="319"/>
      <c r="PYV16" s="319"/>
      <c r="PYW16" s="319"/>
      <c r="PYX16" s="319"/>
      <c r="PYY16" s="319"/>
      <c r="PYZ16" s="319"/>
      <c r="PZA16" s="319"/>
      <c r="PZB16" s="319"/>
      <c r="PZC16" s="319"/>
      <c r="PZD16" s="319"/>
      <c r="PZE16" s="319"/>
      <c r="PZF16" s="319"/>
      <c r="PZG16" s="319"/>
      <c r="PZH16" s="319"/>
      <c r="PZI16" s="319"/>
      <c r="PZJ16" s="319"/>
      <c r="PZK16" s="319"/>
      <c r="PZL16" s="319"/>
      <c r="PZM16" s="319"/>
      <c r="PZN16" s="319"/>
      <c r="PZO16" s="319"/>
      <c r="PZP16" s="319"/>
      <c r="PZQ16" s="319"/>
      <c r="PZR16" s="319"/>
      <c r="PZS16" s="319"/>
      <c r="PZT16" s="319"/>
      <c r="PZU16" s="319"/>
      <c r="PZV16" s="319"/>
      <c r="PZW16" s="319"/>
      <c r="PZX16" s="319"/>
      <c r="PZY16" s="319"/>
      <c r="PZZ16" s="319"/>
      <c r="QAA16" s="319"/>
      <c r="QAB16" s="319"/>
      <c r="QAC16" s="319"/>
      <c r="QAD16" s="319"/>
      <c r="QAE16" s="319"/>
      <c r="QAF16" s="319"/>
      <c r="QAG16" s="319"/>
      <c r="QAH16" s="319"/>
      <c r="QAI16" s="319"/>
      <c r="QAJ16" s="319"/>
      <c r="QAK16" s="319"/>
      <c r="QAL16" s="319"/>
      <c r="QAM16" s="319"/>
      <c r="QAN16" s="319"/>
      <c r="QAO16" s="319"/>
      <c r="QAP16" s="319"/>
      <c r="QAQ16" s="319"/>
      <c r="QAR16" s="319"/>
      <c r="QAS16" s="319"/>
      <c r="QAT16" s="319"/>
      <c r="QAU16" s="319"/>
      <c r="QAV16" s="319"/>
      <c r="QAW16" s="319"/>
      <c r="QAX16" s="319"/>
      <c r="QAY16" s="319"/>
      <c r="QAZ16" s="319"/>
      <c r="QBA16" s="319"/>
      <c r="QBB16" s="319"/>
      <c r="QBC16" s="319"/>
      <c r="QBD16" s="319"/>
      <c r="QBE16" s="319"/>
      <c r="QBF16" s="319"/>
      <c r="QBG16" s="319"/>
      <c r="QBH16" s="319"/>
      <c r="QBI16" s="319"/>
      <c r="QBJ16" s="319"/>
      <c r="QBK16" s="319"/>
      <c r="QBL16" s="319"/>
      <c r="QBM16" s="319"/>
      <c r="QBN16" s="319"/>
      <c r="QBO16" s="319"/>
      <c r="QBP16" s="319"/>
      <c r="QBQ16" s="319"/>
      <c r="QBR16" s="319"/>
      <c r="QBS16" s="319"/>
      <c r="QBT16" s="319"/>
      <c r="QBU16" s="319"/>
      <c r="QBV16" s="319"/>
      <c r="QBW16" s="319"/>
      <c r="QBX16" s="319"/>
      <c r="QBY16" s="319"/>
      <c r="QBZ16" s="319"/>
      <c r="QCA16" s="319"/>
      <c r="QCB16" s="319"/>
      <c r="QCC16" s="319"/>
      <c r="QCD16" s="319"/>
      <c r="QCE16" s="319"/>
      <c r="QCF16" s="319"/>
      <c r="QCG16" s="319"/>
      <c r="QCH16" s="319"/>
      <c r="QCI16" s="319"/>
      <c r="QCJ16" s="319"/>
      <c r="QCK16" s="319"/>
      <c r="QCL16" s="319"/>
      <c r="QCM16" s="319"/>
      <c r="QCN16" s="319"/>
      <c r="QCO16" s="319"/>
      <c r="QCP16" s="319"/>
      <c r="QCQ16" s="319"/>
      <c r="QCR16" s="319"/>
      <c r="QCS16" s="319"/>
      <c r="QCT16" s="319"/>
      <c r="QCU16" s="319"/>
      <c r="QCV16" s="319"/>
      <c r="QCW16" s="319"/>
      <c r="QCX16" s="319"/>
      <c r="QCY16" s="319"/>
      <c r="QCZ16" s="319"/>
      <c r="QDA16" s="319"/>
      <c r="QDB16" s="319"/>
      <c r="QDC16" s="319"/>
      <c r="QDD16" s="319"/>
      <c r="QDE16" s="319"/>
      <c r="QDF16" s="319"/>
      <c r="QDG16" s="319"/>
      <c r="QDH16" s="319"/>
      <c r="QDI16" s="319"/>
      <c r="QDJ16" s="319"/>
      <c r="QDK16" s="319"/>
      <c r="QDL16" s="319"/>
      <c r="QDM16" s="319"/>
      <c r="QDN16" s="319"/>
      <c r="QDO16" s="319"/>
      <c r="QDP16" s="319"/>
      <c r="QDQ16" s="319"/>
      <c r="QDR16" s="319"/>
      <c r="QDS16" s="319"/>
      <c r="QDT16" s="319"/>
      <c r="QDU16" s="319"/>
      <c r="QDV16" s="319"/>
      <c r="QDW16" s="319"/>
      <c r="QDX16" s="319"/>
      <c r="QDY16" s="319"/>
      <c r="QDZ16" s="319"/>
      <c r="QEA16" s="319"/>
      <c r="QEB16" s="319"/>
      <c r="QEC16" s="319"/>
      <c r="QED16" s="319"/>
      <c r="QEE16" s="319"/>
      <c r="QEF16" s="319"/>
      <c r="QEG16" s="319"/>
      <c r="QEH16" s="319"/>
      <c r="QEI16" s="319"/>
      <c r="QEJ16" s="319"/>
      <c r="QEK16" s="319"/>
      <c r="QEL16" s="319"/>
      <c r="QEM16" s="319"/>
      <c r="QEN16" s="319"/>
      <c r="QEO16" s="319"/>
      <c r="QEP16" s="319"/>
      <c r="QEQ16" s="319"/>
      <c r="QER16" s="319"/>
      <c r="QES16" s="319"/>
      <c r="QET16" s="319"/>
      <c r="QEU16" s="319"/>
      <c r="QEV16" s="319"/>
      <c r="QEW16" s="319"/>
      <c r="QEX16" s="319"/>
      <c r="QEY16" s="319"/>
      <c r="QEZ16" s="319"/>
      <c r="QFA16" s="319"/>
      <c r="QFB16" s="319"/>
      <c r="QFC16" s="319"/>
      <c r="QFD16" s="319"/>
      <c r="QFE16" s="319"/>
      <c r="QFF16" s="319"/>
      <c r="QFG16" s="319"/>
      <c r="QFH16" s="319"/>
      <c r="QFI16" s="319"/>
      <c r="QFJ16" s="319"/>
      <c r="QFK16" s="319"/>
      <c r="QFL16" s="319"/>
      <c r="QFM16" s="319"/>
      <c r="QFN16" s="319"/>
      <c r="QFO16" s="319"/>
      <c r="QFP16" s="319"/>
      <c r="QFQ16" s="319"/>
      <c r="QFR16" s="319"/>
      <c r="QFS16" s="319"/>
      <c r="QFT16" s="319"/>
      <c r="QFU16" s="319"/>
      <c r="QFV16" s="319"/>
      <c r="QFW16" s="319"/>
      <c r="QFX16" s="319"/>
      <c r="QFY16" s="319"/>
      <c r="QFZ16" s="319"/>
      <c r="QGA16" s="319"/>
      <c r="QGB16" s="319"/>
      <c r="QGC16" s="319"/>
      <c r="QGD16" s="319"/>
      <c r="QGE16" s="319"/>
      <c r="QGF16" s="319"/>
      <c r="QGG16" s="319"/>
      <c r="QGH16" s="319"/>
      <c r="QGI16" s="319"/>
      <c r="QGJ16" s="319"/>
      <c r="QGK16" s="319"/>
      <c r="QGL16" s="319"/>
      <c r="QGM16" s="319"/>
      <c r="QGN16" s="319"/>
      <c r="QGO16" s="319"/>
      <c r="QGP16" s="319"/>
      <c r="QGQ16" s="319"/>
      <c r="QGR16" s="319"/>
      <c r="QGS16" s="319"/>
      <c r="QGT16" s="319"/>
      <c r="QGU16" s="319"/>
      <c r="QGV16" s="319"/>
      <c r="QGW16" s="319"/>
      <c r="QGX16" s="319"/>
      <c r="QGY16" s="319"/>
      <c r="QGZ16" s="319"/>
      <c r="QHA16" s="319"/>
      <c r="QHB16" s="319"/>
      <c r="QHC16" s="319"/>
      <c r="QHD16" s="319"/>
      <c r="QHE16" s="319"/>
      <c r="QHF16" s="319"/>
      <c r="QHG16" s="319"/>
      <c r="QHH16" s="319"/>
      <c r="QHI16" s="319"/>
      <c r="QHJ16" s="319"/>
      <c r="QHK16" s="319"/>
      <c r="QHL16" s="319"/>
      <c r="QHM16" s="319"/>
      <c r="QHN16" s="319"/>
      <c r="QHO16" s="319"/>
      <c r="QHP16" s="319"/>
      <c r="QHQ16" s="319"/>
      <c r="QHR16" s="319"/>
      <c r="QHS16" s="319"/>
      <c r="QHT16" s="319"/>
      <c r="QHU16" s="319"/>
      <c r="QHV16" s="319"/>
      <c r="QHW16" s="319"/>
      <c r="QHX16" s="319"/>
      <c r="QHY16" s="319"/>
      <c r="QHZ16" s="319"/>
      <c r="QIA16" s="319"/>
      <c r="QIB16" s="319"/>
      <c r="QIC16" s="319"/>
      <c r="QID16" s="319"/>
      <c r="QIE16" s="319"/>
      <c r="QIF16" s="319"/>
      <c r="QIG16" s="319"/>
      <c r="QIH16" s="319"/>
      <c r="QII16" s="319"/>
      <c r="QIJ16" s="319"/>
      <c r="QIK16" s="319"/>
      <c r="QIL16" s="319"/>
      <c r="QIM16" s="319"/>
      <c r="QIN16" s="319"/>
      <c r="QIO16" s="319"/>
      <c r="QIP16" s="319"/>
      <c r="QIQ16" s="319"/>
      <c r="QIR16" s="319"/>
      <c r="QIS16" s="319"/>
      <c r="QIT16" s="319"/>
      <c r="QIU16" s="319"/>
      <c r="QIV16" s="319"/>
      <c r="QIW16" s="319"/>
      <c r="QIX16" s="319"/>
      <c r="QIY16" s="319"/>
      <c r="QIZ16" s="319"/>
      <c r="QJA16" s="319"/>
      <c r="QJB16" s="319"/>
      <c r="QJC16" s="319"/>
      <c r="QJD16" s="319"/>
      <c r="QJE16" s="319"/>
      <c r="QJF16" s="319"/>
      <c r="QJG16" s="319"/>
      <c r="QJH16" s="319"/>
      <c r="QJI16" s="319"/>
      <c r="QJJ16" s="319"/>
      <c r="QJK16" s="319"/>
      <c r="QJL16" s="319"/>
      <c r="QJM16" s="319"/>
      <c r="QJN16" s="319"/>
      <c r="QJO16" s="319"/>
      <c r="QJP16" s="319"/>
      <c r="QJQ16" s="319"/>
      <c r="QJR16" s="319"/>
      <c r="QJS16" s="319"/>
      <c r="QJT16" s="319"/>
      <c r="QJU16" s="319"/>
      <c r="QJV16" s="319"/>
      <c r="QJW16" s="319"/>
      <c r="QJX16" s="319"/>
      <c r="QJY16" s="319"/>
      <c r="QJZ16" s="319"/>
      <c r="QKA16" s="319"/>
      <c r="QKB16" s="319"/>
      <c r="QKC16" s="319"/>
      <c r="QKD16" s="319"/>
      <c r="QKE16" s="319"/>
      <c r="QKF16" s="319"/>
      <c r="QKG16" s="319"/>
      <c r="QKH16" s="319"/>
      <c r="QKI16" s="319"/>
      <c r="QKJ16" s="319"/>
      <c r="QKK16" s="319"/>
      <c r="QKL16" s="319"/>
      <c r="QKM16" s="319"/>
      <c r="QKN16" s="319"/>
      <c r="QKO16" s="319"/>
      <c r="QKP16" s="319"/>
      <c r="QKQ16" s="319"/>
      <c r="QKR16" s="319"/>
      <c r="QKS16" s="319"/>
      <c r="QKT16" s="319"/>
      <c r="QKU16" s="319"/>
      <c r="QKV16" s="319"/>
      <c r="QKW16" s="319"/>
      <c r="QKX16" s="319"/>
      <c r="QKY16" s="319"/>
      <c r="QKZ16" s="319"/>
      <c r="QLA16" s="319"/>
      <c r="QLB16" s="319"/>
      <c r="QLC16" s="319"/>
      <c r="QLD16" s="319"/>
      <c r="QLE16" s="319"/>
      <c r="QLF16" s="319"/>
      <c r="QLG16" s="319"/>
      <c r="QLH16" s="319"/>
      <c r="QLI16" s="319"/>
      <c r="QLJ16" s="319"/>
      <c r="QLK16" s="319"/>
      <c r="QLL16" s="319"/>
      <c r="QLM16" s="319"/>
      <c r="QLN16" s="319"/>
      <c r="QLO16" s="319"/>
      <c r="QLP16" s="319"/>
      <c r="QLQ16" s="319"/>
      <c r="QLR16" s="319"/>
      <c r="QLS16" s="319"/>
      <c r="QLT16" s="319"/>
      <c r="QLU16" s="319"/>
      <c r="QLV16" s="319"/>
      <c r="QLW16" s="319"/>
      <c r="QLX16" s="319"/>
      <c r="QLY16" s="319"/>
      <c r="QLZ16" s="319"/>
      <c r="QMA16" s="319"/>
      <c r="QMB16" s="319"/>
      <c r="QMC16" s="319"/>
      <c r="QMD16" s="319"/>
      <c r="QME16" s="319"/>
      <c r="QMF16" s="319"/>
      <c r="QMG16" s="319"/>
      <c r="QMH16" s="319"/>
      <c r="QMI16" s="319"/>
      <c r="QMJ16" s="319"/>
      <c r="QMK16" s="319"/>
      <c r="QML16" s="319"/>
      <c r="QMM16" s="319"/>
      <c r="QMN16" s="319"/>
      <c r="QMO16" s="319"/>
      <c r="QMP16" s="319"/>
      <c r="QMQ16" s="319"/>
      <c r="QMR16" s="319"/>
      <c r="QMS16" s="319"/>
      <c r="QMT16" s="319"/>
      <c r="QMU16" s="319"/>
      <c r="QMV16" s="319"/>
      <c r="QMW16" s="319"/>
      <c r="QMX16" s="319"/>
      <c r="QMY16" s="319"/>
      <c r="QMZ16" s="319"/>
      <c r="QNA16" s="319"/>
      <c r="QNB16" s="319"/>
      <c r="QNC16" s="319"/>
      <c r="QND16" s="319"/>
      <c r="QNE16" s="319"/>
      <c r="QNF16" s="319"/>
      <c r="QNG16" s="319"/>
      <c r="QNH16" s="319"/>
      <c r="QNI16" s="319"/>
      <c r="QNJ16" s="319"/>
      <c r="QNK16" s="319"/>
      <c r="QNL16" s="319"/>
      <c r="QNM16" s="319"/>
      <c r="QNN16" s="319"/>
      <c r="QNO16" s="319"/>
      <c r="QNP16" s="319"/>
      <c r="QNQ16" s="319"/>
      <c r="QNR16" s="319"/>
      <c r="QNS16" s="319"/>
      <c r="QNT16" s="319"/>
      <c r="QNU16" s="319"/>
      <c r="QNV16" s="319"/>
      <c r="QNW16" s="319"/>
      <c r="QNX16" s="319"/>
      <c r="QNY16" s="319"/>
      <c r="QNZ16" s="319"/>
      <c r="QOA16" s="319"/>
      <c r="QOB16" s="319"/>
      <c r="QOC16" s="319"/>
      <c r="QOD16" s="319"/>
      <c r="QOE16" s="319"/>
      <c r="QOF16" s="319"/>
      <c r="QOG16" s="319"/>
      <c r="QOH16" s="319"/>
      <c r="QOI16" s="319"/>
      <c r="QOJ16" s="319"/>
      <c r="QOK16" s="319"/>
      <c r="QOL16" s="319"/>
      <c r="QOM16" s="319"/>
      <c r="QON16" s="319"/>
      <c r="QOO16" s="319"/>
      <c r="QOP16" s="319"/>
      <c r="QOQ16" s="319"/>
      <c r="QOR16" s="319"/>
      <c r="QOS16" s="319"/>
      <c r="QOT16" s="319"/>
      <c r="QOU16" s="319"/>
      <c r="QOV16" s="319"/>
      <c r="QOW16" s="319"/>
      <c r="QOX16" s="319"/>
      <c r="QOY16" s="319"/>
      <c r="QOZ16" s="319"/>
      <c r="QPA16" s="319"/>
      <c r="QPB16" s="319"/>
      <c r="QPC16" s="319"/>
      <c r="QPD16" s="319"/>
      <c r="QPE16" s="319"/>
      <c r="QPF16" s="319"/>
      <c r="QPG16" s="319"/>
      <c r="QPH16" s="319"/>
      <c r="QPI16" s="319"/>
      <c r="QPJ16" s="319"/>
      <c r="QPK16" s="319"/>
      <c r="QPL16" s="319"/>
      <c r="QPM16" s="319"/>
      <c r="QPN16" s="319"/>
      <c r="QPO16" s="319"/>
      <c r="QPP16" s="319"/>
      <c r="QPQ16" s="319"/>
      <c r="QPR16" s="319"/>
      <c r="QPS16" s="319"/>
      <c r="QPT16" s="319"/>
      <c r="QPU16" s="319"/>
      <c r="QPV16" s="319"/>
      <c r="QPW16" s="319"/>
      <c r="QPX16" s="319"/>
      <c r="QPY16" s="319"/>
      <c r="QPZ16" s="319"/>
      <c r="QQA16" s="319"/>
      <c r="QQB16" s="319"/>
      <c r="QQC16" s="319"/>
      <c r="QQD16" s="319"/>
      <c r="QQE16" s="319"/>
      <c r="QQF16" s="319"/>
      <c r="QQG16" s="319"/>
      <c r="QQH16" s="319"/>
      <c r="QQI16" s="319"/>
      <c r="QQJ16" s="319"/>
      <c r="QQK16" s="319"/>
      <c r="QQL16" s="319"/>
      <c r="QQM16" s="319"/>
      <c r="QQN16" s="319"/>
      <c r="QQO16" s="319"/>
      <c r="QQP16" s="319"/>
      <c r="QQQ16" s="319"/>
      <c r="QQR16" s="319"/>
      <c r="QQS16" s="319"/>
      <c r="QQT16" s="319"/>
      <c r="QQU16" s="319"/>
      <c r="QQV16" s="319"/>
      <c r="QQW16" s="319"/>
      <c r="QQX16" s="319"/>
      <c r="QQY16" s="319"/>
      <c r="QQZ16" s="319"/>
      <c r="QRA16" s="319"/>
      <c r="QRB16" s="319"/>
      <c r="QRC16" s="319"/>
      <c r="QRD16" s="319"/>
      <c r="QRE16" s="319"/>
      <c r="QRF16" s="319"/>
      <c r="QRG16" s="319"/>
      <c r="QRH16" s="319"/>
      <c r="QRI16" s="319"/>
      <c r="QRJ16" s="319"/>
      <c r="QRK16" s="319"/>
      <c r="QRL16" s="319"/>
      <c r="QRM16" s="319"/>
      <c r="QRN16" s="319"/>
      <c r="QRO16" s="319"/>
      <c r="QRP16" s="319"/>
      <c r="QRQ16" s="319"/>
      <c r="QRR16" s="319"/>
      <c r="QRS16" s="319"/>
      <c r="QRT16" s="319"/>
      <c r="QRU16" s="319"/>
      <c r="QRV16" s="319"/>
      <c r="QRW16" s="319"/>
      <c r="QRX16" s="319"/>
      <c r="QRY16" s="319"/>
      <c r="QRZ16" s="319"/>
      <c r="QSA16" s="319"/>
      <c r="QSB16" s="319"/>
      <c r="QSC16" s="319"/>
      <c r="QSD16" s="319"/>
      <c r="QSE16" s="319"/>
      <c r="QSF16" s="319"/>
      <c r="QSG16" s="319"/>
      <c r="QSH16" s="319"/>
      <c r="QSI16" s="319"/>
      <c r="QSJ16" s="319"/>
      <c r="QSK16" s="319"/>
      <c r="QSL16" s="319"/>
      <c r="QSM16" s="319"/>
      <c r="QSN16" s="319"/>
      <c r="QSO16" s="319"/>
      <c r="QSP16" s="319"/>
      <c r="QSQ16" s="319"/>
      <c r="QSR16" s="319"/>
      <c r="QSS16" s="319"/>
      <c r="QST16" s="319"/>
      <c r="QSU16" s="319"/>
      <c r="QSV16" s="319"/>
      <c r="QSW16" s="319"/>
      <c r="QSX16" s="319"/>
      <c r="QSY16" s="319"/>
      <c r="QSZ16" s="319"/>
      <c r="QTA16" s="319"/>
      <c r="QTB16" s="319"/>
      <c r="QTC16" s="319"/>
      <c r="QTD16" s="319"/>
      <c r="QTE16" s="319"/>
      <c r="QTF16" s="319"/>
      <c r="QTG16" s="319"/>
      <c r="QTH16" s="319"/>
      <c r="QTI16" s="319"/>
      <c r="QTJ16" s="319"/>
      <c r="QTK16" s="319"/>
      <c r="QTL16" s="319"/>
      <c r="QTM16" s="319"/>
      <c r="QTN16" s="319"/>
      <c r="QTO16" s="319"/>
      <c r="QTP16" s="319"/>
      <c r="QTQ16" s="319"/>
      <c r="QTR16" s="319"/>
      <c r="QTS16" s="319"/>
      <c r="QTT16" s="319"/>
      <c r="QTU16" s="319"/>
      <c r="QTV16" s="319"/>
      <c r="QTW16" s="319"/>
      <c r="QTX16" s="319"/>
      <c r="QTY16" s="319"/>
      <c r="QTZ16" s="319"/>
      <c r="QUA16" s="319"/>
      <c r="QUB16" s="319"/>
      <c r="QUC16" s="319"/>
      <c r="QUD16" s="319"/>
      <c r="QUE16" s="319"/>
      <c r="QUF16" s="319"/>
      <c r="QUG16" s="319"/>
      <c r="QUH16" s="319"/>
      <c r="QUI16" s="319"/>
      <c r="QUJ16" s="319"/>
      <c r="QUK16" s="319"/>
      <c r="QUL16" s="319"/>
      <c r="QUM16" s="319"/>
      <c r="QUN16" s="319"/>
      <c r="QUO16" s="319"/>
      <c r="QUP16" s="319"/>
      <c r="QUQ16" s="319"/>
      <c r="QUR16" s="319"/>
      <c r="QUS16" s="319"/>
      <c r="QUT16" s="319"/>
      <c r="QUU16" s="319"/>
      <c r="QUV16" s="319"/>
      <c r="QUW16" s="319"/>
      <c r="QUX16" s="319"/>
      <c r="QUY16" s="319"/>
      <c r="QUZ16" s="319"/>
      <c r="QVA16" s="319"/>
      <c r="QVB16" s="319"/>
      <c r="QVC16" s="319"/>
      <c r="QVD16" s="319"/>
      <c r="QVE16" s="319"/>
      <c r="QVF16" s="319"/>
      <c r="QVG16" s="319"/>
      <c r="QVH16" s="319"/>
      <c r="QVI16" s="319"/>
      <c r="QVJ16" s="319"/>
      <c r="QVK16" s="319"/>
      <c r="QVL16" s="319"/>
      <c r="QVM16" s="319"/>
      <c r="QVN16" s="319"/>
      <c r="QVO16" s="319"/>
      <c r="QVP16" s="319"/>
      <c r="QVQ16" s="319"/>
      <c r="QVR16" s="319"/>
      <c r="QVS16" s="319"/>
      <c r="QVT16" s="319"/>
      <c r="QVU16" s="319"/>
      <c r="QVV16" s="319"/>
      <c r="QVW16" s="319"/>
      <c r="QVX16" s="319"/>
      <c r="QVY16" s="319"/>
      <c r="QVZ16" s="319"/>
      <c r="QWA16" s="319"/>
      <c r="QWB16" s="319"/>
      <c r="QWC16" s="319"/>
      <c r="QWD16" s="319"/>
      <c r="QWE16" s="319"/>
      <c r="QWF16" s="319"/>
      <c r="QWG16" s="319"/>
      <c r="QWH16" s="319"/>
      <c r="QWI16" s="319"/>
      <c r="QWJ16" s="319"/>
      <c r="QWK16" s="319"/>
      <c r="QWL16" s="319"/>
      <c r="QWM16" s="319"/>
      <c r="QWN16" s="319"/>
      <c r="QWO16" s="319"/>
      <c r="QWP16" s="319"/>
      <c r="QWQ16" s="319"/>
      <c r="QWR16" s="319"/>
      <c r="QWS16" s="319"/>
      <c r="QWT16" s="319"/>
      <c r="QWU16" s="319"/>
      <c r="QWV16" s="319"/>
      <c r="QWW16" s="319"/>
      <c r="QWX16" s="319"/>
      <c r="QWY16" s="319"/>
      <c r="QWZ16" s="319"/>
      <c r="QXA16" s="319"/>
      <c r="QXB16" s="319"/>
      <c r="QXC16" s="319"/>
      <c r="QXD16" s="319"/>
      <c r="QXE16" s="319"/>
      <c r="QXF16" s="319"/>
      <c r="QXG16" s="319"/>
      <c r="QXH16" s="319"/>
      <c r="QXI16" s="319"/>
      <c r="QXJ16" s="319"/>
      <c r="QXK16" s="319"/>
      <c r="QXL16" s="319"/>
      <c r="QXM16" s="319"/>
      <c r="QXN16" s="319"/>
      <c r="QXO16" s="319"/>
      <c r="QXP16" s="319"/>
      <c r="QXQ16" s="319"/>
      <c r="QXR16" s="319"/>
      <c r="QXS16" s="319"/>
      <c r="QXT16" s="319"/>
      <c r="QXU16" s="319"/>
      <c r="QXV16" s="319"/>
      <c r="QXW16" s="319"/>
      <c r="QXX16" s="319"/>
      <c r="QXY16" s="319"/>
      <c r="QXZ16" s="319"/>
      <c r="QYA16" s="319"/>
      <c r="QYB16" s="319"/>
      <c r="QYC16" s="319"/>
      <c r="QYD16" s="319"/>
      <c r="QYE16" s="319"/>
      <c r="QYF16" s="319"/>
      <c r="QYG16" s="319"/>
      <c r="QYH16" s="319"/>
      <c r="QYI16" s="319"/>
      <c r="QYJ16" s="319"/>
      <c r="QYK16" s="319"/>
      <c r="QYL16" s="319"/>
      <c r="QYM16" s="319"/>
      <c r="QYN16" s="319"/>
      <c r="QYO16" s="319"/>
      <c r="QYP16" s="319"/>
      <c r="QYQ16" s="319"/>
      <c r="QYR16" s="319"/>
      <c r="QYS16" s="319"/>
      <c r="QYT16" s="319"/>
      <c r="QYU16" s="319"/>
      <c r="QYV16" s="319"/>
      <c r="QYW16" s="319"/>
      <c r="QYX16" s="319"/>
      <c r="QYY16" s="319"/>
      <c r="QYZ16" s="319"/>
      <c r="QZA16" s="319"/>
      <c r="QZB16" s="319"/>
      <c r="QZC16" s="319"/>
      <c r="QZD16" s="319"/>
      <c r="QZE16" s="319"/>
      <c r="QZF16" s="319"/>
      <c r="QZG16" s="319"/>
      <c r="QZH16" s="319"/>
      <c r="QZI16" s="319"/>
      <c r="QZJ16" s="319"/>
      <c r="QZK16" s="319"/>
      <c r="QZL16" s="319"/>
      <c r="QZM16" s="319"/>
      <c r="QZN16" s="319"/>
      <c r="QZO16" s="319"/>
      <c r="QZP16" s="319"/>
      <c r="QZQ16" s="319"/>
      <c r="QZR16" s="319"/>
      <c r="QZS16" s="319"/>
      <c r="QZT16" s="319"/>
      <c r="QZU16" s="319"/>
      <c r="QZV16" s="319"/>
      <c r="QZW16" s="319"/>
      <c r="QZX16" s="319"/>
      <c r="QZY16" s="319"/>
      <c r="QZZ16" s="319"/>
      <c r="RAA16" s="319"/>
      <c r="RAB16" s="319"/>
      <c r="RAC16" s="319"/>
      <c r="RAD16" s="319"/>
      <c r="RAE16" s="319"/>
      <c r="RAF16" s="319"/>
      <c r="RAG16" s="319"/>
      <c r="RAH16" s="319"/>
      <c r="RAI16" s="319"/>
      <c r="RAJ16" s="319"/>
      <c r="RAK16" s="319"/>
      <c r="RAL16" s="319"/>
      <c r="RAM16" s="319"/>
      <c r="RAN16" s="319"/>
      <c r="RAO16" s="319"/>
      <c r="RAP16" s="319"/>
      <c r="RAQ16" s="319"/>
      <c r="RAR16" s="319"/>
      <c r="RAS16" s="319"/>
      <c r="RAT16" s="319"/>
      <c r="RAU16" s="319"/>
      <c r="RAV16" s="319"/>
      <c r="RAW16" s="319"/>
      <c r="RAX16" s="319"/>
      <c r="RAY16" s="319"/>
      <c r="RAZ16" s="319"/>
      <c r="RBA16" s="319"/>
      <c r="RBB16" s="319"/>
      <c r="RBC16" s="319"/>
      <c r="RBD16" s="319"/>
      <c r="RBE16" s="319"/>
      <c r="RBF16" s="319"/>
      <c r="RBG16" s="319"/>
      <c r="RBH16" s="319"/>
      <c r="RBI16" s="319"/>
      <c r="RBJ16" s="319"/>
      <c r="RBK16" s="319"/>
      <c r="RBL16" s="319"/>
      <c r="RBM16" s="319"/>
      <c r="RBN16" s="319"/>
      <c r="RBO16" s="319"/>
      <c r="RBP16" s="319"/>
      <c r="RBQ16" s="319"/>
      <c r="RBR16" s="319"/>
      <c r="RBS16" s="319"/>
      <c r="RBT16" s="319"/>
      <c r="RBU16" s="319"/>
      <c r="RBV16" s="319"/>
      <c r="RBW16" s="319"/>
      <c r="RBX16" s="319"/>
      <c r="RBY16" s="319"/>
      <c r="RBZ16" s="319"/>
      <c r="RCA16" s="319"/>
      <c r="RCB16" s="319"/>
      <c r="RCC16" s="319"/>
      <c r="RCD16" s="319"/>
      <c r="RCE16" s="319"/>
      <c r="RCF16" s="319"/>
      <c r="RCG16" s="319"/>
      <c r="RCH16" s="319"/>
      <c r="RCI16" s="319"/>
      <c r="RCJ16" s="319"/>
      <c r="RCK16" s="319"/>
      <c r="RCL16" s="319"/>
      <c r="RCM16" s="319"/>
      <c r="RCN16" s="319"/>
      <c r="RCO16" s="319"/>
      <c r="RCP16" s="319"/>
      <c r="RCQ16" s="319"/>
      <c r="RCR16" s="319"/>
      <c r="RCS16" s="319"/>
      <c r="RCT16" s="319"/>
      <c r="RCU16" s="319"/>
      <c r="RCV16" s="319"/>
      <c r="RCW16" s="319"/>
      <c r="RCX16" s="319"/>
      <c r="RCY16" s="319"/>
      <c r="RCZ16" s="319"/>
      <c r="RDA16" s="319"/>
      <c r="RDB16" s="319"/>
      <c r="RDC16" s="319"/>
      <c r="RDD16" s="319"/>
      <c r="RDE16" s="319"/>
      <c r="RDF16" s="319"/>
      <c r="RDG16" s="319"/>
      <c r="RDH16" s="319"/>
      <c r="RDI16" s="319"/>
      <c r="RDJ16" s="319"/>
      <c r="RDK16" s="319"/>
      <c r="RDL16" s="319"/>
      <c r="RDM16" s="319"/>
      <c r="RDN16" s="319"/>
      <c r="RDO16" s="319"/>
      <c r="RDP16" s="319"/>
      <c r="RDQ16" s="319"/>
      <c r="RDR16" s="319"/>
      <c r="RDS16" s="319"/>
      <c r="RDT16" s="319"/>
      <c r="RDU16" s="319"/>
      <c r="RDV16" s="319"/>
      <c r="RDW16" s="319"/>
      <c r="RDX16" s="319"/>
      <c r="RDY16" s="319"/>
      <c r="RDZ16" s="319"/>
      <c r="REA16" s="319"/>
      <c r="REB16" s="319"/>
      <c r="REC16" s="319"/>
      <c r="RED16" s="319"/>
      <c r="REE16" s="319"/>
      <c r="REF16" s="319"/>
      <c r="REG16" s="319"/>
      <c r="REH16" s="319"/>
      <c r="REI16" s="319"/>
      <c r="REJ16" s="319"/>
      <c r="REK16" s="319"/>
      <c r="REL16" s="319"/>
      <c r="REM16" s="319"/>
      <c r="REN16" s="319"/>
      <c r="REO16" s="319"/>
      <c r="REP16" s="319"/>
      <c r="REQ16" s="319"/>
      <c r="RER16" s="319"/>
      <c r="RES16" s="319"/>
      <c r="RET16" s="319"/>
      <c r="REU16" s="319"/>
      <c r="REV16" s="319"/>
      <c r="REW16" s="319"/>
      <c r="REX16" s="319"/>
      <c r="REY16" s="319"/>
      <c r="REZ16" s="319"/>
      <c r="RFA16" s="319"/>
      <c r="RFB16" s="319"/>
      <c r="RFC16" s="319"/>
      <c r="RFD16" s="319"/>
      <c r="RFE16" s="319"/>
      <c r="RFF16" s="319"/>
      <c r="RFG16" s="319"/>
      <c r="RFH16" s="319"/>
      <c r="RFI16" s="319"/>
      <c r="RFJ16" s="319"/>
      <c r="RFK16" s="319"/>
      <c r="RFL16" s="319"/>
      <c r="RFM16" s="319"/>
      <c r="RFN16" s="319"/>
      <c r="RFO16" s="319"/>
      <c r="RFP16" s="319"/>
      <c r="RFQ16" s="319"/>
      <c r="RFR16" s="319"/>
      <c r="RFS16" s="319"/>
      <c r="RFT16" s="319"/>
      <c r="RFU16" s="319"/>
      <c r="RFV16" s="319"/>
      <c r="RFW16" s="319"/>
      <c r="RFX16" s="319"/>
      <c r="RFY16" s="319"/>
      <c r="RFZ16" s="319"/>
      <c r="RGA16" s="319"/>
      <c r="RGB16" s="319"/>
      <c r="RGC16" s="319"/>
      <c r="RGD16" s="319"/>
      <c r="RGE16" s="319"/>
      <c r="RGF16" s="319"/>
      <c r="RGG16" s="319"/>
      <c r="RGH16" s="319"/>
      <c r="RGI16" s="319"/>
      <c r="RGJ16" s="319"/>
      <c r="RGK16" s="319"/>
      <c r="RGL16" s="319"/>
      <c r="RGM16" s="319"/>
      <c r="RGN16" s="319"/>
      <c r="RGO16" s="319"/>
      <c r="RGP16" s="319"/>
      <c r="RGQ16" s="319"/>
      <c r="RGR16" s="319"/>
      <c r="RGS16" s="319"/>
      <c r="RGT16" s="319"/>
      <c r="RGU16" s="319"/>
      <c r="RGV16" s="319"/>
      <c r="RGW16" s="319"/>
      <c r="RGX16" s="319"/>
      <c r="RGY16" s="319"/>
      <c r="RGZ16" s="319"/>
      <c r="RHA16" s="319"/>
      <c r="RHB16" s="319"/>
      <c r="RHC16" s="319"/>
      <c r="RHD16" s="319"/>
      <c r="RHE16" s="319"/>
      <c r="RHF16" s="319"/>
      <c r="RHG16" s="319"/>
      <c r="RHH16" s="319"/>
      <c r="RHI16" s="319"/>
      <c r="RHJ16" s="319"/>
      <c r="RHK16" s="319"/>
      <c r="RHL16" s="319"/>
      <c r="RHM16" s="319"/>
      <c r="RHN16" s="319"/>
      <c r="RHO16" s="319"/>
      <c r="RHP16" s="319"/>
      <c r="RHQ16" s="319"/>
      <c r="RHR16" s="319"/>
      <c r="RHS16" s="319"/>
      <c r="RHT16" s="319"/>
      <c r="RHU16" s="319"/>
      <c r="RHV16" s="319"/>
      <c r="RHW16" s="319"/>
      <c r="RHX16" s="319"/>
      <c r="RHY16" s="319"/>
      <c r="RHZ16" s="319"/>
      <c r="RIA16" s="319"/>
      <c r="RIB16" s="319"/>
      <c r="RIC16" s="319"/>
      <c r="RID16" s="319"/>
      <c r="RIE16" s="319"/>
      <c r="RIF16" s="319"/>
      <c r="RIG16" s="319"/>
      <c r="RIH16" s="319"/>
      <c r="RII16" s="319"/>
      <c r="RIJ16" s="319"/>
      <c r="RIK16" s="319"/>
      <c r="RIL16" s="319"/>
      <c r="RIM16" s="319"/>
      <c r="RIN16" s="319"/>
      <c r="RIO16" s="319"/>
      <c r="RIP16" s="319"/>
      <c r="RIQ16" s="319"/>
      <c r="RIR16" s="319"/>
      <c r="RIS16" s="319"/>
      <c r="RIT16" s="319"/>
      <c r="RIU16" s="319"/>
      <c r="RIV16" s="319"/>
      <c r="RIW16" s="319"/>
      <c r="RIX16" s="319"/>
      <c r="RIY16" s="319"/>
      <c r="RIZ16" s="319"/>
      <c r="RJA16" s="319"/>
      <c r="RJB16" s="319"/>
      <c r="RJC16" s="319"/>
      <c r="RJD16" s="319"/>
      <c r="RJE16" s="319"/>
      <c r="RJF16" s="319"/>
      <c r="RJG16" s="319"/>
      <c r="RJH16" s="319"/>
      <c r="RJI16" s="319"/>
      <c r="RJJ16" s="319"/>
      <c r="RJK16" s="319"/>
      <c r="RJL16" s="319"/>
      <c r="RJM16" s="319"/>
      <c r="RJN16" s="319"/>
      <c r="RJO16" s="319"/>
      <c r="RJP16" s="319"/>
      <c r="RJQ16" s="319"/>
      <c r="RJR16" s="319"/>
      <c r="RJS16" s="319"/>
      <c r="RJT16" s="319"/>
      <c r="RJU16" s="319"/>
      <c r="RJV16" s="319"/>
      <c r="RJW16" s="319"/>
      <c r="RJX16" s="319"/>
      <c r="RJY16" s="319"/>
      <c r="RJZ16" s="319"/>
      <c r="RKA16" s="319"/>
      <c r="RKB16" s="319"/>
      <c r="RKC16" s="319"/>
      <c r="RKD16" s="319"/>
      <c r="RKE16" s="319"/>
      <c r="RKF16" s="319"/>
      <c r="RKG16" s="319"/>
      <c r="RKH16" s="319"/>
      <c r="RKI16" s="319"/>
      <c r="RKJ16" s="319"/>
      <c r="RKK16" s="319"/>
      <c r="RKL16" s="319"/>
      <c r="RKM16" s="319"/>
      <c r="RKN16" s="319"/>
      <c r="RKO16" s="319"/>
      <c r="RKP16" s="319"/>
      <c r="RKQ16" s="319"/>
      <c r="RKR16" s="319"/>
      <c r="RKS16" s="319"/>
      <c r="RKT16" s="319"/>
      <c r="RKU16" s="319"/>
      <c r="RKV16" s="319"/>
      <c r="RKW16" s="319"/>
      <c r="RKX16" s="319"/>
      <c r="RKY16" s="319"/>
      <c r="RKZ16" s="319"/>
      <c r="RLA16" s="319"/>
      <c r="RLB16" s="319"/>
      <c r="RLC16" s="319"/>
      <c r="RLD16" s="319"/>
      <c r="RLE16" s="319"/>
      <c r="RLF16" s="319"/>
      <c r="RLG16" s="319"/>
      <c r="RLH16" s="319"/>
      <c r="RLI16" s="319"/>
      <c r="RLJ16" s="319"/>
      <c r="RLK16" s="319"/>
      <c r="RLL16" s="319"/>
      <c r="RLM16" s="319"/>
      <c r="RLN16" s="319"/>
      <c r="RLO16" s="319"/>
      <c r="RLP16" s="319"/>
      <c r="RLQ16" s="319"/>
      <c r="RLR16" s="319"/>
      <c r="RLS16" s="319"/>
      <c r="RLT16" s="319"/>
      <c r="RLU16" s="319"/>
      <c r="RLV16" s="319"/>
      <c r="RLW16" s="319"/>
      <c r="RLX16" s="319"/>
      <c r="RLY16" s="319"/>
      <c r="RLZ16" s="319"/>
      <c r="RMA16" s="319"/>
      <c r="RMB16" s="319"/>
      <c r="RMC16" s="319"/>
      <c r="RMD16" s="319"/>
      <c r="RME16" s="319"/>
      <c r="RMF16" s="319"/>
      <c r="RMG16" s="319"/>
      <c r="RMH16" s="319"/>
      <c r="RMI16" s="319"/>
      <c r="RMJ16" s="319"/>
      <c r="RMK16" s="319"/>
      <c r="RML16" s="319"/>
      <c r="RMM16" s="319"/>
      <c r="RMN16" s="319"/>
      <c r="RMO16" s="319"/>
      <c r="RMP16" s="319"/>
      <c r="RMQ16" s="319"/>
      <c r="RMR16" s="319"/>
      <c r="RMS16" s="319"/>
      <c r="RMT16" s="319"/>
      <c r="RMU16" s="319"/>
      <c r="RMV16" s="319"/>
      <c r="RMW16" s="319"/>
      <c r="RMX16" s="319"/>
      <c r="RMY16" s="319"/>
      <c r="RMZ16" s="319"/>
      <c r="RNA16" s="319"/>
      <c r="RNB16" s="319"/>
      <c r="RNC16" s="319"/>
      <c r="RND16" s="319"/>
      <c r="RNE16" s="319"/>
      <c r="RNF16" s="319"/>
      <c r="RNG16" s="319"/>
      <c r="RNH16" s="319"/>
      <c r="RNI16" s="319"/>
      <c r="RNJ16" s="319"/>
      <c r="RNK16" s="319"/>
      <c r="RNL16" s="319"/>
      <c r="RNM16" s="319"/>
      <c r="RNN16" s="319"/>
      <c r="RNO16" s="319"/>
      <c r="RNP16" s="319"/>
      <c r="RNQ16" s="319"/>
      <c r="RNR16" s="319"/>
      <c r="RNS16" s="319"/>
      <c r="RNT16" s="319"/>
      <c r="RNU16" s="319"/>
      <c r="RNV16" s="319"/>
      <c r="RNW16" s="319"/>
      <c r="RNX16" s="319"/>
      <c r="RNY16" s="319"/>
      <c r="RNZ16" s="319"/>
      <c r="ROA16" s="319"/>
      <c r="ROB16" s="319"/>
      <c r="ROC16" s="319"/>
      <c r="ROD16" s="319"/>
      <c r="ROE16" s="319"/>
      <c r="ROF16" s="319"/>
      <c r="ROG16" s="319"/>
      <c r="ROH16" s="319"/>
      <c r="ROI16" s="319"/>
      <c r="ROJ16" s="319"/>
      <c r="ROK16" s="319"/>
      <c r="ROL16" s="319"/>
      <c r="ROM16" s="319"/>
      <c r="RON16" s="319"/>
      <c r="ROO16" s="319"/>
      <c r="ROP16" s="319"/>
      <c r="ROQ16" s="319"/>
      <c r="ROR16" s="319"/>
      <c r="ROS16" s="319"/>
      <c r="ROT16" s="319"/>
      <c r="ROU16" s="319"/>
      <c r="ROV16" s="319"/>
      <c r="ROW16" s="319"/>
      <c r="ROX16" s="319"/>
      <c r="ROY16" s="319"/>
      <c r="ROZ16" s="319"/>
      <c r="RPA16" s="319"/>
      <c r="RPB16" s="319"/>
      <c r="RPC16" s="319"/>
      <c r="RPD16" s="319"/>
      <c r="RPE16" s="319"/>
      <c r="RPF16" s="319"/>
      <c r="RPG16" s="319"/>
      <c r="RPH16" s="319"/>
      <c r="RPI16" s="319"/>
      <c r="RPJ16" s="319"/>
      <c r="RPK16" s="319"/>
      <c r="RPL16" s="319"/>
      <c r="RPM16" s="319"/>
      <c r="RPN16" s="319"/>
      <c r="RPO16" s="319"/>
      <c r="RPP16" s="319"/>
      <c r="RPQ16" s="319"/>
      <c r="RPR16" s="319"/>
      <c r="RPS16" s="319"/>
      <c r="RPT16" s="319"/>
      <c r="RPU16" s="319"/>
      <c r="RPV16" s="319"/>
      <c r="RPW16" s="319"/>
      <c r="RPX16" s="319"/>
      <c r="RPY16" s="319"/>
      <c r="RPZ16" s="319"/>
      <c r="RQA16" s="319"/>
      <c r="RQB16" s="319"/>
      <c r="RQC16" s="319"/>
      <c r="RQD16" s="319"/>
      <c r="RQE16" s="319"/>
      <c r="RQF16" s="319"/>
      <c r="RQG16" s="319"/>
      <c r="RQH16" s="319"/>
      <c r="RQI16" s="319"/>
      <c r="RQJ16" s="319"/>
      <c r="RQK16" s="319"/>
      <c r="RQL16" s="319"/>
      <c r="RQM16" s="319"/>
      <c r="RQN16" s="319"/>
      <c r="RQO16" s="319"/>
      <c r="RQP16" s="319"/>
      <c r="RQQ16" s="319"/>
      <c r="RQR16" s="319"/>
      <c r="RQS16" s="319"/>
      <c r="RQT16" s="319"/>
      <c r="RQU16" s="319"/>
      <c r="RQV16" s="319"/>
      <c r="RQW16" s="319"/>
      <c r="RQX16" s="319"/>
      <c r="RQY16" s="319"/>
      <c r="RQZ16" s="319"/>
      <c r="RRA16" s="319"/>
      <c r="RRB16" s="319"/>
      <c r="RRC16" s="319"/>
      <c r="RRD16" s="319"/>
      <c r="RRE16" s="319"/>
      <c r="RRF16" s="319"/>
      <c r="RRG16" s="319"/>
      <c r="RRH16" s="319"/>
      <c r="RRI16" s="319"/>
      <c r="RRJ16" s="319"/>
      <c r="RRK16" s="319"/>
      <c r="RRL16" s="319"/>
      <c r="RRM16" s="319"/>
      <c r="RRN16" s="319"/>
      <c r="RRO16" s="319"/>
      <c r="RRP16" s="319"/>
      <c r="RRQ16" s="319"/>
      <c r="RRR16" s="319"/>
      <c r="RRS16" s="319"/>
      <c r="RRT16" s="319"/>
      <c r="RRU16" s="319"/>
      <c r="RRV16" s="319"/>
      <c r="RRW16" s="319"/>
      <c r="RRX16" s="319"/>
      <c r="RRY16" s="319"/>
      <c r="RRZ16" s="319"/>
      <c r="RSA16" s="319"/>
      <c r="RSB16" s="319"/>
      <c r="RSC16" s="319"/>
      <c r="RSD16" s="319"/>
      <c r="RSE16" s="319"/>
      <c r="RSF16" s="319"/>
      <c r="RSG16" s="319"/>
      <c r="RSH16" s="319"/>
      <c r="RSI16" s="319"/>
      <c r="RSJ16" s="319"/>
      <c r="RSK16" s="319"/>
      <c r="RSL16" s="319"/>
      <c r="RSM16" s="319"/>
      <c r="RSN16" s="319"/>
      <c r="RSO16" s="319"/>
      <c r="RSP16" s="319"/>
      <c r="RSQ16" s="319"/>
      <c r="RSR16" s="319"/>
      <c r="RSS16" s="319"/>
      <c r="RST16" s="319"/>
      <c r="RSU16" s="319"/>
      <c r="RSV16" s="319"/>
      <c r="RSW16" s="319"/>
      <c r="RSX16" s="319"/>
      <c r="RSY16" s="319"/>
      <c r="RSZ16" s="319"/>
      <c r="RTA16" s="319"/>
      <c r="RTB16" s="319"/>
      <c r="RTC16" s="319"/>
      <c r="RTD16" s="319"/>
      <c r="RTE16" s="319"/>
      <c r="RTF16" s="319"/>
      <c r="RTG16" s="319"/>
      <c r="RTH16" s="319"/>
      <c r="RTI16" s="319"/>
      <c r="RTJ16" s="319"/>
      <c r="RTK16" s="319"/>
      <c r="RTL16" s="319"/>
      <c r="RTM16" s="319"/>
      <c r="RTN16" s="319"/>
      <c r="RTO16" s="319"/>
      <c r="RTP16" s="319"/>
      <c r="RTQ16" s="319"/>
      <c r="RTR16" s="319"/>
      <c r="RTS16" s="319"/>
      <c r="RTT16" s="319"/>
      <c r="RTU16" s="319"/>
      <c r="RTV16" s="319"/>
      <c r="RTW16" s="319"/>
      <c r="RTX16" s="319"/>
      <c r="RTY16" s="319"/>
      <c r="RTZ16" s="319"/>
      <c r="RUA16" s="319"/>
      <c r="RUB16" s="319"/>
      <c r="RUC16" s="319"/>
      <c r="RUD16" s="319"/>
      <c r="RUE16" s="319"/>
      <c r="RUF16" s="319"/>
      <c r="RUG16" s="319"/>
      <c r="RUH16" s="319"/>
      <c r="RUI16" s="319"/>
      <c r="RUJ16" s="319"/>
      <c r="RUK16" s="319"/>
      <c r="RUL16" s="319"/>
      <c r="RUM16" s="319"/>
      <c r="RUN16" s="319"/>
      <c r="RUO16" s="319"/>
      <c r="RUP16" s="319"/>
      <c r="RUQ16" s="319"/>
      <c r="RUR16" s="319"/>
      <c r="RUS16" s="319"/>
      <c r="RUT16" s="319"/>
      <c r="RUU16" s="319"/>
      <c r="RUV16" s="319"/>
      <c r="RUW16" s="319"/>
      <c r="RUX16" s="319"/>
      <c r="RUY16" s="319"/>
      <c r="RUZ16" s="319"/>
      <c r="RVA16" s="319"/>
      <c r="RVB16" s="319"/>
      <c r="RVC16" s="319"/>
      <c r="RVD16" s="319"/>
      <c r="RVE16" s="319"/>
      <c r="RVF16" s="319"/>
      <c r="RVG16" s="319"/>
      <c r="RVH16" s="319"/>
      <c r="RVI16" s="319"/>
      <c r="RVJ16" s="319"/>
      <c r="RVK16" s="319"/>
      <c r="RVL16" s="319"/>
      <c r="RVM16" s="319"/>
      <c r="RVN16" s="319"/>
      <c r="RVO16" s="319"/>
      <c r="RVP16" s="319"/>
      <c r="RVQ16" s="319"/>
      <c r="RVR16" s="319"/>
      <c r="RVS16" s="319"/>
      <c r="RVT16" s="319"/>
      <c r="RVU16" s="319"/>
      <c r="RVV16" s="319"/>
      <c r="RVW16" s="319"/>
      <c r="RVX16" s="319"/>
      <c r="RVY16" s="319"/>
      <c r="RVZ16" s="319"/>
      <c r="RWA16" s="319"/>
      <c r="RWB16" s="319"/>
      <c r="RWC16" s="319"/>
      <c r="RWD16" s="319"/>
      <c r="RWE16" s="319"/>
      <c r="RWF16" s="319"/>
      <c r="RWG16" s="319"/>
      <c r="RWH16" s="319"/>
      <c r="RWI16" s="319"/>
      <c r="RWJ16" s="319"/>
      <c r="RWK16" s="319"/>
      <c r="RWL16" s="319"/>
      <c r="RWM16" s="319"/>
      <c r="RWN16" s="319"/>
      <c r="RWO16" s="319"/>
      <c r="RWP16" s="319"/>
      <c r="RWQ16" s="319"/>
      <c r="RWR16" s="319"/>
      <c r="RWS16" s="319"/>
      <c r="RWT16" s="319"/>
      <c r="RWU16" s="319"/>
      <c r="RWV16" s="319"/>
      <c r="RWW16" s="319"/>
      <c r="RWX16" s="319"/>
      <c r="RWY16" s="319"/>
      <c r="RWZ16" s="319"/>
      <c r="RXA16" s="319"/>
      <c r="RXB16" s="319"/>
      <c r="RXC16" s="319"/>
      <c r="RXD16" s="319"/>
      <c r="RXE16" s="319"/>
      <c r="RXF16" s="319"/>
      <c r="RXG16" s="319"/>
      <c r="RXH16" s="319"/>
      <c r="RXI16" s="319"/>
      <c r="RXJ16" s="319"/>
      <c r="RXK16" s="319"/>
      <c r="RXL16" s="319"/>
      <c r="RXM16" s="319"/>
      <c r="RXN16" s="319"/>
      <c r="RXO16" s="319"/>
      <c r="RXP16" s="319"/>
      <c r="RXQ16" s="319"/>
      <c r="RXR16" s="319"/>
      <c r="RXS16" s="319"/>
      <c r="RXT16" s="319"/>
      <c r="RXU16" s="319"/>
      <c r="RXV16" s="319"/>
      <c r="RXW16" s="319"/>
      <c r="RXX16" s="319"/>
      <c r="RXY16" s="319"/>
      <c r="RXZ16" s="319"/>
      <c r="RYA16" s="319"/>
      <c r="RYB16" s="319"/>
      <c r="RYC16" s="319"/>
      <c r="RYD16" s="319"/>
      <c r="RYE16" s="319"/>
      <c r="RYF16" s="319"/>
      <c r="RYG16" s="319"/>
      <c r="RYH16" s="319"/>
      <c r="RYI16" s="319"/>
      <c r="RYJ16" s="319"/>
      <c r="RYK16" s="319"/>
      <c r="RYL16" s="319"/>
      <c r="RYM16" s="319"/>
      <c r="RYN16" s="319"/>
      <c r="RYO16" s="319"/>
      <c r="RYP16" s="319"/>
      <c r="RYQ16" s="319"/>
      <c r="RYR16" s="319"/>
      <c r="RYS16" s="319"/>
      <c r="RYT16" s="319"/>
      <c r="RYU16" s="319"/>
      <c r="RYV16" s="319"/>
      <c r="RYW16" s="319"/>
      <c r="RYX16" s="319"/>
      <c r="RYY16" s="319"/>
      <c r="RYZ16" s="319"/>
      <c r="RZA16" s="319"/>
      <c r="RZB16" s="319"/>
      <c r="RZC16" s="319"/>
      <c r="RZD16" s="319"/>
      <c r="RZE16" s="319"/>
      <c r="RZF16" s="319"/>
      <c r="RZG16" s="319"/>
      <c r="RZH16" s="319"/>
      <c r="RZI16" s="319"/>
      <c r="RZJ16" s="319"/>
      <c r="RZK16" s="319"/>
      <c r="RZL16" s="319"/>
      <c r="RZM16" s="319"/>
      <c r="RZN16" s="319"/>
      <c r="RZO16" s="319"/>
      <c r="RZP16" s="319"/>
      <c r="RZQ16" s="319"/>
      <c r="RZR16" s="319"/>
      <c r="RZS16" s="319"/>
      <c r="RZT16" s="319"/>
      <c r="RZU16" s="319"/>
      <c r="RZV16" s="319"/>
      <c r="RZW16" s="319"/>
      <c r="RZX16" s="319"/>
      <c r="RZY16" s="319"/>
      <c r="RZZ16" s="319"/>
      <c r="SAA16" s="319"/>
      <c r="SAB16" s="319"/>
      <c r="SAC16" s="319"/>
      <c r="SAD16" s="319"/>
      <c r="SAE16" s="319"/>
      <c r="SAF16" s="319"/>
      <c r="SAG16" s="319"/>
      <c r="SAH16" s="319"/>
      <c r="SAI16" s="319"/>
      <c r="SAJ16" s="319"/>
      <c r="SAK16" s="319"/>
      <c r="SAL16" s="319"/>
      <c r="SAM16" s="319"/>
      <c r="SAN16" s="319"/>
      <c r="SAO16" s="319"/>
      <c r="SAP16" s="319"/>
      <c r="SAQ16" s="319"/>
      <c r="SAR16" s="319"/>
      <c r="SAS16" s="319"/>
      <c r="SAT16" s="319"/>
      <c r="SAU16" s="319"/>
      <c r="SAV16" s="319"/>
      <c r="SAW16" s="319"/>
      <c r="SAX16" s="319"/>
      <c r="SAY16" s="319"/>
      <c r="SAZ16" s="319"/>
      <c r="SBA16" s="319"/>
      <c r="SBB16" s="319"/>
      <c r="SBC16" s="319"/>
      <c r="SBD16" s="319"/>
      <c r="SBE16" s="319"/>
      <c r="SBF16" s="319"/>
      <c r="SBG16" s="319"/>
      <c r="SBH16" s="319"/>
      <c r="SBI16" s="319"/>
      <c r="SBJ16" s="319"/>
      <c r="SBK16" s="319"/>
      <c r="SBL16" s="319"/>
      <c r="SBM16" s="319"/>
      <c r="SBN16" s="319"/>
      <c r="SBO16" s="319"/>
      <c r="SBP16" s="319"/>
      <c r="SBQ16" s="319"/>
      <c r="SBR16" s="319"/>
      <c r="SBS16" s="319"/>
      <c r="SBT16" s="319"/>
      <c r="SBU16" s="319"/>
      <c r="SBV16" s="319"/>
      <c r="SBW16" s="319"/>
      <c r="SBX16" s="319"/>
      <c r="SBY16" s="319"/>
      <c r="SBZ16" s="319"/>
      <c r="SCA16" s="319"/>
      <c r="SCB16" s="319"/>
      <c r="SCC16" s="319"/>
      <c r="SCD16" s="319"/>
      <c r="SCE16" s="319"/>
      <c r="SCF16" s="319"/>
      <c r="SCG16" s="319"/>
      <c r="SCH16" s="319"/>
      <c r="SCI16" s="319"/>
      <c r="SCJ16" s="319"/>
      <c r="SCK16" s="319"/>
      <c r="SCL16" s="319"/>
      <c r="SCM16" s="319"/>
      <c r="SCN16" s="319"/>
      <c r="SCO16" s="319"/>
      <c r="SCP16" s="319"/>
      <c r="SCQ16" s="319"/>
      <c r="SCR16" s="319"/>
      <c r="SCS16" s="319"/>
      <c r="SCT16" s="319"/>
      <c r="SCU16" s="319"/>
      <c r="SCV16" s="319"/>
      <c r="SCW16" s="319"/>
      <c r="SCX16" s="319"/>
      <c r="SCY16" s="319"/>
      <c r="SCZ16" s="319"/>
      <c r="SDA16" s="319"/>
      <c r="SDB16" s="319"/>
      <c r="SDC16" s="319"/>
      <c r="SDD16" s="319"/>
      <c r="SDE16" s="319"/>
      <c r="SDF16" s="319"/>
      <c r="SDG16" s="319"/>
      <c r="SDH16" s="319"/>
      <c r="SDI16" s="319"/>
      <c r="SDJ16" s="319"/>
      <c r="SDK16" s="319"/>
      <c r="SDL16" s="319"/>
      <c r="SDM16" s="319"/>
      <c r="SDN16" s="319"/>
      <c r="SDO16" s="319"/>
      <c r="SDP16" s="319"/>
      <c r="SDQ16" s="319"/>
      <c r="SDR16" s="319"/>
      <c r="SDS16" s="319"/>
      <c r="SDT16" s="319"/>
      <c r="SDU16" s="319"/>
      <c r="SDV16" s="319"/>
      <c r="SDW16" s="319"/>
      <c r="SDX16" s="319"/>
      <c r="SDY16" s="319"/>
      <c r="SDZ16" s="319"/>
      <c r="SEA16" s="319"/>
      <c r="SEB16" s="319"/>
      <c r="SEC16" s="319"/>
      <c r="SED16" s="319"/>
      <c r="SEE16" s="319"/>
      <c r="SEF16" s="319"/>
      <c r="SEG16" s="319"/>
      <c r="SEH16" s="319"/>
      <c r="SEI16" s="319"/>
      <c r="SEJ16" s="319"/>
      <c r="SEK16" s="319"/>
      <c r="SEL16" s="319"/>
      <c r="SEM16" s="319"/>
      <c r="SEN16" s="319"/>
      <c r="SEO16" s="319"/>
      <c r="SEP16" s="319"/>
      <c r="SEQ16" s="319"/>
      <c r="SER16" s="319"/>
      <c r="SES16" s="319"/>
      <c r="SET16" s="319"/>
      <c r="SEU16" s="319"/>
      <c r="SEV16" s="319"/>
      <c r="SEW16" s="319"/>
      <c r="SEX16" s="319"/>
      <c r="SEY16" s="319"/>
      <c r="SEZ16" s="319"/>
      <c r="SFA16" s="319"/>
      <c r="SFB16" s="319"/>
      <c r="SFC16" s="319"/>
      <c r="SFD16" s="319"/>
      <c r="SFE16" s="319"/>
      <c r="SFF16" s="319"/>
      <c r="SFG16" s="319"/>
      <c r="SFH16" s="319"/>
      <c r="SFI16" s="319"/>
      <c r="SFJ16" s="319"/>
      <c r="SFK16" s="319"/>
      <c r="SFL16" s="319"/>
      <c r="SFM16" s="319"/>
      <c r="SFN16" s="319"/>
      <c r="SFO16" s="319"/>
      <c r="SFP16" s="319"/>
      <c r="SFQ16" s="319"/>
      <c r="SFR16" s="319"/>
      <c r="SFS16" s="319"/>
      <c r="SFT16" s="319"/>
      <c r="SFU16" s="319"/>
      <c r="SFV16" s="319"/>
      <c r="SFW16" s="319"/>
      <c r="SFX16" s="319"/>
      <c r="SFY16" s="319"/>
      <c r="SFZ16" s="319"/>
      <c r="SGA16" s="319"/>
      <c r="SGB16" s="319"/>
      <c r="SGC16" s="319"/>
      <c r="SGD16" s="319"/>
      <c r="SGE16" s="319"/>
      <c r="SGF16" s="319"/>
      <c r="SGG16" s="319"/>
      <c r="SGH16" s="319"/>
      <c r="SGI16" s="319"/>
      <c r="SGJ16" s="319"/>
      <c r="SGK16" s="319"/>
      <c r="SGL16" s="319"/>
      <c r="SGM16" s="319"/>
      <c r="SGN16" s="319"/>
      <c r="SGO16" s="319"/>
      <c r="SGP16" s="319"/>
      <c r="SGQ16" s="319"/>
      <c r="SGR16" s="319"/>
      <c r="SGS16" s="319"/>
      <c r="SGT16" s="319"/>
      <c r="SGU16" s="319"/>
      <c r="SGV16" s="319"/>
      <c r="SGW16" s="319"/>
      <c r="SGX16" s="319"/>
      <c r="SGY16" s="319"/>
      <c r="SGZ16" s="319"/>
      <c r="SHA16" s="319"/>
      <c r="SHB16" s="319"/>
      <c r="SHC16" s="319"/>
      <c r="SHD16" s="319"/>
      <c r="SHE16" s="319"/>
      <c r="SHF16" s="319"/>
      <c r="SHG16" s="319"/>
      <c r="SHH16" s="319"/>
      <c r="SHI16" s="319"/>
      <c r="SHJ16" s="319"/>
      <c r="SHK16" s="319"/>
      <c r="SHL16" s="319"/>
      <c r="SHM16" s="319"/>
      <c r="SHN16" s="319"/>
      <c r="SHO16" s="319"/>
      <c r="SHP16" s="319"/>
      <c r="SHQ16" s="319"/>
      <c r="SHR16" s="319"/>
      <c r="SHS16" s="319"/>
      <c r="SHT16" s="319"/>
      <c r="SHU16" s="319"/>
      <c r="SHV16" s="319"/>
      <c r="SHW16" s="319"/>
      <c r="SHX16" s="319"/>
      <c r="SHY16" s="319"/>
      <c r="SHZ16" s="319"/>
      <c r="SIA16" s="319"/>
      <c r="SIB16" s="319"/>
      <c r="SIC16" s="319"/>
      <c r="SID16" s="319"/>
      <c r="SIE16" s="319"/>
      <c r="SIF16" s="319"/>
      <c r="SIG16" s="319"/>
      <c r="SIH16" s="319"/>
      <c r="SII16" s="319"/>
      <c r="SIJ16" s="319"/>
      <c r="SIK16" s="319"/>
      <c r="SIL16" s="319"/>
      <c r="SIM16" s="319"/>
      <c r="SIN16" s="319"/>
      <c r="SIO16" s="319"/>
      <c r="SIP16" s="319"/>
      <c r="SIQ16" s="319"/>
      <c r="SIR16" s="319"/>
      <c r="SIS16" s="319"/>
      <c r="SIT16" s="319"/>
      <c r="SIU16" s="319"/>
      <c r="SIV16" s="319"/>
      <c r="SIW16" s="319"/>
      <c r="SIX16" s="319"/>
      <c r="SIY16" s="319"/>
      <c r="SIZ16" s="319"/>
      <c r="SJA16" s="319"/>
      <c r="SJB16" s="319"/>
      <c r="SJC16" s="319"/>
      <c r="SJD16" s="319"/>
      <c r="SJE16" s="319"/>
      <c r="SJF16" s="319"/>
      <c r="SJG16" s="319"/>
      <c r="SJH16" s="319"/>
      <c r="SJI16" s="319"/>
      <c r="SJJ16" s="319"/>
      <c r="SJK16" s="319"/>
      <c r="SJL16" s="319"/>
      <c r="SJM16" s="319"/>
      <c r="SJN16" s="319"/>
      <c r="SJO16" s="319"/>
      <c r="SJP16" s="319"/>
      <c r="SJQ16" s="319"/>
      <c r="SJR16" s="319"/>
      <c r="SJS16" s="319"/>
      <c r="SJT16" s="319"/>
      <c r="SJU16" s="319"/>
      <c r="SJV16" s="319"/>
      <c r="SJW16" s="319"/>
      <c r="SJX16" s="319"/>
      <c r="SJY16" s="319"/>
      <c r="SJZ16" s="319"/>
      <c r="SKA16" s="319"/>
      <c r="SKB16" s="319"/>
      <c r="SKC16" s="319"/>
      <c r="SKD16" s="319"/>
      <c r="SKE16" s="319"/>
      <c r="SKF16" s="319"/>
      <c r="SKG16" s="319"/>
      <c r="SKH16" s="319"/>
      <c r="SKI16" s="319"/>
      <c r="SKJ16" s="319"/>
      <c r="SKK16" s="319"/>
      <c r="SKL16" s="319"/>
      <c r="SKM16" s="319"/>
      <c r="SKN16" s="319"/>
      <c r="SKO16" s="319"/>
      <c r="SKP16" s="319"/>
      <c r="SKQ16" s="319"/>
      <c r="SKR16" s="319"/>
      <c r="SKS16" s="319"/>
      <c r="SKT16" s="319"/>
      <c r="SKU16" s="319"/>
      <c r="SKV16" s="319"/>
      <c r="SKW16" s="319"/>
      <c r="SKX16" s="319"/>
      <c r="SKY16" s="319"/>
      <c r="SKZ16" s="319"/>
      <c r="SLA16" s="319"/>
      <c r="SLB16" s="319"/>
      <c r="SLC16" s="319"/>
      <c r="SLD16" s="319"/>
      <c r="SLE16" s="319"/>
      <c r="SLF16" s="319"/>
      <c r="SLG16" s="319"/>
      <c r="SLH16" s="319"/>
      <c r="SLI16" s="319"/>
      <c r="SLJ16" s="319"/>
      <c r="SLK16" s="319"/>
      <c r="SLL16" s="319"/>
      <c r="SLM16" s="319"/>
      <c r="SLN16" s="319"/>
      <c r="SLO16" s="319"/>
      <c r="SLP16" s="319"/>
      <c r="SLQ16" s="319"/>
      <c r="SLR16" s="319"/>
      <c r="SLS16" s="319"/>
      <c r="SLT16" s="319"/>
      <c r="SLU16" s="319"/>
      <c r="SLV16" s="319"/>
      <c r="SLW16" s="319"/>
      <c r="SLX16" s="319"/>
      <c r="SLY16" s="319"/>
      <c r="SLZ16" s="319"/>
      <c r="SMA16" s="319"/>
      <c r="SMB16" s="319"/>
      <c r="SMC16" s="319"/>
      <c r="SMD16" s="319"/>
      <c r="SME16" s="319"/>
      <c r="SMF16" s="319"/>
      <c r="SMG16" s="319"/>
      <c r="SMH16" s="319"/>
      <c r="SMI16" s="319"/>
      <c r="SMJ16" s="319"/>
      <c r="SMK16" s="319"/>
      <c r="SML16" s="319"/>
      <c r="SMM16" s="319"/>
      <c r="SMN16" s="319"/>
      <c r="SMO16" s="319"/>
      <c r="SMP16" s="319"/>
      <c r="SMQ16" s="319"/>
      <c r="SMR16" s="319"/>
      <c r="SMS16" s="319"/>
      <c r="SMT16" s="319"/>
      <c r="SMU16" s="319"/>
      <c r="SMV16" s="319"/>
      <c r="SMW16" s="319"/>
      <c r="SMX16" s="319"/>
      <c r="SMY16" s="319"/>
      <c r="SMZ16" s="319"/>
      <c r="SNA16" s="319"/>
      <c r="SNB16" s="319"/>
      <c r="SNC16" s="319"/>
      <c r="SND16" s="319"/>
      <c r="SNE16" s="319"/>
      <c r="SNF16" s="319"/>
      <c r="SNG16" s="319"/>
      <c r="SNH16" s="319"/>
      <c r="SNI16" s="319"/>
      <c r="SNJ16" s="319"/>
      <c r="SNK16" s="319"/>
      <c r="SNL16" s="319"/>
      <c r="SNM16" s="319"/>
      <c r="SNN16" s="319"/>
      <c r="SNO16" s="319"/>
      <c r="SNP16" s="319"/>
      <c r="SNQ16" s="319"/>
      <c r="SNR16" s="319"/>
      <c r="SNS16" s="319"/>
      <c r="SNT16" s="319"/>
      <c r="SNU16" s="319"/>
      <c r="SNV16" s="319"/>
      <c r="SNW16" s="319"/>
      <c r="SNX16" s="319"/>
      <c r="SNY16" s="319"/>
      <c r="SNZ16" s="319"/>
      <c r="SOA16" s="319"/>
      <c r="SOB16" s="319"/>
      <c r="SOC16" s="319"/>
      <c r="SOD16" s="319"/>
      <c r="SOE16" s="319"/>
      <c r="SOF16" s="319"/>
      <c r="SOG16" s="319"/>
      <c r="SOH16" s="319"/>
      <c r="SOI16" s="319"/>
      <c r="SOJ16" s="319"/>
      <c r="SOK16" s="319"/>
      <c r="SOL16" s="319"/>
      <c r="SOM16" s="319"/>
      <c r="SON16" s="319"/>
      <c r="SOO16" s="319"/>
      <c r="SOP16" s="319"/>
      <c r="SOQ16" s="319"/>
      <c r="SOR16" s="319"/>
      <c r="SOS16" s="319"/>
      <c r="SOT16" s="319"/>
      <c r="SOU16" s="319"/>
      <c r="SOV16" s="319"/>
      <c r="SOW16" s="319"/>
      <c r="SOX16" s="319"/>
      <c r="SOY16" s="319"/>
      <c r="SOZ16" s="319"/>
      <c r="SPA16" s="319"/>
      <c r="SPB16" s="319"/>
      <c r="SPC16" s="319"/>
      <c r="SPD16" s="319"/>
      <c r="SPE16" s="319"/>
      <c r="SPF16" s="319"/>
      <c r="SPG16" s="319"/>
      <c r="SPH16" s="319"/>
      <c r="SPI16" s="319"/>
      <c r="SPJ16" s="319"/>
      <c r="SPK16" s="319"/>
      <c r="SPL16" s="319"/>
      <c r="SPM16" s="319"/>
      <c r="SPN16" s="319"/>
      <c r="SPO16" s="319"/>
      <c r="SPP16" s="319"/>
      <c r="SPQ16" s="319"/>
      <c r="SPR16" s="319"/>
      <c r="SPS16" s="319"/>
      <c r="SPT16" s="319"/>
      <c r="SPU16" s="319"/>
      <c r="SPV16" s="319"/>
      <c r="SPW16" s="319"/>
      <c r="SPX16" s="319"/>
      <c r="SPY16" s="319"/>
      <c r="SPZ16" s="319"/>
      <c r="SQA16" s="319"/>
      <c r="SQB16" s="319"/>
      <c r="SQC16" s="319"/>
      <c r="SQD16" s="319"/>
      <c r="SQE16" s="319"/>
      <c r="SQF16" s="319"/>
      <c r="SQG16" s="319"/>
      <c r="SQH16" s="319"/>
      <c r="SQI16" s="319"/>
      <c r="SQJ16" s="319"/>
      <c r="SQK16" s="319"/>
      <c r="SQL16" s="319"/>
      <c r="SQM16" s="319"/>
      <c r="SQN16" s="319"/>
      <c r="SQO16" s="319"/>
      <c r="SQP16" s="319"/>
      <c r="SQQ16" s="319"/>
      <c r="SQR16" s="319"/>
      <c r="SQS16" s="319"/>
      <c r="SQT16" s="319"/>
      <c r="SQU16" s="319"/>
      <c r="SQV16" s="319"/>
      <c r="SQW16" s="319"/>
      <c r="SQX16" s="319"/>
      <c r="SQY16" s="319"/>
      <c r="SQZ16" s="319"/>
      <c r="SRA16" s="319"/>
      <c r="SRB16" s="319"/>
      <c r="SRC16" s="319"/>
      <c r="SRD16" s="319"/>
      <c r="SRE16" s="319"/>
      <c r="SRF16" s="319"/>
      <c r="SRG16" s="319"/>
      <c r="SRH16" s="319"/>
      <c r="SRI16" s="319"/>
      <c r="SRJ16" s="319"/>
      <c r="SRK16" s="319"/>
      <c r="SRL16" s="319"/>
      <c r="SRM16" s="319"/>
      <c r="SRN16" s="319"/>
      <c r="SRO16" s="319"/>
      <c r="SRP16" s="319"/>
      <c r="SRQ16" s="319"/>
      <c r="SRR16" s="319"/>
      <c r="SRS16" s="319"/>
      <c r="SRT16" s="319"/>
      <c r="SRU16" s="319"/>
      <c r="SRV16" s="319"/>
      <c r="SRW16" s="319"/>
      <c r="SRX16" s="319"/>
      <c r="SRY16" s="319"/>
      <c r="SRZ16" s="319"/>
      <c r="SSA16" s="319"/>
      <c r="SSB16" s="319"/>
      <c r="SSC16" s="319"/>
      <c r="SSD16" s="319"/>
      <c r="SSE16" s="319"/>
      <c r="SSF16" s="319"/>
      <c r="SSG16" s="319"/>
      <c r="SSH16" s="319"/>
      <c r="SSI16" s="319"/>
      <c r="SSJ16" s="319"/>
      <c r="SSK16" s="319"/>
      <c r="SSL16" s="319"/>
      <c r="SSM16" s="319"/>
      <c r="SSN16" s="319"/>
      <c r="SSO16" s="319"/>
      <c r="SSP16" s="319"/>
      <c r="SSQ16" s="319"/>
      <c r="SSR16" s="319"/>
      <c r="SSS16" s="319"/>
      <c r="SST16" s="319"/>
      <c r="SSU16" s="319"/>
      <c r="SSV16" s="319"/>
      <c r="SSW16" s="319"/>
      <c r="SSX16" s="319"/>
      <c r="SSY16" s="319"/>
      <c r="SSZ16" s="319"/>
      <c r="STA16" s="319"/>
      <c r="STB16" s="319"/>
      <c r="STC16" s="319"/>
      <c r="STD16" s="319"/>
      <c r="STE16" s="319"/>
      <c r="STF16" s="319"/>
      <c r="STG16" s="319"/>
      <c r="STH16" s="319"/>
      <c r="STI16" s="319"/>
      <c r="STJ16" s="319"/>
      <c r="STK16" s="319"/>
      <c r="STL16" s="319"/>
      <c r="STM16" s="319"/>
      <c r="STN16" s="319"/>
      <c r="STO16" s="319"/>
      <c r="STP16" s="319"/>
      <c r="STQ16" s="319"/>
      <c r="STR16" s="319"/>
      <c r="STS16" s="319"/>
      <c r="STT16" s="319"/>
      <c r="STU16" s="319"/>
      <c r="STV16" s="319"/>
      <c r="STW16" s="319"/>
      <c r="STX16" s="319"/>
      <c r="STY16" s="319"/>
      <c r="STZ16" s="319"/>
      <c r="SUA16" s="319"/>
      <c r="SUB16" s="319"/>
      <c r="SUC16" s="319"/>
      <c r="SUD16" s="319"/>
      <c r="SUE16" s="319"/>
      <c r="SUF16" s="319"/>
      <c r="SUG16" s="319"/>
      <c r="SUH16" s="319"/>
      <c r="SUI16" s="319"/>
      <c r="SUJ16" s="319"/>
      <c r="SUK16" s="319"/>
      <c r="SUL16" s="319"/>
      <c r="SUM16" s="319"/>
      <c r="SUN16" s="319"/>
      <c r="SUO16" s="319"/>
      <c r="SUP16" s="319"/>
      <c r="SUQ16" s="319"/>
      <c r="SUR16" s="319"/>
      <c r="SUS16" s="319"/>
      <c r="SUT16" s="319"/>
      <c r="SUU16" s="319"/>
      <c r="SUV16" s="319"/>
      <c r="SUW16" s="319"/>
      <c r="SUX16" s="319"/>
      <c r="SUY16" s="319"/>
      <c r="SUZ16" s="319"/>
      <c r="SVA16" s="319"/>
      <c r="SVB16" s="319"/>
      <c r="SVC16" s="319"/>
      <c r="SVD16" s="319"/>
      <c r="SVE16" s="319"/>
      <c r="SVF16" s="319"/>
      <c r="SVG16" s="319"/>
      <c r="SVH16" s="319"/>
      <c r="SVI16" s="319"/>
      <c r="SVJ16" s="319"/>
      <c r="SVK16" s="319"/>
      <c r="SVL16" s="319"/>
      <c r="SVM16" s="319"/>
      <c r="SVN16" s="319"/>
      <c r="SVO16" s="319"/>
      <c r="SVP16" s="319"/>
      <c r="SVQ16" s="319"/>
      <c r="SVR16" s="319"/>
      <c r="SVS16" s="319"/>
      <c r="SVT16" s="319"/>
      <c r="SVU16" s="319"/>
      <c r="SVV16" s="319"/>
      <c r="SVW16" s="319"/>
      <c r="SVX16" s="319"/>
      <c r="SVY16" s="319"/>
      <c r="SVZ16" s="319"/>
      <c r="SWA16" s="319"/>
      <c r="SWB16" s="319"/>
      <c r="SWC16" s="319"/>
      <c r="SWD16" s="319"/>
      <c r="SWE16" s="319"/>
      <c r="SWF16" s="319"/>
      <c r="SWG16" s="319"/>
      <c r="SWH16" s="319"/>
      <c r="SWI16" s="319"/>
      <c r="SWJ16" s="319"/>
      <c r="SWK16" s="319"/>
      <c r="SWL16" s="319"/>
      <c r="SWM16" s="319"/>
      <c r="SWN16" s="319"/>
      <c r="SWO16" s="319"/>
      <c r="SWP16" s="319"/>
      <c r="SWQ16" s="319"/>
      <c r="SWR16" s="319"/>
      <c r="SWS16" s="319"/>
      <c r="SWT16" s="319"/>
      <c r="SWU16" s="319"/>
      <c r="SWV16" s="319"/>
      <c r="SWW16" s="319"/>
      <c r="SWX16" s="319"/>
      <c r="SWY16" s="319"/>
      <c r="SWZ16" s="319"/>
      <c r="SXA16" s="319"/>
      <c r="SXB16" s="319"/>
      <c r="SXC16" s="319"/>
      <c r="SXD16" s="319"/>
      <c r="SXE16" s="319"/>
      <c r="SXF16" s="319"/>
      <c r="SXG16" s="319"/>
      <c r="SXH16" s="319"/>
      <c r="SXI16" s="319"/>
      <c r="SXJ16" s="319"/>
      <c r="SXK16" s="319"/>
      <c r="SXL16" s="319"/>
      <c r="SXM16" s="319"/>
      <c r="SXN16" s="319"/>
      <c r="SXO16" s="319"/>
      <c r="SXP16" s="319"/>
      <c r="SXQ16" s="319"/>
      <c r="SXR16" s="319"/>
      <c r="SXS16" s="319"/>
      <c r="SXT16" s="319"/>
      <c r="SXU16" s="319"/>
      <c r="SXV16" s="319"/>
      <c r="SXW16" s="319"/>
      <c r="SXX16" s="319"/>
      <c r="SXY16" s="319"/>
      <c r="SXZ16" s="319"/>
      <c r="SYA16" s="319"/>
      <c r="SYB16" s="319"/>
      <c r="SYC16" s="319"/>
      <c r="SYD16" s="319"/>
      <c r="SYE16" s="319"/>
      <c r="SYF16" s="319"/>
      <c r="SYG16" s="319"/>
      <c r="SYH16" s="319"/>
      <c r="SYI16" s="319"/>
      <c r="SYJ16" s="319"/>
      <c r="SYK16" s="319"/>
      <c r="SYL16" s="319"/>
      <c r="SYM16" s="319"/>
      <c r="SYN16" s="319"/>
      <c r="SYO16" s="319"/>
      <c r="SYP16" s="319"/>
      <c r="SYQ16" s="319"/>
      <c r="SYR16" s="319"/>
      <c r="SYS16" s="319"/>
      <c r="SYT16" s="319"/>
      <c r="SYU16" s="319"/>
      <c r="SYV16" s="319"/>
      <c r="SYW16" s="319"/>
      <c r="SYX16" s="319"/>
      <c r="SYY16" s="319"/>
      <c r="SYZ16" s="319"/>
      <c r="SZA16" s="319"/>
      <c r="SZB16" s="319"/>
      <c r="SZC16" s="319"/>
      <c r="SZD16" s="319"/>
      <c r="SZE16" s="319"/>
      <c r="SZF16" s="319"/>
      <c r="SZG16" s="319"/>
      <c r="SZH16" s="319"/>
      <c r="SZI16" s="319"/>
      <c r="SZJ16" s="319"/>
      <c r="SZK16" s="319"/>
      <c r="SZL16" s="319"/>
      <c r="SZM16" s="319"/>
      <c r="SZN16" s="319"/>
      <c r="SZO16" s="319"/>
      <c r="SZP16" s="319"/>
      <c r="SZQ16" s="319"/>
      <c r="SZR16" s="319"/>
      <c r="SZS16" s="319"/>
      <c r="SZT16" s="319"/>
      <c r="SZU16" s="319"/>
      <c r="SZV16" s="319"/>
      <c r="SZW16" s="319"/>
      <c r="SZX16" s="319"/>
      <c r="SZY16" s="319"/>
      <c r="SZZ16" s="319"/>
      <c r="TAA16" s="319"/>
      <c r="TAB16" s="319"/>
      <c r="TAC16" s="319"/>
      <c r="TAD16" s="319"/>
      <c r="TAE16" s="319"/>
      <c r="TAF16" s="319"/>
      <c r="TAG16" s="319"/>
      <c r="TAH16" s="319"/>
      <c r="TAI16" s="319"/>
      <c r="TAJ16" s="319"/>
      <c r="TAK16" s="319"/>
      <c r="TAL16" s="319"/>
      <c r="TAM16" s="319"/>
      <c r="TAN16" s="319"/>
      <c r="TAO16" s="319"/>
      <c r="TAP16" s="319"/>
      <c r="TAQ16" s="319"/>
      <c r="TAR16" s="319"/>
      <c r="TAS16" s="319"/>
      <c r="TAT16" s="319"/>
      <c r="TAU16" s="319"/>
      <c r="TAV16" s="319"/>
      <c r="TAW16" s="319"/>
      <c r="TAX16" s="319"/>
      <c r="TAY16" s="319"/>
      <c r="TAZ16" s="319"/>
      <c r="TBA16" s="319"/>
      <c r="TBB16" s="319"/>
      <c r="TBC16" s="319"/>
      <c r="TBD16" s="319"/>
      <c r="TBE16" s="319"/>
      <c r="TBF16" s="319"/>
      <c r="TBG16" s="319"/>
      <c r="TBH16" s="319"/>
      <c r="TBI16" s="319"/>
      <c r="TBJ16" s="319"/>
      <c r="TBK16" s="319"/>
      <c r="TBL16" s="319"/>
      <c r="TBM16" s="319"/>
      <c r="TBN16" s="319"/>
      <c r="TBO16" s="319"/>
      <c r="TBP16" s="319"/>
      <c r="TBQ16" s="319"/>
      <c r="TBR16" s="319"/>
      <c r="TBS16" s="319"/>
      <c r="TBT16" s="319"/>
      <c r="TBU16" s="319"/>
      <c r="TBV16" s="319"/>
      <c r="TBW16" s="319"/>
      <c r="TBX16" s="319"/>
      <c r="TBY16" s="319"/>
      <c r="TBZ16" s="319"/>
      <c r="TCA16" s="319"/>
      <c r="TCB16" s="319"/>
      <c r="TCC16" s="319"/>
      <c r="TCD16" s="319"/>
      <c r="TCE16" s="319"/>
      <c r="TCF16" s="319"/>
      <c r="TCG16" s="319"/>
      <c r="TCH16" s="319"/>
      <c r="TCI16" s="319"/>
      <c r="TCJ16" s="319"/>
      <c r="TCK16" s="319"/>
      <c r="TCL16" s="319"/>
      <c r="TCM16" s="319"/>
      <c r="TCN16" s="319"/>
      <c r="TCO16" s="319"/>
      <c r="TCP16" s="319"/>
      <c r="TCQ16" s="319"/>
      <c r="TCR16" s="319"/>
      <c r="TCS16" s="319"/>
      <c r="TCT16" s="319"/>
      <c r="TCU16" s="319"/>
      <c r="TCV16" s="319"/>
      <c r="TCW16" s="319"/>
      <c r="TCX16" s="319"/>
      <c r="TCY16" s="319"/>
      <c r="TCZ16" s="319"/>
      <c r="TDA16" s="319"/>
      <c r="TDB16" s="319"/>
      <c r="TDC16" s="319"/>
      <c r="TDD16" s="319"/>
      <c r="TDE16" s="319"/>
      <c r="TDF16" s="319"/>
      <c r="TDG16" s="319"/>
      <c r="TDH16" s="319"/>
      <c r="TDI16" s="319"/>
      <c r="TDJ16" s="319"/>
      <c r="TDK16" s="319"/>
      <c r="TDL16" s="319"/>
      <c r="TDM16" s="319"/>
      <c r="TDN16" s="319"/>
      <c r="TDO16" s="319"/>
      <c r="TDP16" s="319"/>
      <c r="TDQ16" s="319"/>
      <c r="TDR16" s="319"/>
      <c r="TDS16" s="319"/>
      <c r="TDT16" s="319"/>
      <c r="TDU16" s="319"/>
      <c r="TDV16" s="319"/>
      <c r="TDW16" s="319"/>
      <c r="TDX16" s="319"/>
      <c r="TDY16" s="319"/>
      <c r="TDZ16" s="319"/>
      <c r="TEA16" s="319"/>
      <c r="TEB16" s="319"/>
      <c r="TEC16" s="319"/>
      <c r="TED16" s="319"/>
      <c r="TEE16" s="319"/>
      <c r="TEF16" s="319"/>
      <c r="TEG16" s="319"/>
      <c r="TEH16" s="319"/>
      <c r="TEI16" s="319"/>
      <c r="TEJ16" s="319"/>
      <c r="TEK16" s="319"/>
      <c r="TEL16" s="319"/>
      <c r="TEM16" s="319"/>
      <c r="TEN16" s="319"/>
      <c r="TEO16" s="319"/>
      <c r="TEP16" s="319"/>
      <c r="TEQ16" s="319"/>
      <c r="TER16" s="319"/>
      <c r="TES16" s="319"/>
      <c r="TET16" s="319"/>
      <c r="TEU16" s="319"/>
      <c r="TEV16" s="319"/>
      <c r="TEW16" s="319"/>
      <c r="TEX16" s="319"/>
      <c r="TEY16" s="319"/>
      <c r="TEZ16" s="319"/>
      <c r="TFA16" s="319"/>
      <c r="TFB16" s="319"/>
      <c r="TFC16" s="319"/>
      <c r="TFD16" s="319"/>
      <c r="TFE16" s="319"/>
      <c r="TFF16" s="319"/>
      <c r="TFG16" s="319"/>
      <c r="TFH16" s="319"/>
      <c r="TFI16" s="319"/>
      <c r="TFJ16" s="319"/>
      <c r="TFK16" s="319"/>
      <c r="TFL16" s="319"/>
      <c r="TFM16" s="319"/>
      <c r="TFN16" s="319"/>
      <c r="TFO16" s="319"/>
      <c r="TFP16" s="319"/>
      <c r="TFQ16" s="319"/>
      <c r="TFR16" s="319"/>
      <c r="TFS16" s="319"/>
      <c r="TFT16" s="319"/>
      <c r="TFU16" s="319"/>
      <c r="TFV16" s="319"/>
      <c r="TFW16" s="319"/>
      <c r="TFX16" s="319"/>
      <c r="TFY16" s="319"/>
      <c r="TFZ16" s="319"/>
      <c r="TGA16" s="319"/>
      <c r="TGB16" s="319"/>
      <c r="TGC16" s="319"/>
      <c r="TGD16" s="319"/>
      <c r="TGE16" s="319"/>
      <c r="TGF16" s="319"/>
      <c r="TGG16" s="319"/>
      <c r="TGH16" s="319"/>
      <c r="TGI16" s="319"/>
      <c r="TGJ16" s="319"/>
      <c r="TGK16" s="319"/>
      <c r="TGL16" s="319"/>
      <c r="TGM16" s="319"/>
      <c r="TGN16" s="319"/>
      <c r="TGO16" s="319"/>
      <c r="TGP16" s="319"/>
      <c r="TGQ16" s="319"/>
      <c r="TGR16" s="319"/>
      <c r="TGS16" s="319"/>
      <c r="TGT16" s="319"/>
      <c r="TGU16" s="319"/>
      <c r="TGV16" s="319"/>
      <c r="TGW16" s="319"/>
      <c r="TGX16" s="319"/>
      <c r="TGY16" s="319"/>
      <c r="TGZ16" s="319"/>
      <c r="THA16" s="319"/>
      <c r="THB16" s="319"/>
      <c r="THC16" s="319"/>
      <c r="THD16" s="319"/>
      <c r="THE16" s="319"/>
      <c r="THF16" s="319"/>
      <c r="THG16" s="319"/>
      <c r="THH16" s="319"/>
      <c r="THI16" s="319"/>
      <c r="THJ16" s="319"/>
      <c r="THK16" s="319"/>
      <c r="THL16" s="319"/>
      <c r="THM16" s="319"/>
      <c r="THN16" s="319"/>
      <c r="THO16" s="319"/>
      <c r="THP16" s="319"/>
      <c r="THQ16" s="319"/>
      <c r="THR16" s="319"/>
      <c r="THS16" s="319"/>
      <c r="THT16" s="319"/>
      <c r="THU16" s="319"/>
      <c r="THV16" s="319"/>
      <c r="THW16" s="319"/>
      <c r="THX16" s="319"/>
      <c r="THY16" s="319"/>
      <c r="THZ16" s="319"/>
      <c r="TIA16" s="319"/>
      <c r="TIB16" s="319"/>
      <c r="TIC16" s="319"/>
      <c r="TID16" s="319"/>
      <c r="TIE16" s="319"/>
      <c r="TIF16" s="319"/>
      <c r="TIG16" s="319"/>
      <c r="TIH16" s="319"/>
      <c r="TII16" s="319"/>
      <c r="TIJ16" s="319"/>
      <c r="TIK16" s="319"/>
      <c r="TIL16" s="319"/>
      <c r="TIM16" s="319"/>
      <c r="TIN16" s="319"/>
      <c r="TIO16" s="319"/>
      <c r="TIP16" s="319"/>
      <c r="TIQ16" s="319"/>
      <c r="TIR16" s="319"/>
      <c r="TIS16" s="319"/>
      <c r="TIT16" s="319"/>
      <c r="TIU16" s="319"/>
      <c r="TIV16" s="319"/>
      <c r="TIW16" s="319"/>
      <c r="TIX16" s="319"/>
      <c r="TIY16" s="319"/>
      <c r="TIZ16" s="319"/>
      <c r="TJA16" s="319"/>
      <c r="TJB16" s="319"/>
      <c r="TJC16" s="319"/>
      <c r="TJD16" s="319"/>
      <c r="TJE16" s="319"/>
      <c r="TJF16" s="319"/>
      <c r="TJG16" s="319"/>
      <c r="TJH16" s="319"/>
      <c r="TJI16" s="319"/>
      <c r="TJJ16" s="319"/>
      <c r="TJK16" s="319"/>
      <c r="TJL16" s="319"/>
      <c r="TJM16" s="319"/>
      <c r="TJN16" s="319"/>
      <c r="TJO16" s="319"/>
      <c r="TJP16" s="319"/>
      <c r="TJQ16" s="319"/>
      <c r="TJR16" s="319"/>
      <c r="TJS16" s="319"/>
      <c r="TJT16" s="319"/>
      <c r="TJU16" s="319"/>
      <c r="TJV16" s="319"/>
      <c r="TJW16" s="319"/>
      <c r="TJX16" s="319"/>
      <c r="TJY16" s="319"/>
      <c r="TJZ16" s="319"/>
      <c r="TKA16" s="319"/>
      <c r="TKB16" s="319"/>
      <c r="TKC16" s="319"/>
      <c r="TKD16" s="319"/>
      <c r="TKE16" s="319"/>
      <c r="TKF16" s="319"/>
      <c r="TKG16" s="319"/>
      <c r="TKH16" s="319"/>
      <c r="TKI16" s="319"/>
      <c r="TKJ16" s="319"/>
      <c r="TKK16" s="319"/>
      <c r="TKL16" s="319"/>
      <c r="TKM16" s="319"/>
      <c r="TKN16" s="319"/>
      <c r="TKO16" s="319"/>
      <c r="TKP16" s="319"/>
      <c r="TKQ16" s="319"/>
      <c r="TKR16" s="319"/>
      <c r="TKS16" s="319"/>
      <c r="TKT16" s="319"/>
      <c r="TKU16" s="319"/>
      <c r="TKV16" s="319"/>
      <c r="TKW16" s="319"/>
      <c r="TKX16" s="319"/>
      <c r="TKY16" s="319"/>
      <c r="TKZ16" s="319"/>
      <c r="TLA16" s="319"/>
      <c r="TLB16" s="319"/>
      <c r="TLC16" s="319"/>
      <c r="TLD16" s="319"/>
      <c r="TLE16" s="319"/>
      <c r="TLF16" s="319"/>
      <c r="TLG16" s="319"/>
      <c r="TLH16" s="319"/>
      <c r="TLI16" s="319"/>
      <c r="TLJ16" s="319"/>
      <c r="TLK16" s="319"/>
      <c r="TLL16" s="319"/>
      <c r="TLM16" s="319"/>
      <c r="TLN16" s="319"/>
      <c r="TLO16" s="319"/>
      <c r="TLP16" s="319"/>
      <c r="TLQ16" s="319"/>
      <c r="TLR16" s="319"/>
      <c r="TLS16" s="319"/>
      <c r="TLT16" s="319"/>
      <c r="TLU16" s="319"/>
      <c r="TLV16" s="319"/>
      <c r="TLW16" s="319"/>
      <c r="TLX16" s="319"/>
      <c r="TLY16" s="319"/>
      <c r="TLZ16" s="319"/>
      <c r="TMA16" s="319"/>
      <c r="TMB16" s="319"/>
      <c r="TMC16" s="319"/>
      <c r="TMD16" s="319"/>
      <c r="TME16" s="319"/>
      <c r="TMF16" s="319"/>
      <c r="TMG16" s="319"/>
      <c r="TMH16" s="319"/>
      <c r="TMI16" s="319"/>
      <c r="TMJ16" s="319"/>
      <c r="TMK16" s="319"/>
      <c r="TML16" s="319"/>
      <c r="TMM16" s="319"/>
      <c r="TMN16" s="319"/>
      <c r="TMO16" s="319"/>
      <c r="TMP16" s="319"/>
      <c r="TMQ16" s="319"/>
      <c r="TMR16" s="319"/>
      <c r="TMS16" s="319"/>
      <c r="TMT16" s="319"/>
      <c r="TMU16" s="319"/>
      <c r="TMV16" s="319"/>
      <c r="TMW16" s="319"/>
      <c r="TMX16" s="319"/>
      <c r="TMY16" s="319"/>
      <c r="TMZ16" s="319"/>
      <c r="TNA16" s="319"/>
      <c r="TNB16" s="319"/>
      <c r="TNC16" s="319"/>
      <c r="TND16" s="319"/>
      <c r="TNE16" s="319"/>
      <c r="TNF16" s="319"/>
      <c r="TNG16" s="319"/>
      <c r="TNH16" s="319"/>
      <c r="TNI16" s="319"/>
      <c r="TNJ16" s="319"/>
      <c r="TNK16" s="319"/>
      <c r="TNL16" s="319"/>
      <c r="TNM16" s="319"/>
      <c r="TNN16" s="319"/>
      <c r="TNO16" s="319"/>
      <c r="TNP16" s="319"/>
      <c r="TNQ16" s="319"/>
      <c r="TNR16" s="319"/>
      <c r="TNS16" s="319"/>
      <c r="TNT16" s="319"/>
      <c r="TNU16" s="319"/>
      <c r="TNV16" s="319"/>
      <c r="TNW16" s="319"/>
      <c r="TNX16" s="319"/>
      <c r="TNY16" s="319"/>
      <c r="TNZ16" s="319"/>
      <c r="TOA16" s="319"/>
      <c r="TOB16" s="319"/>
      <c r="TOC16" s="319"/>
      <c r="TOD16" s="319"/>
      <c r="TOE16" s="319"/>
      <c r="TOF16" s="319"/>
      <c r="TOG16" s="319"/>
      <c r="TOH16" s="319"/>
      <c r="TOI16" s="319"/>
      <c r="TOJ16" s="319"/>
      <c r="TOK16" s="319"/>
      <c r="TOL16" s="319"/>
      <c r="TOM16" s="319"/>
      <c r="TON16" s="319"/>
      <c r="TOO16" s="319"/>
      <c r="TOP16" s="319"/>
      <c r="TOQ16" s="319"/>
      <c r="TOR16" s="319"/>
      <c r="TOS16" s="319"/>
      <c r="TOT16" s="319"/>
      <c r="TOU16" s="319"/>
      <c r="TOV16" s="319"/>
      <c r="TOW16" s="319"/>
      <c r="TOX16" s="319"/>
      <c r="TOY16" s="319"/>
      <c r="TOZ16" s="319"/>
      <c r="TPA16" s="319"/>
      <c r="TPB16" s="319"/>
      <c r="TPC16" s="319"/>
      <c r="TPD16" s="319"/>
      <c r="TPE16" s="319"/>
      <c r="TPF16" s="319"/>
      <c r="TPG16" s="319"/>
      <c r="TPH16" s="319"/>
      <c r="TPI16" s="319"/>
      <c r="TPJ16" s="319"/>
      <c r="TPK16" s="319"/>
      <c r="TPL16" s="319"/>
      <c r="TPM16" s="319"/>
      <c r="TPN16" s="319"/>
      <c r="TPO16" s="319"/>
      <c r="TPP16" s="319"/>
      <c r="TPQ16" s="319"/>
      <c r="TPR16" s="319"/>
      <c r="TPS16" s="319"/>
      <c r="TPT16" s="319"/>
      <c r="TPU16" s="319"/>
      <c r="TPV16" s="319"/>
      <c r="TPW16" s="319"/>
      <c r="TPX16" s="319"/>
      <c r="TPY16" s="319"/>
      <c r="TPZ16" s="319"/>
      <c r="TQA16" s="319"/>
      <c r="TQB16" s="319"/>
      <c r="TQC16" s="319"/>
      <c r="TQD16" s="319"/>
      <c r="TQE16" s="319"/>
      <c r="TQF16" s="319"/>
      <c r="TQG16" s="319"/>
      <c r="TQH16" s="319"/>
      <c r="TQI16" s="319"/>
      <c r="TQJ16" s="319"/>
      <c r="TQK16" s="319"/>
      <c r="TQL16" s="319"/>
      <c r="TQM16" s="319"/>
      <c r="TQN16" s="319"/>
      <c r="TQO16" s="319"/>
      <c r="TQP16" s="319"/>
      <c r="TQQ16" s="319"/>
      <c r="TQR16" s="319"/>
      <c r="TQS16" s="319"/>
      <c r="TQT16" s="319"/>
      <c r="TQU16" s="319"/>
      <c r="TQV16" s="319"/>
      <c r="TQW16" s="319"/>
      <c r="TQX16" s="319"/>
      <c r="TQY16" s="319"/>
      <c r="TQZ16" s="319"/>
      <c r="TRA16" s="319"/>
      <c r="TRB16" s="319"/>
      <c r="TRC16" s="319"/>
      <c r="TRD16" s="319"/>
      <c r="TRE16" s="319"/>
      <c r="TRF16" s="319"/>
      <c r="TRG16" s="319"/>
      <c r="TRH16" s="319"/>
      <c r="TRI16" s="319"/>
      <c r="TRJ16" s="319"/>
      <c r="TRK16" s="319"/>
      <c r="TRL16" s="319"/>
      <c r="TRM16" s="319"/>
      <c r="TRN16" s="319"/>
      <c r="TRO16" s="319"/>
      <c r="TRP16" s="319"/>
      <c r="TRQ16" s="319"/>
      <c r="TRR16" s="319"/>
      <c r="TRS16" s="319"/>
      <c r="TRT16" s="319"/>
      <c r="TRU16" s="319"/>
      <c r="TRV16" s="319"/>
      <c r="TRW16" s="319"/>
      <c r="TRX16" s="319"/>
      <c r="TRY16" s="319"/>
      <c r="TRZ16" s="319"/>
      <c r="TSA16" s="319"/>
      <c r="TSB16" s="319"/>
      <c r="TSC16" s="319"/>
      <c r="TSD16" s="319"/>
      <c r="TSE16" s="319"/>
      <c r="TSF16" s="319"/>
      <c r="TSG16" s="319"/>
      <c r="TSH16" s="319"/>
      <c r="TSI16" s="319"/>
      <c r="TSJ16" s="319"/>
      <c r="TSK16" s="319"/>
      <c r="TSL16" s="319"/>
      <c r="TSM16" s="319"/>
      <c r="TSN16" s="319"/>
      <c r="TSO16" s="319"/>
      <c r="TSP16" s="319"/>
      <c r="TSQ16" s="319"/>
      <c r="TSR16" s="319"/>
      <c r="TSS16" s="319"/>
      <c r="TST16" s="319"/>
      <c r="TSU16" s="319"/>
      <c r="TSV16" s="319"/>
      <c r="TSW16" s="319"/>
      <c r="TSX16" s="319"/>
      <c r="TSY16" s="319"/>
      <c r="TSZ16" s="319"/>
      <c r="TTA16" s="319"/>
      <c r="TTB16" s="319"/>
      <c r="TTC16" s="319"/>
      <c r="TTD16" s="319"/>
      <c r="TTE16" s="319"/>
      <c r="TTF16" s="319"/>
      <c r="TTG16" s="319"/>
      <c r="TTH16" s="319"/>
      <c r="TTI16" s="319"/>
      <c r="TTJ16" s="319"/>
      <c r="TTK16" s="319"/>
      <c r="TTL16" s="319"/>
      <c r="TTM16" s="319"/>
      <c r="TTN16" s="319"/>
      <c r="TTO16" s="319"/>
      <c r="TTP16" s="319"/>
      <c r="TTQ16" s="319"/>
      <c r="TTR16" s="319"/>
      <c r="TTS16" s="319"/>
      <c r="TTT16" s="319"/>
      <c r="TTU16" s="319"/>
      <c r="TTV16" s="319"/>
      <c r="TTW16" s="319"/>
      <c r="TTX16" s="319"/>
      <c r="TTY16" s="319"/>
      <c r="TTZ16" s="319"/>
      <c r="TUA16" s="319"/>
      <c r="TUB16" s="319"/>
      <c r="TUC16" s="319"/>
      <c r="TUD16" s="319"/>
      <c r="TUE16" s="319"/>
      <c r="TUF16" s="319"/>
      <c r="TUG16" s="319"/>
      <c r="TUH16" s="319"/>
      <c r="TUI16" s="319"/>
      <c r="TUJ16" s="319"/>
      <c r="TUK16" s="319"/>
      <c r="TUL16" s="319"/>
      <c r="TUM16" s="319"/>
      <c r="TUN16" s="319"/>
      <c r="TUO16" s="319"/>
      <c r="TUP16" s="319"/>
      <c r="TUQ16" s="319"/>
      <c r="TUR16" s="319"/>
      <c r="TUS16" s="319"/>
      <c r="TUT16" s="319"/>
      <c r="TUU16" s="319"/>
      <c r="TUV16" s="319"/>
      <c r="TUW16" s="319"/>
      <c r="TUX16" s="319"/>
      <c r="TUY16" s="319"/>
      <c r="TUZ16" s="319"/>
      <c r="TVA16" s="319"/>
      <c r="TVB16" s="319"/>
      <c r="TVC16" s="319"/>
      <c r="TVD16" s="319"/>
      <c r="TVE16" s="319"/>
      <c r="TVF16" s="319"/>
      <c r="TVG16" s="319"/>
      <c r="TVH16" s="319"/>
      <c r="TVI16" s="319"/>
      <c r="TVJ16" s="319"/>
      <c r="TVK16" s="319"/>
      <c r="TVL16" s="319"/>
      <c r="TVM16" s="319"/>
      <c r="TVN16" s="319"/>
      <c r="TVO16" s="319"/>
      <c r="TVP16" s="319"/>
      <c r="TVQ16" s="319"/>
      <c r="TVR16" s="319"/>
      <c r="TVS16" s="319"/>
      <c r="TVT16" s="319"/>
      <c r="TVU16" s="319"/>
      <c r="TVV16" s="319"/>
      <c r="TVW16" s="319"/>
      <c r="TVX16" s="319"/>
      <c r="TVY16" s="319"/>
      <c r="TVZ16" s="319"/>
      <c r="TWA16" s="319"/>
      <c r="TWB16" s="319"/>
      <c r="TWC16" s="319"/>
      <c r="TWD16" s="319"/>
      <c r="TWE16" s="319"/>
      <c r="TWF16" s="319"/>
      <c r="TWG16" s="319"/>
      <c r="TWH16" s="319"/>
      <c r="TWI16" s="319"/>
      <c r="TWJ16" s="319"/>
      <c r="TWK16" s="319"/>
      <c r="TWL16" s="319"/>
      <c r="TWM16" s="319"/>
      <c r="TWN16" s="319"/>
      <c r="TWO16" s="319"/>
      <c r="TWP16" s="319"/>
      <c r="TWQ16" s="319"/>
      <c r="TWR16" s="319"/>
      <c r="TWS16" s="319"/>
      <c r="TWT16" s="319"/>
      <c r="TWU16" s="319"/>
      <c r="TWV16" s="319"/>
      <c r="TWW16" s="319"/>
      <c r="TWX16" s="319"/>
      <c r="TWY16" s="319"/>
      <c r="TWZ16" s="319"/>
      <c r="TXA16" s="319"/>
      <c r="TXB16" s="319"/>
      <c r="TXC16" s="319"/>
      <c r="TXD16" s="319"/>
      <c r="TXE16" s="319"/>
      <c r="TXF16" s="319"/>
      <c r="TXG16" s="319"/>
      <c r="TXH16" s="319"/>
      <c r="TXI16" s="319"/>
      <c r="TXJ16" s="319"/>
      <c r="TXK16" s="319"/>
      <c r="TXL16" s="319"/>
      <c r="TXM16" s="319"/>
      <c r="TXN16" s="319"/>
      <c r="TXO16" s="319"/>
      <c r="TXP16" s="319"/>
      <c r="TXQ16" s="319"/>
      <c r="TXR16" s="319"/>
      <c r="TXS16" s="319"/>
      <c r="TXT16" s="319"/>
      <c r="TXU16" s="319"/>
      <c r="TXV16" s="319"/>
      <c r="TXW16" s="319"/>
      <c r="TXX16" s="319"/>
      <c r="TXY16" s="319"/>
      <c r="TXZ16" s="319"/>
      <c r="TYA16" s="319"/>
      <c r="TYB16" s="319"/>
      <c r="TYC16" s="319"/>
      <c r="TYD16" s="319"/>
      <c r="TYE16" s="319"/>
      <c r="TYF16" s="319"/>
      <c r="TYG16" s="319"/>
      <c r="TYH16" s="319"/>
      <c r="TYI16" s="319"/>
      <c r="TYJ16" s="319"/>
      <c r="TYK16" s="319"/>
      <c r="TYL16" s="319"/>
      <c r="TYM16" s="319"/>
      <c r="TYN16" s="319"/>
      <c r="TYO16" s="319"/>
      <c r="TYP16" s="319"/>
      <c r="TYQ16" s="319"/>
      <c r="TYR16" s="319"/>
      <c r="TYS16" s="319"/>
      <c r="TYT16" s="319"/>
      <c r="TYU16" s="319"/>
      <c r="TYV16" s="319"/>
      <c r="TYW16" s="319"/>
      <c r="TYX16" s="319"/>
      <c r="TYY16" s="319"/>
      <c r="TYZ16" s="319"/>
      <c r="TZA16" s="319"/>
      <c r="TZB16" s="319"/>
      <c r="TZC16" s="319"/>
      <c r="TZD16" s="319"/>
      <c r="TZE16" s="319"/>
      <c r="TZF16" s="319"/>
      <c r="TZG16" s="319"/>
      <c r="TZH16" s="319"/>
      <c r="TZI16" s="319"/>
      <c r="TZJ16" s="319"/>
      <c r="TZK16" s="319"/>
      <c r="TZL16" s="319"/>
      <c r="TZM16" s="319"/>
      <c r="TZN16" s="319"/>
      <c r="TZO16" s="319"/>
      <c r="TZP16" s="319"/>
      <c r="TZQ16" s="319"/>
      <c r="TZR16" s="319"/>
      <c r="TZS16" s="319"/>
      <c r="TZT16" s="319"/>
      <c r="TZU16" s="319"/>
      <c r="TZV16" s="319"/>
      <c r="TZW16" s="319"/>
      <c r="TZX16" s="319"/>
      <c r="TZY16" s="319"/>
      <c r="TZZ16" s="319"/>
      <c r="UAA16" s="319"/>
      <c r="UAB16" s="319"/>
      <c r="UAC16" s="319"/>
      <c r="UAD16" s="319"/>
      <c r="UAE16" s="319"/>
      <c r="UAF16" s="319"/>
      <c r="UAG16" s="319"/>
      <c r="UAH16" s="319"/>
      <c r="UAI16" s="319"/>
      <c r="UAJ16" s="319"/>
      <c r="UAK16" s="319"/>
      <c r="UAL16" s="319"/>
      <c r="UAM16" s="319"/>
      <c r="UAN16" s="319"/>
      <c r="UAO16" s="319"/>
      <c r="UAP16" s="319"/>
      <c r="UAQ16" s="319"/>
      <c r="UAR16" s="319"/>
      <c r="UAS16" s="319"/>
      <c r="UAT16" s="319"/>
      <c r="UAU16" s="319"/>
      <c r="UAV16" s="319"/>
      <c r="UAW16" s="319"/>
      <c r="UAX16" s="319"/>
      <c r="UAY16" s="319"/>
      <c r="UAZ16" s="319"/>
      <c r="UBA16" s="319"/>
      <c r="UBB16" s="319"/>
      <c r="UBC16" s="319"/>
      <c r="UBD16" s="319"/>
      <c r="UBE16" s="319"/>
      <c r="UBF16" s="319"/>
      <c r="UBG16" s="319"/>
      <c r="UBH16" s="319"/>
      <c r="UBI16" s="319"/>
      <c r="UBJ16" s="319"/>
      <c r="UBK16" s="319"/>
      <c r="UBL16" s="319"/>
      <c r="UBM16" s="319"/>
      <c r="UBN16" s="319"/>
      <c r="UBO16" s="319"/>
      <c r="UBP16" s="319"/>
      <c r="UBQ16" s="319"/>
      <c r="UBR16" s="319"/>
      <c r="UBS16" s="319"/>
      <c r="UBT16" s="319"/>
      <c r="UBU16" s="319"/>
      <c r="UBV16" s="319"/>
      <c r="UBW16" s="319"/>
      <c r="UBX16" s="319"/>
      <c r="UBY16" s="319"/>
      <c r="UBZ16" s="319"/>
      <c r="UCA16" s="319"/>
      <c r="UCB16" s="319"/>
      <c r="UCC16" s="319"/>
      <c r="UCD16" s="319"/>
      <c r="UCE16" s="319"/>
      <c r="UCF16" s="319"/>
      <c r="UCG16" s="319"/>
      <c r="UCH16" s="319"/>
      <c r="UCI16" s="319"/>
      <c r="UCJ16" s="319"/>
      <c r="UCK16" s="319"/>
      <c r="UCL16" s="319"/>
      <c r="UCM16" s="319"/>
      <c r="UCN16" s="319"/>
      <c r="UCO16" s="319"/>
      <c r="UCP16" s="319"/>
      <c r="UCQ16" s="319"/>
      <c r="UCR16" s="319"/>
      <c r="UCS16" s="319"/>
      <c r="UCT16" s="319"/>
      <c r="UCU16" s="319"/>
      <c r="UCV16" s="319"/>
      <c r="UCW16" s="319"/>
      <c r="UCX16" s="319"/>
      <c r="UCY16" s="319"/>
      <c r="UCZ16" s="319"/>
      <c r="UDA16" s="319"/>
      <c r="UDB16" s="319"/>
      <c r="UDC16" s="319"/>
      <c r="UDD16" s="319"/>
      <c r="UDE16" s="319"/>
      <c r="UDF16" s="319"/>
      <c r="UDG16" s="319"/>
      <c r="UDH16" s="319"/>
      <c r="UDI16" s="319"/>
      <c r="UDJ16" s="319"/>
      <c r="UDK16" s="319"/>
      <c r="UDL16" s="319"/>
      <c r="UDM16" s="319"/>
      <c r="UDN16" s="319"/>
      <c r="UDO16" s="319"/>
      <c r="UDP16" s="319"/>
      <c r="UDQ16" s="319"/>
      <c r="UDR16" s="319"/>
      <c r="UDS16" s="319"/>
      <c r="UDT16" s="319"/>
      <c r="UDU16" s="319"/>
      <c r="UDV16" s="319"/>
      <c r="UDW16" s="319"/>
      <c r="UDX16" s="319"/>
      <c r="UDY16" s="319"/>
      <c r="UDZ16" s="319"/>
      <c r="UEA16" s="319"/>
      <c r="UEB16" s="319"/>
      <c r="UEC16" s="319"/>
      <c r="UED16" s="319"/>
      <c r="UEE16" s="319"/>
      <c r="UEF16" s="319"/>
      <c r="UEG16" s="319"/>
      <c r="UEH16" s="319"/>
      <c r="UEI16" s="319"/>
      <c r="UEJ16" s="319"/>
      <c r="UEK16" s="319"/>
      <c r="UEL16" s="319"/>
      <c r="UEM16" s="319"/>
      <c r="UEN16" s="319"/>
      <c r="UEO16" s="319"/>
      <c r="UEP16" s="319"/>
      <c r="UEQ16" s="319"/>
      <c r="UER16" s="319"/>
      <c r="UES16" s="319"/>
      <c r="UET16" s="319"/>
      <c r="UEU16" s="319"/>
      <c r="UEV16" s="319"/>
      <c r="UEW16" s="319"/>
      <c r="UEX16" s="319"/>
      <c r="UEY16" s="319"/>
      <c r="UEZ16" s="319"/>
      <c r="UFA16" s="319"/>
      <c r="UFB16" s="319"/>
      <c r="UFC16" s="319"/>
      <c r="UFD16" s="319"/>
      <c r="UFE16" s="319"/>
      <c r="UFF16" s="319"/>
      <c r="UFG16" s="319"/>
      <c r="UFH16" s="319"/>
      <c r="UFI16" s="319"/>
      <c r="UFJ16" s="319"/>
      <c r="UFK16" s="319"/>
      <c r="UFL16" s="319"/>
      <c r="UFM16" s="319"/>
      <c r="UFN16" s="319"/>
      <c r="UFO16" s="319"/>
      <c r="UFP16" s="319"/>
      <c r="UFQ16" s="319"/>
      <c r="UFR16" s="319"/>
      <c r="UFS16" s="319"/>
      <c r="UFT16" s="319"/>
      <c r="UFU16" s="319"/>
      <c r="UFV16" s="319"/>
      <c r="UFW16" s="319"/>
      <c r="UFX16" s="319"/>
      <c r="UFY16" s="319"/>
      <c r="UFZ16" s="319"/>
      <c r="UGA16" s="319"/>
      <c r="UGB16" s="319"/>
      <c r="UGC16" s="319"/>
      <c r="UGD16" s="319"/>
      <c r="UGE16" s="319"/>
      <c r="UGF16" s="319"/>
      <c r="UGG16" s="319"/>
      <c r="UGH16" s="319"/>
      <c r="UGI16" s="319"/>
      <c r="UGJ16" s="319"/>
      <c r="UGK16" s="319"/>
      <c r="UGL16" s="319"/>
      <c r="UGM16" s="319"/>
      <c r="UGN16" s="319"/>
      <c r="UGO16" s="319"/>
      <c r="UGP16" s="319"/>
      <c r="UGQ16" s="319"/>
      <c r="UGR16" s="319"/>
      <c r="UGS16" s="319"/>
      <c r="UGT16" s="319"/>
      <c r="UGU16" s="319"/>
      <c r="UGV16" s="319"/>
      <c r="UGW16" s="319"/>
      <c r="UGX16" s="319"/>
      <c r="UGY16" s="319"/>
      <c r="UGZ16" s="319"/>
      <c r="UHA16" s="319"/>
      <c r="UHB16" s="319"/>
      <c r="UHC16" s="319"/>
      <c r="UHD16" s="319"/>
      <c r="UHE16" s="319"/>
      <c r="UHF16" s="319"/>
      <c r="UHG16" s="319"/>
      <c r="UHH16" s="319"/>
      <c r="UHI16" s="319"/>
      <c r="UHJ16" s="319"/>
      <c r="UHK16" s="319"/>
      <c r="UHL16" s="319"/>
      <c r="UHM16" s="319"/>
      <c r="UHN16" s="319"/>
      <c r="UHO16" s="319"/>
      <c r="UHP16" s="319"/>
      <c r="UHQ16" s="319"/>
      <c r="UHR16" s="319"/>
      <c r="UHS16" s="319"/>
      <c r="UHT16" s="319"/>
      <c r="UHU16" s="319"/>
      <c r="UHV16" s="319"/>
      <c r="UHW16" s="319"/>
      <c r="UHX16" s="319"/>
      <c r="UHY16" s="319"/>
      <c r="UHZ16" s="319"/>
      <c r="UIA16" s="319"/>
      <c r="UIB16" s="319"/>
      <c r="UIC16" s="319"/>
      <c r="UID16" s="319"/>
      <c r="UIE16" s="319"/>
      <c r="UIF16" s="319"/>
      <c r="UIG16" s="319"/>
      <c r="UIH16" s="319"/>
      <c r="UII16" s="319"/>
      <c r="UIJ16" s="319"/>
      <c r="UIK16" s="319"/>
      <c r="UIL16" s="319"/>
      <c r="UIM16" s="319"/>
      <c r="UIN16" s="319"/>
      <c r="UIO16" s="319"/>
      <c r="UIP16" s="319"/>
      <c r="UIQ16" s="319"/>
      <c r="UIR16" s="319"/>
      <c r="UIS16" s="319"/>
      <c r="UIT16" s="319"/>
      <c r="UIU16" s="319"/>
      <c r="UIV16" s="319"/>
      <c r="UIW16" s="319"/>
      <c r="UIX16" s="319"/>
      <c r="UIY16" s="319"/>
      <c r="UIZ16" s="319"/>
      <c r="UJA16" s="319"/>
      <c r="UJB16" s="319"/>
      <c r="UJC16" s="319"/>
      <c r="UJD16" s="319"/>
      <c r="UJE16" s="319"/>
      <c r="UJF16" s="319"/>
      <c r="UJG16" s="319"/>
      <c r="UJH16" s="319"/>
      <c r="UJI16" s="319"/>
      <c r="UJJ16" s="319"/>
      <c r="UJK16" s="319"/>
      <c r="UJL16" s="319"/>
      <c r="UJM16" s="319"/>
      <c r="UJN16" s="319"/>
      <c r="UJO16" s="319"/>
      <c r="UJP16" s="319"/>
      <c r="UJQ16" s="319"/>
      <c r="UJR16" s="319"/>
      <c r="UJS16" s="319"/>
      <c r="UJT16" s="319"/>
      <c r="UJU16" s="319"/>
      <c r="UJV16" s="319"/>
      <c r="UJW16" s="319"/>
      <c r="UJX16" s="319"/>
      <c r="UJY16" s="319"/>
      <c r="UJZ16" s="319"/>
      <c r="UKA16" s="319"/>
      <c r="UKB16" s="319"/>
      <c r="UKC16" s="319"/>
      <c r="UKD16" s="319"/>
      <c r="UKE16" s="319"/>
      <c r="UKF16" s="319"/>
      <c r="UKG16" s="319"/>
      <c r="UKH16" s="319"/>
      <c r="UKI16" s="319"/>
      <c r="UKJ16" s="319"/>
      <c r="UKK16" s="319"/>
      <c r="UKL16" s="319"/>
      <c r="UKM16" s="319"/>
      <c r="UKN16" s="319"/>
      <c r="UKO16" s="319"/>
      <c r="UKP16" s="319"/>
      <c r="UKQ16" s="319"/>
      <c r="UKR16" s="319"/>
      <c r="UKS16" s="319"/>
      <c r="UKT16" s="319"/>
      <c r="UKU16" s="319"/>
      <c r="UKV16" s="319"/>
      <c r="UKW16" s="319"/>
      <c r="UKX16" s="319"/>
      <c r="UKY16" s="319"/>
      <c r="UKZ16" s="319"/>
      <c r="ULA16" s="319"/>
      <c r="ULB16" s="319"/>
      <c r="ULC16" s="319"/>
      <c r="ULD16" s="319"/>
      <c r="ULE16" s="319"/>
      <c r="ULF16" s="319"/>
      <c r="ULG16" s="319"/>
      <c r="ULH16" s="319"/>
      <c r="ULI16" s="319"/>
      <c r="ULJ16" s="319"/>
      <c r="ULK16" s="319"/>
      <c r="ULL16" s="319"/>
      <c r="ULM16" s="319"/>
      <c r="ULN16" s="319"/>
      <c r="ULO16" s="319"/>
      <c r="ULP16" s="319"/>
      <c r="ULQ16" s="319"/>
      <c r="ULR16" s="319"/>
      <c r="ULS16" s="319"/>
      <c r="ULT16" s="319"/>
      <c r="ULU16" s="319"/>
      <c r="ULV16" s="319"/>
      <c r="ULW16" s="319"/>
      <c r="ULX16" s="319"/>
      <c r="ULY16" s="319"/>
      <c r="ULZ16" s="319"/>
      <c r="UMA16" s="319"/>
      <c r="UMB16" s="319"/>
      <c r="UMC16" s="319"/>
      <c r="UMD16" s="319"/>
      <c r="UME16" s="319"/>
      <c r="UMF16" s="319"/>
      <c r="UMG16" s="319"/>
      <c r="UMH16" s="319"/>
      <c r="UMI16" s="319"/>
      <c r="UMJ16" s="319"/>
      <c r="UMK16" s="319"/>
      <c r="UML16" s="319"/>
      <c r="UMM16" s="319"/>
      <c r="UMN16" s="319"/>
      <c r="UMO16" s="319"/>
      <c r="UMP16" s="319"/>
      <c r="UMQ16" s="319"/>
      <c r="UMR16" s="319"/>
      <c r="UMS16" s="319"/>
      <c r="UMT16" s="319"/>
      <c r="UMU16" s="319"/>
      <c r="UMV16" s="319"/>
      <c r="UMW16" s="319"/>
      <c r="UMX16" s="319"/>
      <c r="UMY16" s="319"/>
      <c r="UMZ16" s="319"/>
      <c r="UNA16" s="319"/>
      <c r="UNB16" s="319"/>
      <c r="UNC16" s="319"/>
      <c r="UND16" s="319"/>
      <c r="UNE16" s="319"/>
      <c r="UNF16" s="319"/>
      <c r="UNG16" s="319"/>
      <c r="UNH16" s="319"/>
      <c r="UNI16" s="319"/>
      <c r="UNJ16" s="319"/>
      <c r="UNK16" s="319"/>
      <c r="UNL16" s="319"/>
      <c r="UNM16" s="319"/>
      <c r="UNN16" s="319"/>
      <c r="UNO16" s="319"/>
      <c r="UNP16" s="319"/>
      <c r="UNQ16" s="319"/>
      <c r="UNR16" s="319"/>
      <c r="UNS16" s="319"/>
      <c r="UNT16" s="319"/>
      <c r="UNU16" s="319"/>
      <c r="UNV16" s="319"/>
      <c r="UNW16" s="319"/>
      <c r="UNX16" s="319"/>
      <c r="UNY16" s="319"/>
      <c r="UNZ16" s="319"/>
      <c r="UOA16" s="319"/>
      <c r="UOB16" s="319"/>
      <c r="UOC16" s="319"/>
      <c r="UOD16" s="319"/>
      <c r="UOE16" s="319"/>
      <c r="UOF16" s="319"/>
      <c r="UOG16" s="319"/>
      <c r="UOH16" s="319"/>
      <c r="UOI16" s="319"/>
      <c r="UOJ16" s="319"/>
      <c r="UOK16" s="319"/>
      <c r="UOL16" s="319"/>
      <c r="UOM16" s="319"/>
      <c r="UON16" s="319"/>
      <c r="UOO16" s="319"/>
      <c r="UOP16" s="319"/>
      <c r="UOQ16" s="319"/>
      <c r="UOR16" s="319"/>
      <c r="UOS16" s="319"/>
      <c r="UOT16" s="319"/>
      <c r="UOU16" s="319"/>
      <c r="UOV16" s="319"/>
      <c r="UOW16" s="319"/>
      <c r="UOX16" s="319"/>
      <c r="UOY16" s="319"/>
      <c r="UOZ16" s="319"/>
      <c r="UPA16" s="319"/>
      <c r="UPB16" s="319"/>
      <c r="UPC16" s="319"/>
      <c r="UPD16" s="319"/>
      <c r="UPE16" s="319"/>
      <c r="UPF16" s="319"/>
      <c r="UPG16" s="319"/>
      <c r="UPH16" s="319"/>
      <c r="UPI16" s="319"/>
      <c r="UPJ16" s="319"/>
      <c r="UPK16" s="319"/>
      <c r="UPL16" s="319"/>
      <c r="UPM16" s="319"/>
      <c r="UPN16" s="319"/>
      <c r="UPO16" s="319"/>
      <c r="UPP16" s="319"/>
      <c r="UPQ16" s="319"/>
      <c r="UPR16" s="319"/>
      <c r="UPS16" s="319"/>
      <c r="UPT16" s="319"/>
      <c r="UPU16" s="319"/>
      <c r="UPV16" s="319"/>
      <c r="UPW16" s="319"/>
      <c r="UPX16" s="319"/>
      <c r="UPY16" s="319"/>
      <c r="UPZ16" s="319"/>
      <c r="UQA16" s="319"/>
      <c r="UQB16" s="319"/>
      <c r="UQC16" s="319"/>
      <c r="UQD16" s="319"/>
      <c r="UQE16" s="319"/>
      <c r="UQF16" s="319"/>
      <c r="UQG16" s="319"/>
      <c r="UQH16" s="319"/>
      <c r="UQI16" s="319"/>
      <c r="UQJ16" s="319"/>
      <c r="UQK16" s="319"/>
      <c r="UQL16" s="319"/>
      <c r="UQM16" s="319"/>
      <c r="UQN16" s="319"/>
      <c r="UQO16" s="319"/>
      <c r="UQP16" s="319"/>
      <c r="UQQ16" s="319"/>
      <c r="UQR16" s="319"/>
      <c r="UQS16" s="319"/>
      <c r="UQT16" s="319"/>
      <c r="UQU16" s="319"/>
      <c r="UQV16" s="319"/>
      <c r="UQW16" s="319"/>
      <c r="UQX16" s="319"/>
      <c r="UQY16" s="319"/>
      <c r="UQZ16" s="319"/>
      <c r="URA16" s="319"/>
      <c r="URB16" s="319"/>
      <c r="URC16" s="319"/>
      <c r="URD16" s="319"/>
      <c r="URE16" s="319"/>
      <c r="URF16" s="319"/>
      <c r="URG16" s="319"/>
      <c r="URH16" s="319"/>
      <c r="URI16" s="319"/>
      <c r="URJ16" s="319"/>
      <c r="URK16" s="319"/>
      <c r="URL16" s="319"/>
      <c r="URM16" s="319"/>
      <c r="URN16" s="319"/>
      <c r="URO16" s="319"/>
      <c r="URP16" s="319"/>
      <c r="URQ16" s="319"/>
      <c r="URR16" s="319"/>
      <c r="URS16" s="319"/>
      <c r="URT16" s="319"/>
      <c r="URU16" s="319"/>
      <c r="URV16" s="319"/>
      <c r="URW16" s="319"/>
      <c r="URX16" s="319"/>
      <c r="URY16" s="319"/>
      <c r="URZ16" s="319"/>
      <c r="USA16" s="319"/>
      <c r="USB16" s="319"/>
      <c r="USC16" s="319"/>
      <c r="USD16" s="319"/>
      <c r="USE16" s="319"/>
      <c r="USF16" s="319"/>
      <c r="USG16" s="319"/>
      <c r="USH16" s="319"/>
      <c r="USI16" s="319"/>
      <c r="USJ16" s="319"/>
      <c r="USK16" s="319"/>
      <c r="USL16" s="319"/>
      <c r="USM16" s="319"/>
      <c r="USN16" s="319"/>
      <c r="USO16" s="319"/>
      <c r="USP16" s="319"/>
      <c r="USQ16" s="319"/>
      <c r="USR16" s="319"/>
      <c r="USS16" s="319"/>
      <c r="UST16" s="319"/>
      <c r="USU16" s="319"/>
      <c r="USV16" s="319"/>
      <c r="USW16" s="319"/>
      <c r="USX16" s="319"/>
      <c r="USY16" s="319"/>
      <c r="USZ16" s="319"/>
      <c r="UTA16" s="319"/>
      <c r="UTB16" s="319"/>
      <c r="UTC16" s="319"/>
      <c r="UTD16" s="319"/>
      <c r="UTE16" s="319"/>
      <c r="UTF16" s="319"/>
      <c r="UTG16" s="319"/>
      <c r="UTH16" s="319"/>
      <c r="UTI16" s="319"/>
      <c r="UTJ16" s="319"/>
      <c r="UTK16" s="319"/>
      <c r="UTL16" s="319"/>
      <c r="UTM16" s="319"/>
      <c r="UTN16" s="319"/>
      <c r="UTO16" s="319"/>
      <c r="UTP16" s="319"/>
      <c r="UTQ16" s="319"/>
      <c r="UTR16" s="319"/>
      <c r="UTS16" s="319"/>
      <c r="UTT16" s="319"/>
      <c r="UTU16" s="319"/>
      <c r="UTV16" s="319"/>
      <c r="UTW16" s="319"/>
      <c r="UTX16" s="319"/>
      <c r="UTY16" s="319"/>
      <c r="UTZ16" s="319"/>
      <c r="UUA16" s="319"/>
      <c r="UUB16" s="319"/>
      <c r="UUC16" s="319"/>
      <c r="UUD16" s="319"/>
      <c r="UUE16" s="319"/>
      <c r="UUF16" s="319"/>
      <c r="UUG16" s="319"/>
      <c r="UUH16" s="319"/>
      <c r="UUI16" s="319"/>
      <c r="UUJ16" s="319"/>
      <c r="UUK16" s="319"/>
      <c r="UUL16" s="319"/>
      <c r="UUM16" s="319"/>
      <c r="UUN16" s="319"/>
      <c r="UUO16" s="319"/>
      <c r="UUP16" s="319"/>
      <c r="UUQ16" s="319"/>
      <c r="UUR16" s="319"/>
      <c r="UUS16" s="319"/>
      <c r="UUT16" s="319"/>
      <c r="UUU16" s="319"/>
      <c r="UUV16" s="319"/>
      <c r="UUW16" s="319"/>
      <c r="UUX16" s="319"/>
      <c r="UUY16" s="319"/>
      <c r="UUZ16" s="319"/>
      <c r="UVA16" s="319"/>
      <c r="UVB16" s="319"/>
      <c r="UVC16" s="319"/>
      <c r="UVD16" s="319"/>
      <c r="UVE16" s="319"/>
      <c r="UVF16" s="319"/>
      <c r="UVG16" s="319"/>
      <c r="UVH16" s="319"/>
      <c r="UVI16" s="319"/>
      <c r="UVJ16" s="319"/>
      <c r="UVK16" s="319"/>
      <c r="UVL16" s="319"/>
      <c r="UVM16" s="319"/>
      <c r="UVN16" s="319"/>
      <c r="UVO16" s="319"/>
      <c r="UVP16" s="319"/>
      <c r="UVQ16" s="319"/>
      <c r="UVR16" s="319"/>
      <c r="UVS16" s="319"/>
      <c r="UVT16" s="319"/>
      <c r="UVU16" s="319"/>
      <c r="UVV16" s="319"/>
      <c r="UVW16" s="319"/>
      <c r="UVX16" s="319"/>
      <c r="UVY16" s="319"/>
      <c r="UVZ16" s="319"/>
      <c r="UWA16" s="319"/>
      <c r="UWB16" s="319"/>
      <c r="UWC16" s="319"/>
      <c r="UWD16" s="319"/>
      <c r="UWE16" s="319"/>
      <c r="UWF16" s="319"/>
      <c r="UWG16" s="319"/>
      <c r="UWH16" s="319"/>
      <c r="UWI16" s="319"/>
      <c r="UWJ16" s="319"/>
      <c r="UWK16" s="319"/>
      <c r="UWL16" s="319"/>
      <c r="UWM16" s="319"/>
      <c r="UWN16" s="319"/>
      <c r="UWO16" s="319"/>
      <c r="UWP16" s="319"/>
      <c r="UWQ16" s="319"/>
      <c r="UWR16" s="319"/>
      <c r="UWS16" s="319"/>
      <c r="UWT16" s="319"/>
      <c r="UWU16" s="319"/>
      <c r="UWV16" s="319"/>
      <c r="UWW16" s="319"/>
      <c r="UWX16" s="319"/>
      <c r="UWY16" s="319"/>
      <c r="UWZ16" s="319"/>
      <c r="UXA16" s="319"/>
      <c r="UXB16" s="319"/>
      <c r="UXC16" s="319"/>
      <c r="UXD16" s="319"/>
      <c r="UXE16" s="319"/>
      <c r="UXF16" s="319"/>
      <c r="UXG16" s="319"/>
      <c r="UXH16" s="319"/>
      <c r="UXI16" s="319"/>
      <c r="UXJ16" s="319"/>
      <c r="UXK16" s="319"/>
      <c r="UXL16" s="319"/>
      <c r="UXM16" s="319"/>
      <c r="UXN16" s="319"/>
      <c r="UXO16" s="319"/>
      <c r="UXP16" s="319"/>
      <c r="UXQ16" s="319"/>
      <c r="UXR16" s="319"/>
      <c r="UXS16" s="319"/>
      <c r="UXT16" s="319"/>
      <c r="UXU16" s="319"/>
      <c r="UXV16" s="319"/>
      <c r="UXW16" s="319"/>
      <c r="UXX16" s="319"/>
      <c r="UXY16" s="319"/>
      <c r="UXZ16" s="319"/>
      <c r="UYA16" s="319"/>
      <c r="UYB16" s="319"/>
      <c r="UYC16" s="319"/>
      <c r="UYD16" s="319"/>
      <c r="UYE16" s="319"/>
      <c r="UYF16" s="319"/>
      <c r="UYG16" s="319"/>
      <c r="UYH16" s="319"/>
      <c r="UYI16" s="319"/>
      <c r="UYJ16" s="319"/>
      <c r="UYK16" s="319"/>
      <c r="UYL16" s="319"/>
      <c r="UYM16" s="319"/>
      <c r="UYN16" s="319"/>
      <c r="UYO16" s="319"/>
      <c r="UYP16" s="319"/>
      <c r="UYQ16" s="319"/>
      <c r="UYR16" s="319"/>
      <c r="UYS16" s="319"/>
      <c r="UYT16" s="319"/>
      <c r="UYU16" s="319"/>
      <c r="UYV16" s="319"/>
      <c r="UYW16" s="319"/>
      <c r="UYX16" s="319"/>
      <c r="UYY16" s="319"/>
      <c r="UYZ16" s="319"/>
      <c r="UZA16" s="319"/>
      <c r="UZB16" s="319"/>
      <c r="UZC16" s="319"/>
      <c r="UZD16" s="319"/>
      <c r="UZE16" s="319"/>
      <c r="UZF16" s="319"/>
      <c r="UZG16" s="319"/>
      <c r="UZH16" s="319"/>
      <c r="UZI16" s="319"/>
      <c r="UZJ16" s="319"/>
      <c r="UZK16" s="319"/>
      <c r="UZL16" s="319"/>
      <c r="UZM16" s="319"/>
      <c r="UZN16" s="319"/>
      <c r="UZO16" s="319"/>
      <c r="UZP16" s="319"/>
      <c r="UZQ16" s="319"/>
      <c r="UZR16" s="319"/>
      <c r="UZS16" s="319"/>
      <c r="UZT16" s="319"/>
      <c r="UZU16" s="319"/>
      <c r="UZV16" s="319"/>
      <c r="UZW16" s="319"/>
      <c r="UZX16" s="319"/>
      <c r="UZY16" s="319"/>
      <c r="UZZ16" s="319"/>
      <c r="VAA16" s="319"/>
      <c r="VAB16" s="319"/>
      <c r="VAC16" s="319"/>
      <c r="VAD16" s="319"/>
      <c r="VAE16" s="319"/>
      <c r="VAF16" s="319"/>
      <c r="VAG16" s="319"/>
      <c r="VAH16" s="319"/>
      <c r="VAI16" s="319"/>
      <c r="VAJ16" s="319"/>
      <c r="VAK16" s="319"/>
      <c r="VAL16" s="319"/>
      <c r="VAM16" s="319"/>
      <c r="VAN16" s="319"/>
      <c r="VAO16" s="319"/>
      <c r="VAP16" s="319"/>
      <c r="VAQ16" s="319"/>
      <c r="VAR16" s="319"/>
      <c r="VAS16" s="319"/>
      <c r="VAT16" s="319"/>
      <c r="VAU16" s="319"/>
      <c r="VAV16" s="319"/>
      <c r="VAW16" s="319"/>
      <c r="VAX16" s="319"/>
      <c r="VAY16" s="319"/>
      <c r="VAZ16" s="319"/>
      <c r="VBA16" s="319"/>
      <c r="VBB16" s="319"/>
      <c r="VBC16" s="319"/>
      <c r="VBD16" s="319"/>
      <c r="VBE16" s="319"/>
      <c r="VBF16" s="319"/>
      <c r="VBG16" s="319"/>
      <c r="VBH16" s="319"/>
      <c r="VBI16" s="319"/>
      <c r="VBJ16" s="319"/>
      <c r="VBK16" s="319"/>
      <c r="VBL16" s="319"/>
      <c r="VBM16" s="319"/>
      <c r="VBN16" s="319"/>
      <c r="VBO16" s="319"/>
      <c r="VBP16" s="319"/>
      <c r="VBQ16" s="319"/>
      <c r="VBR16" s="319"/>
      <c r="VBS16" s="319"/>
      <c r="VBT16" s="319"/>
      <c r="VBU16" s="319"/>
      <c r="VBV16" s="319"/>
      <c r="VBW16" s="319"/>
      <c r="VBX16" s="319"/>
      <c r="VBY16" s="319"/>
      <c r="VBZ16" s="319"/>
      <c r="VCA16" s="319"/>
      <c r="VCB16" s="319"/>
      <c r="VCC16" s="319"/>
      <c r="VCD16" s="319"/>
      <c r="VCE16" s="319"/>
      <c r="VCF16" s="319"/>
      <c r="VCG16" s="319"/>
      <c r="VCH16" s="319"/>
      <c r="VCI16" s="319"/>
      <c r="VCJ16" s="319"/>
      <c r="VCK16" s="319"/>
      <c r="VCL16" s="319"/>
      <c r="VCM16" s="319"/>
      <c r="VCN16" s="319"/>
      <c r="VCO16" s="319"/>
      <c r="VCP16" s="319"/>
      <c r="VCQ16" s="319"/>
      <c r="VCR16" s="319"/>
      <c r="VCS16" s="319"/>
      <c r="VCT16" s="319"/>
      <c r="VCU16" s="319"/>
      <c r="VCV16" s="319"/>
      <c r="VCW16" s="319"/>
      <c r="VCX16" s="319"/>
      <c r="VCY16" s="319"/>
      <c r="VCZ16" s="319"/>
      <c r="VDA16" s="319"/>
      <c r="VDB16" s="319"/>
      <c r="VDC16" s="319"/>
      <c r="VDD16" s="319"/>
      <c r="VDE16" s="319"/>
      <c r="VDF16" s="319"/>
      <c r="VDG16" s="319"/>
      <c r="VDH16" s="319"/>
      <c r="VDI16" s="319"/>
      <c r="VDJ16" s="319"/>
      <c r="VDK16" s="319"/>
      <c r="VDL16" s="319"/>
      <c r="VDM16" s="319"/>
      <c r="VDN16" s="319"/>
      <c r="VDO16" s="319"/>
      <c r="VDP16" s="319"/>
      <c r="VDQ16" s="319"/>
      <c r="VDR16" s="319"/>
      <c r="VDS16" s="319"/>
      <c r="VDT16" s="319"/>
      <c r="VDU16" s="319"/>
      <c r="VDV16" s="319"/>
      <c r="VDW16" s="319"/>
      <c r="VDX16" s="319"/>
      <c r="VDY16" s="319"/>
      <c r="VDZ16" s="319"/>
      <c r="VEA16" s="319"/>
      <c r="VEB16" s="319"/>
      <c r="VEC16" s="319"/>
      <c r="VED16" s="319"/>
      <c r="VEE16" s="319"/>
      <c r="VEF16" s="319"/>
      <c r="VEG16" s="319"/>
      <c r="VEH16" s="319"/>
      <c r="VEI16" s="319"/>
      <c r="VEJ16" s="319"/>
      <c r="VEK16" s="319"/>
      <c r="VEL16" s="319"/>
      <c r="VEM16" s="319"/>
      <c r="VEN16" s="319"/>
      <c r="VEO16" s="319"/>
      <c r="VEP16" s="319"/>
      <c r="VEQ16" s="319"/>
      <c r="VER16" s="319"/>
      <c r="VES16" s="319"/>
      <c r="VET16" s="319"/>
      <c r="VEU16" s="319"/>
      <c r="VEV16" s="319"/>
      <c r="VEW16" s="319"/>
      <c r="VEX16" s="319"/>
      <c r="VEY16" s="319"/>
      <c r="VEZ16" s="319"/>
      <c r="VFA16" s="319"/>
      <c r="VFB16" s="319"/>
      <c r="VFC16" s="319"/>
      <c r="VFD16" s="319"/>
      <c r="VFE16" s="319"/>
      <c r="VFF16" s="319"/>
      <c r="VFG16" s="319"/>
      <c r="VFH16" s="319"/>
      <c r="VFI16" s="319"/>
      <c r="VFJ16" s="319"/>
      <c r="VFK16" s="319"/>
      <c r="VFL16" s="319"/>
      <c r="VFM16" s="319"/>
      <c r="VFN16" s="319"/>
      <c r="VFO16" s="319"/>
      <c r="VFP16" s="319"/>
      <c r="VFQ16" s="319"/>
      <c r="VFR16" s="319"/>
      <c r="VFS16" s="319"/>
      <c r="VFT16" s="319"/>
      <c r="VFU16" s="319"/>
      <c r="VFV16" s="319"/>
      <c r="VFW16" s="319"/>
      <c r="VFX16" s="319"/>
      <c r="VFY16" s="319"/>
      <c r="VFZ16" s="319"/>
      <c r="VGA16" s="319"/>
      <c r="VGB16" s="319"/>
      <c r="VGC16" s="319"/>
      <c r="VGD16" s="319"/>
      <c r="VGE16" s="319"/>
      <c r="VGF16" s="319"/>
      <c r="VGG16" s="319"/>
      <c r="VGH16" s="319"/>
      <c r="VGI16" s="319"/>
      <c r="VGJ16" s="319"/>
      <c r="VGK16" s="319"/>
      <c r="VGL16" s="319"/>
      <c r="VGM16" s="319"/>
      <c r="VGN16" s="319"/>
      <c r="VGO16" s="319"/>
      <c r="VGP16" s="319"/>
      <c r="VGQ16" s="319"/>
      <c r="VGR16" s="319"/>
      <c r="VGS16" s="319"/>
      <c r="VGT16" s="319"/>
      <c r="VGU16" s="319"/>
      <c r="VGV16" s="319"/>
      <c r="VGW16" s="319"/>
      <c r="VGX16" s="319"/>
      <c r="VGY16" s="319"/>
      <c r="VGZ16" s="319"/>
      <c r="VHA16" s="319"/>
      <c r="VHB16" s="319"/>
      <c r="VHC16" s="319"/>
      <c r="VHD16" s="319"/>
      <c r="VHE16" s="319"/>
      <c r="VHF16" s="319"/>
      <c r="VHG16" s="319"/>
      <c r="VHH16" s="319"/>
      <c r="VHI16" s="319"/>
      <c r="VHJ16" s="319"/>
      <c r="VHK16" s="319"/>
      <c r="VHL16" s="319"/>
      <c r="VHM16" s="319"/>
      <c r="VHN16" s="319"/>
      <c r="VHO16" s="319"/>
      <c r="VHP16" s="319"/>
      <c r="VHQ16" s="319"/>
      <c r="VHR16" s="319"/>
      <c r="VHS16" s="319"/>
      <c r="VHT16" s="319"/>
      <c r="VHU16" s="319"/>
      <c r="VHV16" s="319"/>
      <c r="VHW16" s="319"/>
      <c r="VHX16" s="319"/>
      <c r="VHY16" s="319"/>
      <c r="VHZ16" s="319"/>
      <c r="VIA16" s="319"/>
      <c r="VIB16" s="319"/>
      <c r="VIC16" s="319"/>
      <c r="VID16" s="319"/>
      <c r="VIE16" s="319"/>
      <c r="VIF16" s="319"/>
      <c r="VIG16" s="319"/>
      <c r="VIH16" s="319"/>
      <c r="VII16" s="319"/>
      <c r="VIJ16" s="319"/>
      <c r="VIK16" s="319"/>
      <c r="VIL16" s="319"/>
      <c r="VIM16" s="319"/>
      <c r="VIN16" s="319"/>
      <c r="VIO16" s="319"/>
      <c r="VIP16" s="319"/>
      <c r="VIQ16" s="319"/>
      <c r="VIR16" s="319"/>
      <c r="VIS16" s="319"/>
      <c r="VIT16" s="319"/>
      <c r="VIU16" s="319"/>
      <c r="VIV16" s="319"/>
      <c r="VIW16" s="319"/>
      <c r="VIX16" s="319"/>
      <c r="VIY16" s="319"/>
      <c r="VIZ16" s="319"/>
      <c r="VJA16" s="319"/>
      <c r="VJB16" s="319"/>
      <c r="VJC16" s="319"/>
      <c r="VJD16" s="319"/>
      <c r="VJE16" s="319"/>
      <c r="VJF16" s="319"/>
      <c r="VJG16" s="319"/>
      <c r="VJH16" s="319"/>
      <c r="VJI16" s="319"/>
      <c r="VJJ16" s="319"/>
      <c r="VJK16" s="319"/>
      <c r="VJL16" s="319"/>
      <c r="VJM16" s="319"/>
      <c r="VJN16" s="319"/>
      <c r="VJO16" s="319"/>
      <c r="VJP16" s="319"/>
      <c r="VJQ16" s="319"/>
      <c r="VJR16" s="319"/>
      <c r="VJS16" s="319"/>
      <c r="VJT16" s="319"/>
      <c r="VJU16" s="319"/>
      <c r="VJV16" s="319"/>
      <c r="VJW16" s="319"/>
      <c r="VJX16" s="319"/>
      <c r="VJY16" s="319"/>
      <c r="VJZ16" s="319"/>
      <c r="VKA16" s="319"/>
      <c r="VKB16" s="319"/>
      <c r="VKC16" s="319"/>
      <c r="VKD16" s="319"/>
      <c r="VKE16" s="319"/>
      <c r="VKF16" s="319"/>
      <c r="VKG16" s="319"/>
      <c r="VKH16" s="319"/>
      <c r="VKI16" s="319"/>
      <c r="VKJ16" s="319"/>
      <c r="VKK16" s="319"/>
      <c r="VKL16" s="319"/>
      <c r="VKM16" s="319"/>
      <c r="VKN16" s="319"/>
      <c r="VKO16" s="319"/>
      <c r="VKP16" s="319"/>
      <c r="VKQ16" s="319"/>
      <c r="VKR16" s="319"/>
      <c r="VKS16" s="319"/>
      <c r="VKT16" s="319"/>
      <c r="VKU16" s="319"/>
      <c r="VKV16" s="319"/>
      <c r="VKW16" s="319"/>
      <c r="VKX16" s="319"/>
      <c r="VKY16" s="319"/>
      <c r="VKZ16" s="319"/>
      <c r="VLA16" s="319"/>
      <c r="VLB16" s="319"/>
      <c r="VLC16" s="319"/>
      <c r="VLD16" s="319"/>
      <c r="VLE16" s="319"/>
      <c r="VLF16" s="319"/>
      <c r="VLG16" s="319"/>
      <c r="VLH16" s="319"/>
      <c r="VLI16" s="319"/>
      <c r="VLJ16" s="319"/>
      <c r="VLK16" s="319"/>
      <c r="VLL16" s="319"/>
      <c r="VLM16" s="319"/>
      <c r="VLN16" s="319"/>
      <c r="VLO16" s="319"/>
      <c r="VLP16" s="319"/>
      <c r="VLQ16" s="319"/>
      <c r="VLR16" s="319"/>
      <c r="VLS16" s="319"/>
      <c r="VLT16" s="319"/>
      <c r="VLU16" s="319"/>
      <c r="VLV16" s="319"/>
      <c r="VLW16" s="319"/>
      <c r="VLX16" s="319"/>
      <c r="VLY16" s="319"/>
      <c r="VLZ16" s="319"/>
      <c r="VMA16" s="319"/>
      <c r="VMB16" s="319"/>
      <c r="VMC16" s="319"/>
      <c r="VMD16" s="319"/>
      <c r="VME16" s="319"/>
      <c r="VMF16" s="319"/>
      <c r="VMG16" s="319"/>
      <c r="VMH16" s="319"/>
      <c r="VMI16" s="319"/>
      <c r="VMJ16" s="319"/>
      <c r="VMK16" s="319"/>
      <c r="VML16" s="319"/>
      <c r="VMM16" s="319"/>
      <c r="VMN16" s="319"/>
      <c r="VMO16" s="319"/>
      <c r="VMP16" s="319"/>
      <c r="VMQ16" s="319"/>
      <c r="VMR16" s="319"/>
      <c r="VMS16" s="319"/>
      <c r="VMT16" s="319"/>
      <c r="VMU16" s="319"/>
      <c r="VMV16" s="319"/>
      <c r="VMW16" s="319"/>
      <c r="VMX16" s="319"/>
      <c r="VMY16" s="319"/>
      <c r="VMZ16" s="319"/>
      <c r="VNA16" s="319"/>
      <c r="VNB16" s="319"/>
      <c r="VNC16" s="319"/>
      <c r="VND16" s="319"/>
      <c r="VNE16" s="319"/>
      <c r="VNF16" s="319"/>
      <c r="VNG16" s="319"/>
      <c r="VNH16" s="319"/>
      <c r="VNI16" s="319"/>
      <c r="VNJ16" s="319"/>
      <c r="VNK16" s="319"/>
      <c r="VNL16" s="319"/>
      <c r="VNM16" s="319"/>
      <c r="VNN16" s="319"/>
      <c r="VNO16" s="319"/>
      <c r="VNP16" s="319"/>
      <c r="VNQ16" s="319"/>
      <c r="VNR16" s="319"/>
      <c r="VNS16" s="319"/>
      <c r="VNT16" s="319"/>
      <c r="VNU16" s="319"/>
      <c r="VNV16" s="319"/>
      <c r="VNW16" s="319"/>
      <c r="VNX16" s="319"/>
      <c r="VNY16" s="319"/>
      <c r="VNZ16" s="319"/>
      <c r="VOA16" s="319"/>
      <c r="VOB16" s="319"/>
      <c r="VOC16" s="319"/>
      <c r="VOD16" s="319"/>
      <c r="VOE16" s="319"/>
      <c r="VOF16" s="319"/>
      <c r="VOG16" s="319"/>
      <c r="VOH16" s="319"/>
      <c r="VOI16" s="319"/>
      <c r="VOJ16" s="319"/>
      <c r="VOK16" s="319"/>
      <c r="VOL16" s="319"/>
      <c r="VOM16" s="319"/>
      <c r="VON16" s="319"/>
      <c r="VOO16" s="319"/>
      <c r="VOP16" s="319"/>
      <c r="VOQ16" s="319"/>
      <c r="VOR16" s="319"/>
      <c r="VOS16" s="319"/>
      <c r="VOT16" s="319"/>
      <c r="VOU16" s="319"/>
      <c r="VOV16" s="319"/>
      <c r="VOW16" s="319"/>
      <c r="VOX16" s="319"/>
      <c r="VOY16" s="319"/>
      <c r="VOZ16" s="319"/>
      <c r="VPA16" s="319"/>
      <c r="VPB16" s="319"/>
      <c r="VPC16" s="319"/>
      <c r="VPD16" s="319"/>
      <c r="VPE16" s="319"/>
      <c r="VPF16" s="319"/>
      <c r="VPG16" s="319"/>
      <c r="VPH16" s="319"/>
      <c r="VPI16" s="319"/>
      <c r="VPJ16" s="319"/>
      <c r="VPK16" s="319"/>
      <c r="VPL16" s="319"/>
      <c r="VPM16" s="319"/>
      <c r="VPN16" s="319"/>
      <c r="VPO16" s="319"/>
      <c r="VPP16" s="319"/>
      <c r="VPQ16" s="319"/>
      <c r="VPR16" s="319"/>
      <c r="VPS16" s="319"/>
      <c r="VPT16" s="319"/>
      <c r="VPU16" s="319"/>
      <c r="VPV16" s="319"/>
      <c r="VPW16" s="319"/>
      <c r="VPX16" s="319"/>
      <c r="VPY16" s="319"/>
      <c r="VPZ16" s="319"/>
      <c r="VQA16" s="319"/>
      <c r="VQB16" s="319"/>
      <c r="VQC16" s="319"/>
      <c r="VQD16" s="319"/>
      <c r="VQE16" s="319"/>
      <c r="VQF16" s="319"/>
      <c r="VQG16" s="319"/>
      <c r="VQH16" s="319"/>
      <c r="VQI16" s="319"/>
      <c r="VQJ16" s="319"/>
      <c r="VQK16" s="319"/>
      <c r="VQL16" s="319"/>
      <c r="VQM16" s="319"/>
      <c r="VQN16" s="319"/>
      <c r="VQO16" s="319"/>
      <c r="VQP16" s="319"/>
      <c r="VQQ16" s="319"/>
      <c r="VQR16" s="319"/>
      <c r="VQS16" s="319"/>
      <c r="VQT16" s="319"/>
      <c r="VQU16" s="319"/>
      <c r="VQV16" s="319"/>
      <c r="VQW16" s="319"/>
      <c r="VQX16" s="319"/>
      <c r="VQY16" s="319"/>
      <c r="VQZ16" s="319"/>
      <c r="VRA16" s="319"/>
      <c r="VRB16" s="319"/>
      <c r="VRC16" s="319"/>
      <c r="VRD16" s="319"/>
      <c r="VRE16" s="319"/>
      <c r="VRF16" s="319"/>
      <c r="VRG16" s="319"/>
      <c r="VRH16" s="319"/>
      <c r="VRI16" s="319"/>
      <c r="VRJ16" s="319"/>
      <c r="VRK16" s="319"/>
      <c r="VRL16" s="319"/>
      <c r="VRM16" s="319"/>
      <c r="VRN16" s="319"/>
      <c r="VRO16" s="319"/>
      <c r="VRP16" s="319"/>
      <c r="VRQ16" s="319"/>
      <c r="VRR16" s="319"/>
      <c r="VRS16" s="319"/>
      <c r="VRT16" s="319"/>
      <c r="VRU16" s="319"/>
      <c r="VRV16" s="319"/>
      <c r="VRW16" s="319"/>
      <c r="VRX16" s="319"/>
      <c r="VRY16" s="319"/>
      <c r="VRZ16" s="319"/>
      <c r="VSA16" s="319"/>
      <c r="VSB16" s="319"/>
      <c r="VSC16" s="319"/>
      <c r="VSD16" s="319"/>
      <c r="VSE16" s="319"/>
      <c r="VSF16" s="319"/>
      <c r="VSG16" s="319"/>
      <c r="VSH16" s="319"/>
      <c r="VSI16" s="319"/>
      <c r="VSJ16" s="319"/>
      <c r="VSK16" s="319"/>
      <c r="VSL16" s="319"/>
      <c r="VSM16" s="319"/>
      <c r="VSN16" s="319"/>
      <c r="VSO16" s="319"/>
      <c r="VSP16" s="319"/>
      <c r="VSQ16" s="319"/>
      <c r="VSR16" s="319"/>
      <c r="VSS16" s="319"/>
      <c r="VST16" s="319"/>
      <c r="VSU16" s="319"/>
      <c r="VSV16" s="319"/>
      <c r="VSW16" s="319"/>
      <c r="VSX16" s="319"/>
      <c r="VSY16" s="319"/>
      <c r="VSZ16" s="319"/>
      <c r="VTA16" s="319"/>
      <c r="VTB16" s="319"/>
      <c r="VTC16" s="319"/>
      <c r="VTD16" s="319"/>
      <c r="VTE16" s="319"/>
      <c r="VTF16" s="319"/>
      <c r="VTG16" s="319"/>
      <c r="VTH16" s="319"/>
      <c r="VTI16" s="319"/>
      <c r="VTJ16" s="319"/>
      <c r="VTK16" s="319"/>
      <c r="VTL16" s="319"/>
      <c r="VTM16" s="319"/>
      <c r="VTN16" s="319"/>
      <c r="VTO16" s="319"/>
      <c r="VTP16" s="319"/>
      <c r="VTQ16" s="319"/>
      <c r="VTR16" s="319"/>
      <c r="VTS16" s="319"/>
      <c r="VTT16" s="319"/>
      <c r="VTU16" s="319"/>
      <c r="VTV16" s="319"/>
      <c r="VTW16" s="319"/>
      <c r="VTX16" s="319"/>
      <c r="VTY16" s="319"/>
      <c r="VTZ16" s="319"/>
      <c r="VUA16" s="319"/>
      <c r="VUB16" s="319"/>
      <c r="VUC16" s="319"/>
      <c r="VUD16" s="319"/>
      <c r="VUE16" s="319"/>
      <c r="VUF16" s="319"/>
      <c r="VUG16" s="319"/>
      <c r="VUH16" s="319"/>
      <c r="VUI16" s="319"/>
      <c r="VUJ16" s="319"/>
      <c r="VUK16" s="319"/>
      <c r="VUL16" s="319"/>
      <c r="VUM16" s="319"/>
      <c r="VUN16" s="319"/>
      <c r="VUO16" s="319"/>
      <c r="VUP16" s="319"/>
      <c r="VUQ16" s="319"/>
      <c r="VUR16" s="319"/>
      <c r="VUS16" s="319"/>
      <c r="VUT16" s="319"/>
      <c r="VUU16" s="319"/>
      <c r="VUV16" s="319"/>
      <c r="VUW16" s="319"/>
      <c r="VUX16" s="319"/>
      <c r="VUY16" s="319"/>
      <c r="VUZ16" s="319"/>
      <c r="VVA16" s="319"/>
      <c r="VVB16" s="319"/>
      <c r="VVC16" s="319"/>
      <c r="VVD16" s="319"/>
      <c r="VVE16" s="319"/>
      <c r="VVF16" s="319"/>
      <c r="VVG16" s="319"/>
      <c r="VVH16" s="319"/>
      <c r="VVI16" s="319"/>
      <c r="VVJ16" s="319"/>
      <c r="VVK16" s="319"/>
      <c r="VVL16" s="319"/>
      <c r="VVM16" s="319"/>
      <c r="VVN16" s="319"/>
      <c r="VVO16" s="319"/>
      <c r="VVP16" s="319"/>
      <c r="VVQ16" s="319"/>
      <c r="VVR16" s="319"/>
      <c r="VVS16" s="319"/>
      <c r="VVT16" s="319"/>
      <c r="VVU16" s="319"/>
      <c r="VVV16" s="319"/>
      <c r="VVW16" s="319"/>
      <c r="VVX16" s="319"/>
      <c r="VVY16" s="319"/>
      <c r="VVZ16" s="319"/>
      <c r="VWA16" s="319"/>
      <c r="VWB16" s="319"/>
      <c r="VWC16" s="319"/>
      <c r="VWD16" s="319"/>
      <c r="VWE16" s="319"/>
      <c r="VWF16" s="319"/>
      <c r="VWG16" s="319"/>
      <c r="VWH16" s="319"/>
      <c r="VWI16" s="319"/>
      <c r="VWJ16" s="319"/>
      <c r="VWK16" s="319"/>
      <c r="VWL16" s="319"/>
      <c r="VWM16" s="319"/>
      <c r="VWN16" s="319"/>
      <c r="VWO16" s="319"/>
      <c r="VWP16" s="319"/>
      <c r="VWQ16" s="319"/>
      <c r="VWR16" s="319"/>
      <c r="VWS16" s="319"/>
      <c r="VWT16" s="319"/>
      <c r="VWU16" s="319"/>
      <c r="VWV16" s="319"/>
      <c r="VWW16" s="319"/>
      <c r="VWX16" s="319"/>
      <c r="VWY16" s="319"/>
      <c r="VWZ16" s="319"/>
      <c r="VXA16" s="319"/>
      <c r="VXB16" s="319"/>
      <c r="VXC16" s="319"/>
      <c r="VXD16" s="319"/>
      <c r="VXE16" s="319"/>
      <c r="VXF16" s="319"/>
      <c r="VXG16" s="319"/>
      <c r="VXH16" s="319"/>
      <c r="VXI16" s="319"/>
      <c r="VXJ16" s="319"/>
      <c r="VXK16" s="319"/>
      <c r="VXL16" s="319"/>
      <c r="VXM16" s="319"/>
      <c r="VXN16" s="319"/>
      <c r="VXO16" s="319"/>
      <c r="VXP16" s="319"/>
      <c r="VXQ16" s="319"/>
      <c r="VXR16" s="319"/>
      <c r="VXS16" s="319"/>
      <c r="VXT16" s="319"/>
      <c r="VXU16" s="319"/>
      <c r="VXV16" s="319"/>
      <c r="VXW16" s="319"/>
      <c r="VXX16" s="319"/>
      <c r="VXY16" s="319"/>
      <c r="VXZ16" s="319"/>
      <c r="VYA16" s="319"/>
      <c r="VYB16" s="319"/>
      <c r="VYC16" s="319"/>
      <c r="VYD16" s="319"/>
      <c r="VYE16" s="319"/>
      <c r="VYF16" s="319"/>
      <c r="VYG16" s="319"/>
      <c r="VYH16" s="319"/>
      <c r="VYI16" s="319"/>
      <c r="VYJ16" s="319"/>
      <c r="VYK16" s="319"/>
      <c r="VYL16" s="319"/>
      <c r="VYM16" s="319"/>
      <c r="VYN16" s="319"/>
      <c r="VYO16" s="319"/>
      <c r="VYP16" s="319"/>
      <c r="VYQ16" s="319"/>
      <c r="VYR16" s="319"/>
      <c r="VYS16" s="319"/>
      <c r="VYT16" s="319"/>
      <c r="VYU16" s="319"/>
      <c r="VYV16" s="319"/>
      <c r="VYW16" s="319"/>
      <c r="VYX16" s="319"/>
      <c r="VYY16" s="319"/>
      <c r="VYZ16" s="319"/>
      <c r="VZA16" s="319"/>
      <c r="VZB16" s="319"/>
      <c r="VZC16" s="319"/>
      <c r="VZD16" s="319"/>
      <c r="VZE16" s="319"/>
      <c r="VZF16" s="319"/>
      <c r="VZG16" s="319"/>
      <c r="VZH16" s="319"/>
      <c r="VZI16" s="319"/>
      <c r="VZJ16" s="319"/>
      <c r="VZK16" s="319"/>
      <c r="VZL16" s="319"/>
      <c r="VZM16" s="319"/>
      <c r="VZN16" s="319"/>
      <c r="VZO16" s="319"/>
      <c r="VZP16" s="319"/>
      <c r="VZQ16" s="319"/>
      <c r="VZR16" s="319"/>
      <c r="VZS16" s="319"/>
      <c r="VZT16" s="319"/>
      <c r="VZU16" s="319"/>
      <c r="VZV16" s="319"/>
      <c r="VZW16" s="319"/>
      <c r="VZX16" s="319"/>
      <c r="VZY16" s="319"/>
      <c r="VZZ16" s="319"/>
      <c r="WAA16" s="319"/>
      <c r="WAB16" s="319"/>
      <c r="WAC16" s="319"/>
      <c r="WAD16" s="319"/>
      <c r="WAE16" s="319"/>
      <c r="WAF16" s="319"/>
      <c r="WAG16" s="319"/>
      <c r="WAH16" s="319"/>
      <c r="WAI16" s="319"/>
      <c r="WAJ16" s="319"/>
      <c r="WAK16" s="319"/>
      <c r="WAL16" s="319"/>
      <c r="WAM16" s="319"/>
      <c r="WAN16" s="319"/>
      <c r="WAO16" s="319"/>
      <c r="WAP16" s="319"/>
      <c r="WAQ16" s="319"/>
      <c r="WAR16" s="319"/>
      <c r="WAS16" s="319"/>
      <c r="WAT16" s="319"/>
      <c r="WAU16" s="319"/>
      <c r="WAV16" s="319"/>
      <c r="WAW16" s="319"/>
      <c r="WAX16" s="319"/>
      <c r="WAY16" s="319"/>
      <c r="WAZ16" s="319"/>
      <c r="WBA16" s="319"/>
      <c r="WBB16" s="319"/>
      <c r="WBC16" s="319"/>
      <c r="WBD16" s="319"/>
      <c r="WBE16" s="319"/>
      <c r="WBF16" s="319"/>
      <c r="WBG16" s="319"/>
      <c r="WBH16" s="319"/>
      <c r="WBI16" s="319"/>
      <c r="WBJ16" s="319"/>
      <c r="WBK16" s="319"/>
      <c r="WBL16" s="319"/>
      <c r="WBM16" s="319"/>
      <c r="WBN16" s="319"/>
      <c r="WBO16" s="319"/>
      <c r="WBP16" s="319"/>
      <c r="WBQ16" s="319"/>
      <c r="WBR16" s="319"/>
      <c r="WBS16" s="319"/>
      <c r="WBT16" s="319"/>
      <c r="WBU16" s="319"/>
      <c r="WBV16" s="319"/>
      <c r="WBW16" s="319"/>
      <c r="WBX16" s="319"/>
      <c r="WBY16" s="319"/>
      <c r="WBZ16" s="319"/>
      <c r="WCA16" s="319"/>
      <c r="WCB16" s="319"/>
      <c r="WCC16" s="319"/>
      <c r="WCD16" s="319"/>
      <c r="WCE16" s="319"/>
      <c r="WCF16" s="319"/>
      <c r="WCG16" s="319"/>
      <c r="WCH16" s="319"/>
      <c r="WCI16" s="319"/>
      <c r="WCJ16" s="319"/>
      <c r="WCK16" s="319"/>
      <c r="WCL16" s="319"/>
      <c r="WCM16" s="319"/>
      <c r="WCN16" s="319"/>
      <c r="WCO16" s="319"/>
      <c r="WCP16" s="319"/>
      <c r="WCQ16" s="319"/>
      <c r="WCR16" s="319"/>
      <c r="WCS16" s="319"/>
      <c r="WCT16" s="319"/>
      <c r="WCU16" s="319"/>
      <c r="WCV16" s="319"/>
      <c r="WCW16" s="319"/>
      <c r="WCX16" s="319"/>
      <c r="WCY16" s="319"/>
      <c r="WCZ16" s="319"/>
      <c r="WDA16" s="319"/>
      <c r="WDB16" s="319"/>
      <c r="WDC16" s="319"/>
      <c r="WDD16" s="319"/>
      <c r="WDE16" s="319"/>
      <c r="WDF16" s="319"/>
      <c r="WDG16" s="319"/>
      <c r="WDH16" s="319"/>
      <c r="WDI16" s="319"/>
      <c r="WDJ16" s="319"/>
      <c r="WDK16" s="319"/>
      <c r="WDL16" s="319"/>
      <c r="WDM16" s="319"/>
      <c r="WDN16" s="319"/>
      <c r="WDO16" s="319"/>
      <c r="WDP16" s="319"/>
      <c r="WDQ16" s="319"/>
      <c r="WDR16" s="319"/>
      <c r="WDS16" s="319"/>
      <c r="WDT16" s="319"/>
      <c r="WDU16" s="319"/>
      <c r="WDV16" s="319"/>
      <c r="WDW16" s="319"/>
      <c r="WDX16" s="319"/>
      <c r="WDY16" s="319"/>
      <c r="WDZ16" s="319"/>
      <c r="WEA16" s="319"/>
      <c r="WEB16" s="319"/>
      <c r="WEC16" s="319"/>
      <c r="WED16" s="319"/>
      <c r="WEE16" s="319"/>
      <c r="WEF16" s="319"/>
      <c r="WEG16" s="319"/>
      <c r="WEH16" s="319"/>
      <c r="WEI16" s="319"/>
      <c r="WEJ16" s="319"/>
      <c r="WEK16" s="319"/>
      <c r="WEL16" s="319"/>
      <c r="WEM16" s="319"/>
      <c r="WEN16" s="319"/>
      <c r="WEO16" s="319"/>
      <c r="WEP16" s="319"/>
      <c r="WEQ16" s="319"/>
      <c r="WER16" s="319"/>
      <c r="WES16" s="319"/>
      <c r="WET16" s="319"/>
      <c r="WEU16" s="319"/>
      <c r="WEV16" s="319"/>
      <c r="WEW16" s="319"/>
      <c r="WEX16" s="319"/>
      <c r="WEY16" s="319"/>
      <c r="WEZ16" s="319"/>
      <c r="WFA16" s="319"/>
      <c r="WFB16" s="319"/>
      <c r="WFC16" s="319"/>
      <c r="WFD16" s="319"/>
      <c r="WFE16" s="319"/>
      <c r="WFF16" s="319"/>
      <c r="WFG16" s="319"/>
      <c r="WFH16" s="319"/>
      <c r="WFI16" s="319"/>
      <c r="WFJ16" s="319"/>
      <c r="WFK16" s="319"/>
      <c r="WFL16" s="319"/>
      <c r="WFM16" s="319"/>
      <c r="WFN16" s="319"/>
      <c r="WFO16" s="319"/>
      <c r="WFP16" s="319"/>
      <c r="WFQ16" s="319"/>
      <c r="WFR16" s="319"/>
      <c r="WFS16" s="319"/>
      <c r="WFT16" s="319"/>
      <c r="WFU16" s="319"/>
      <c r="WFV16" s="319"/>
      <c r="WFW16" s="319"/>
      <c r="WFX16" s="319"/>
      <c r="WFY16" s="319"/>
      <c r="WFZ16" s="319"/>
      <c r="WGA16" s="319"/>
      <c r="WGB16" s="319"/>
      <c r="WGC16" s="319"/>
      <c r="WGD16" s="319"/>
      <c r="WGE16" s="319"/>
      <c r="WGF16" s="319"/>
      <c r="WGG16" s="319"/>
      <c r="WGH16" s="319"/>
      <c r="WGI16" s="319"/>
      <c r="WGJ16" s="319"/>
      <c r="WGK16" s="319"/>
      <c r="WGL16" s="319"/>
      <c r="WGM16" s="319"/>
      <c r="WGN16" s="319"/>
      <c r="WGO16" s="319"/>
      <c r="WGP16" s="319"/>
      <c r="WGQ16" s="319"/>
      <c r="WGR16" s="319"/>
      <c r="WGS16" s="319"/>
      <c r="WGT16" s="319"/>
      <c r="WGU16" s="319"/>
      <c r="WGV16" s="319"/>
      <c r="WGW16" s="319"/>
      <c r="WGX16" s="319"/>
      <c r="WGY16" s="319"/>
      <c r="WGZ16" s="319"/>
      <c r="WHA16" s="319"/>
      <c r="WHB16" s="319"/>
      <c r="WHC16" s="319"/>
      <c r="WHD16" s="319"/>
      <c r="WHE16" s="319"/>
      <c r="WHF16" s="319"/>
      <c r="WHG16" s="319"/>
      <c r="WHH16" s="319"/>
      <c r="WHI16" s="319"/>
      <c r="WHJ16" s="319"/>
      <c r="WHK16" s="319"/>
      <c r="WHL16" s="319"/>
      <c r="WHM16" s="319"/>
      <c r="WHN16" s="319"/>
      <c r="WHO16" s="319"/>
      <c r="WHP16" s="319"/>
      <c r="WHQ16" s="319"/>
      <c r="WHR16" s="319"/>
      <c r="WHS16" s="319"/>
      <c r="WHT16" s="319"/>
      <c r="WHU16" s="319"/>
      <c r="WHV16" s="319"/>
      <c r="WHW16" s="319"/>
      <c r="WHX16" s="319"/>
      <c r="WHY16" s="319"/>
      <c r="WHZ16" s="319"/>
      <c r="WIA16" s="319"/>
      <c r="WIB16" s="319"/>
      <c r="WIC16" s="319"/>
      <c r="WID16" s="319"/>
      <c r="WIE16" s="319"/>
      <c r="WIF16" s="319"/>
      <c r="WIG16" s="319"/>
      <c r="WIH16" s="319"/>
      <c r="WII16" s="319"/>
      <c r="WIJ16" s="319"/>
      <c r="WIK16" s="319"/>
      <c r="WIL16" s="319"/>
      <c r="WIM16" s="319"/>
      <c r="WIN16" s="319"/>
      <c r="WIO16" s="319"/>
      <c r="WIP16" s="319"/>
      <c r="WIQ16" s="319"/>
      <c r="WIR16" s="319"/>
      <c r="WIS16" s="319"/>
      <c r="WIT16" s="319"/>
      <c r="WIU16" s="319"/>
      <c r="WIV16" s="319"/>
      <c r="WIW16" s="319"/>
      <c r="WIX16" s="319"/>
      <c r="WIY16" s="319"/>
      <c r="WIZ16" s="319"/>
      <c r="WJA16" s="319"/>
      <c r="WJB16" s="319"/>
      <c r="WJC16" s="319"/>
      <c r="WJD16" s="319"/>
      <c r="WJE16" s="319"/>
      <c r="WJF16" s="319"/>
      <c r="WJG16" s="319"/>
      <c r="WJH16" s="319"/>
      <c r="WJI16" s="319"/>
      <c r="WJJ16" s="319"/>
      <c r="WJK16" s="319"/>
      <c r="WJL16" s="319"/>
      <c r="WJM16" s="319"/>
      <c r="WJN16" s="319"/>
      <c r="WJO16" s="319"/>
      <c r="WJP16" s="319"/>
      <c r="WJQ16" s="319"/>
      <c r="WJR16" s="319"/>
      <c r="WJS16" s="319"/>
      <c r="WJT16" s="319"/>
      <c r="WJU16" s="319"/>
      <c r="WJV16" s="319"/>
      <c r="WJW16" s="319"/>
      <c r="WJX16" s="319"/>
      <c r="WJY16" s="319"/>
      <c r="WJZ16" s="319"/>
      <c r="WKA16" s="319"/>
      <c r="WKB16" s="319"/>
      <c r="WKC16" s="319"/>
      <c r="WKD16" s="319"/>
      <c r="WKE16" s="319"/>
      <c r="WKF16" s="319"/>
      <c r="WKG16" s="319"/>
      <c r="WKH16" s="319"/>
      <c r="WKI16" s="319"/>
      <c r="WKJ16" s="319"/>
      <c r="WKK16" s="319"/>
      <c r="WKL16" s="319"/>
      <c r="WKM16" s="319"/>
      <c r="WKN16" s="319"/>
      <c r="WKO16" s="319"/>
      <c r="WKP16" s="319"/>
      <c r="WKQ16" s="319"/>
      <c r="WKR16" s="319"/>
      <c r="WKS16" s="319"/>
      <c r="WKT16" s="319"/>
      <c r="WKU16" s="319"/>
      <c r="WKV16" s="319"/>
      <c r="WKW16" s="319"/>
      <c r="WKX16" s="319"/>
      <c r="WKY16" s="319"/>
      <c r="WKZ16" s="319"/>
      <c r="WLA16" s="319"/>
      <c r="WLB16" s="319"/>
      <c r="WLC16" s="319"/>
      <c r="WLD16" s="319"/>
      <c r="WLE16" s="319"/>
      <c r="WLF16" s="319"/>
      <c r="WLG16" s="319"/>
      <c r="WLH16" s="319"/>
      <c r="WLI16" s="319"/>
      <c r="WLJ16" s="319"/>
      <c r="WLK16" s="319"/>
      <c r="WLL16" s="319"/>
      <c r="WLM16" s="319"/>
      <c r="WLN16" s="319"/>
      <c r="WLO16" s="319"/>
      <c r="WLP16" s="319"/>
      <c r="WLQ16" s="319"/>
      <c r="WLR16" s="319"/>
      <c r="WLS16" s="319"/>
      <c r="WLT16" s="319"/>
      <c r="WLU16" s="319"/>
      <c r="WLV16" s="319"/>
      <c r="WLW16" s="319"/>
      <c r="WLX16" s="319"/>
      <c r="WLY16" s="319"/>
      <c r="WLZ16" s="319"/>
      <c r="WMA16" s="319"/>
      <c r="WMB16" s="319"/>
      <c r="WMC16" s="319"/>
      <c r="WMD16" s="319"/>
      <c r="WME16" s="319"/>
      <c r="WMF16" s="319"/>
      <c r="WMG16" s="319"/>
      <c r="WMH16" s="319"/>
      <c r="WMI16" s="319"/>
      <c r="WMJ16" s="319"/>
      <c r="WMK16" s="319"/>
      <c r="WML16" s="319"/>
      <c r="WMM16" s="319"/>
      <c r="WMN16" s="319"/>
      <c r="WMO16" s="319"/>
      <c r="WMP16" s="319"/>
      <c r="WMQ16" s="319"/>
      <c r="WMR16" s="319"/>
      <c r="WMS16" s="319"/>
      <c r="WMT16" s="319"/>
      <c r="WMU16" s="319"/>
      <c r="WMV16" s="319"/>
      <c r="WMW16" s="319"/>
      <c r="WMX16" s="319"/>
      <c r="WMY16" s="319"/>
      <c r="WMZ16" s="319"/>
      <c r="WNA16" s="319"/>
      <c r="WNB16" s="319"/>
      <c r="WNC16" s="319"/>
      <c r="WND16" s="319"/>
      <c r="WNE16" s="319"/>
      <c r="WNF16" s="319"/>
      <c r="WNG16" s="319"/>
      <c r="WNH16" s="319"/>
      <c r="WNI16" s="319"/>
      <c r="WNJ16" s="319"/>
      <c r="WNK16" s="319"/>
      <c r="WNL16" s="319"/>
      <c r="WNM16" s="319"/>
      <c r="WNN16" s="319"/>
      <c r="WNO16" s="319"/>
      <c r="WNP16" s="319"/>
      <c r="WNQ16" s="319"/>
      <c r="WNR16" s="319"/>
      <c r="WNS16" s="319"/>
      <c r="WNT16" s="319"/>
      <c r="WNU16" s="319"/>
      <c r="WNV16" s="319"/>
      <c r="WNW16" s="319"/>
      <c r="WNX16" s="319"/>
      <c r="WNY16" s="319"/>
      <c r="WNZ16" s="319"/>
      <c r="WOA16" s="319"/>
      <c r="WOB16" s="319"/>
      <c r="WOC16" s="319"/>
      <c r="WOD16" s="319"/>
      <c r="WOE16" s="319"/>
      <c r="WOF16" s="319"/>
      <c r="WOG16" s="319"/>
      <c r="WOH16" s="319"/>
      <c r="WOI16" s="319"/>
      <c r="WOJ16" s="319"/>
      <c r="WOK16" s="319"/>
      <c r="WOL16" s="319"/>
      <c r="WOM16" s="319"/>
      <c r="WON16" s="319"/>
      <c r="WOO16" s="319"/>
      <c r="WOP16" s="319"/>
      <c r="WOQ16" s="319"/>
      <c r="WOR16" s="319"/>
      <c r="WOS16" s="319"/>
      <c r="WOT16" s="319"/>
      <c r="WOU16" s="319"/>
      <c r="WOV16" s="319"/>
      <c r="WOW16" s="319"/>
      <c r="WOX16" s="319"/>
      <c r="WOY16" s="319"/>
      <c r="WOZ16" s="319"/>
      <c r="WPA16" s="319"/>
      <c r="WPB16" s="319"/>
      <c r="WPC16" s="319"/>
      <c r="WPD16" s="319"/>
      <c r="WPE16" s="319"/>
      <c r="WPF16" s="319"/>
      <c r="WPG16" s="319"/>
      <c r="WPH16" s="319"/>
      <c r="WPI16" s="319"/>
      <c r="WPJ16" s="319"/>
      <c r="WPK16" s="319"/>
      <c r="WPL16" s="319"/>
      <c r="WPM16" s="319"/>
      <c r="WPN16" s="319"/>
      <c r="WPO16" s="319"/>
      <c r="WPP16" s="319"/>
      <c r="WPQ16" s="319"/>
      <c r="WPR16" s="319"/>
      <c r="WPS16" s="319"/>
      <c r="WPT16" s="319"/>
      <c r="WPU16" s="319"/>
      <c r="WPV16" s="319"/>
      <c r="WPW16" s="319"/>
      <c r="WPX16" s="319"/>
      <c r="WPY16" s="319"/>
      <c r="WPZ16" s="319"/>
      <c r="WQA16" s="319"/>
      <c r="WQB16" s="319"/>
      <c r="WQC16" s="319"/>
      <c r="WQD16" s="319"/>
      <c r="WQE16" s="319"/>
      <c r="WQF16" s="319"/>
      <c r="WQG16" s="319"/>
      <c r="WQH16" s="319"/>
      <c r="WQI16" s="319"/>
      <c r="WQJ16" s="319"/>
      <c r="WQK16" s="319"/>
      <c r="WQL16" s="319"/>
      <c r="WQM16" s="319"/>
      <c r="WQN16" s="319"/>
      <c r="WQO16" s="319"/>
      <c r="WQP16" s="319"/>
      <c r="WQQ16" s="319"/>
      <c r="WQR16" s="319"/>
      <c r="WQS16" s="319"/>
      <c r="WQT16" s="319"/>
      <c r="WQU16" s="319"/>
      <c r="WQV16" s="319"/>
      <c r="WQW16" s="319"/>
      <c r="WQX16" s="319"/>
      <c r="WQY16" s="319"/>
      <c r="WQZ16" s="319"/>
      <c r="WRA16" s="319"/>
      <c r="WRB16" s="319"/>
      <c r="WRC16" s="319"/>
      <c r="WRD16" s="319"/>
      <c r="WRE16" s="319"/>
      <c r="WRF16" s="319"/>
      <c r="WRG16" s="319"/>
      <c r="WRH16" s="319"/>
      <c r="WRI16" s="319"/>
      <c r="WRJ16" s="319"/>
      <c r="WRK16" s="319"/>
      <c r="WRL16" s="319"/>
      <c r="WRM16" s="319"/>
      <c r="WRN16" s="319"/>
      <c r="WRO16" s="319"/>
      <c r="WRP16" s="319"/>
      <c r="WRQ16" s="319"/>
      <c r="WRR16" s="319"/>
      <c r="WRS16" s="319"/>
      <c r="WRT16" s="319"/>
      <c r="WRU16" s="319"/>
      <c r="WRV16" s="319"/>
      <c r="WRW16" s="319"/>
      <c r="WRX16" s="319"/>
      <c r="WRY16" s="319"/>
      <c r="WRZ16" s="319"/>
      <c r="WSA16" s="319"/>
      <c r="WSB16" s="319"/>
      <c r="WSC16" s="319"/>
      <c r="WSD16" s="319"/>
      <c r="WSE16" s="319"/>
      <c r="WSF16" s="319"/>
      <c r="WSG16" s="319"/>
      <c r="WSH16" s="319"/>
      <c r="WSI16" s="319"/>
      <c r="WSJ16" s="319"/>
      <c r="WSK16" s="319"/>
      <c r="WSL16" s="319"/>
      <c r="WSM16" s="319"/>
      <c r="WSN16" s="319"/>
      <c r="WSO16" s="319"/>
      <c r="WSP16" s="319"/>
      <c r="WSQ16" s="319"/>
      <c r="WSR16" s="319"/>
      <c r="WSS16" s="319"/>
      <c r="WST16" s="319"/>
      <c r="WSU16" s="319"/>
      <c r="WSV16" s="319"/>
      <c r="WSW16" s="319"/>
      <c r="WSX16" s="319"/>
      <c r="WSY16" s="319"/>
      <c r="WSZ16" s="319"/>
      <c r="WTA16" s="319"/>
      <c r="WTB16" s="319"/>
      <c r="WTC16" s="319"/>
      <c r="WTD16" s="319"/>
      <c r="WTE16" s="319"/>
      <c r="WTF16" s="319"/>
      <c r="WTG16" s="319"/>
      <c r="WTH16" s="319"/>
      <c r="WTI16" s="319"/>
      <c r="WTJ16" s="319"/>
      <c r="WTK16" s="319"/>
      <c r="WTL16" s="319"/>
      <c r="WTM16" s="319"/>
      <c r="WTN16" s="319"/>
      <c r="WTO16" s="319"/>
      <c r="WTP16" s="319"/>
      <c r="WTQ16" s="319"/>
      <c r="WTR16" s="319"/>
      <c r="WTS16" s="319"/>
      <c r="WTT16" s="319"/>
      <c r="WTU16" s="319"/>
      <c r="WTV16" s="319"/>
      <c r="WTW16" s="319"/>
      <c r="WTX16" s="319"/>
      <c r="WTY16" s="319"/>
      <c r="WTZ16" s="319"/>
      <c r="WUA16" s="319"/>
      <c r="WUB16" s="319"/>
      <c r="WUC16" s="319"/>
      <c r="WUD16" s="319"/>
      <c r="WUE16" s="319"/>
      <c r="WUF16" s="319"/>
      <c r="WUG16" s="319"/>
      <c r="WUH16" s="319"/>
      <c r="WUI16" s="319"/>
      <c r="WUJ16" s="319"/>
      <c r="WUK16" s="319"/>
      <c r="WUL16" s="319"/>
      <c r="WUM16" s="319"/>
      <c r="WUN16" s="319"/>
      <c r="WUO16" s="319"/>
      <c r="WUP16" s="319"/>
      <c r="WUQ16" s="319"/>
      <c r="WUR16" s="319"/>
      <c r="WUS16" s="319"/>
      <c r="WUT16" s="319"/>
      <c r="WUU16" s="319"/>
      <c r="WUV16" s="319"/>
      <c r="WUW16" s="319"/>
      <c r="WUX16" s="319"/>
      <c r="WUY16" s="319"/>
      <c r="WUZ16" s="319"/>
      <c r="WVA16" s="319"/>
      <c r="WVB16" s="319"/>
      <c r="WVC16" s="319"/>
      <c r="WVD16" s="319"/>
      <c r="WVE16" s="319"/>
      <c r="WVF16" s="319"/>
      <c r="WVG16" s="319"/>
      <c r="WVH16" s="319"/>
      <c r="WVI16" s="319"/>
      <c r="WVJ16" s="319"/>
      <c r="WVK16" s="319"/>
      <c r="WVL16" s="319"/>
      <c r="WVM16" s="319"/>
      <c r="WVN16" s="319"/>
      <c r="WVO16" s="319"/>
      <c r="WVP16" s="319"/>
      <c r="WVQ16" s="319"/>
      <c r="WVR16" s="319"/>
      <c r="WVS16" s="319"/>
      <c r="WVT16" s="319"/>
      <c r="WVU16" s="319"/>
      <c r="WVV16" s="319"/>
      <c r="WVW16" s="319"/>
      <c r="WVX16" s="319"/>
      <c r="WVY16" s="319"/>
      <c r="WVZ16" s="319"/>
      <c r="WWA16" s="319"/>
      <c r="WWB16" s="319"/>
      <c r="WWC16" s="319"/>
      <c r="WWD16" s="319"/>
      <c r="WWE16" s="319"/>
      <c r="WWF16" s="319"/>
      <c r="WWG16" s="319"/>
      <c r="WWH16" s="319"/>
      <c r="WWI16" s="319"/>
      <c r="WWJ16" s="319"/>
      <c r="WWK16" s="319"/>
      <c r="WWL16" s="319"/>
      <c r="WWM16" s="319"/>
      <c r="WWN16" s="319"/>
      <c r="WWO16" s="319"/>
      <c r="WWP16" s="319"/>
      <c r="WWQ16" s="319"/>
      <c r="WWR16" s="319"/>
      <c r="WWS16" s="319"/>
      <c r="WWT16" s="319"/>
      <c r="WWU16" s="319"/>
      <c r="WWV16" s="319"/>
      <c r="WWW16" s="319"/>
      <c r="WWX16" s="319"/>
      <c r="WWY16" s="319"/>
      <c r="WWZ16" s="319"/>
      <c r="WXA16" s="319"/>
      <c r="WXB16" s="319"/>
      <c r="WXC16" s="319"/>
      <c r="WXD16" s="319"/>
      <c r="WXE16" s="319"/>
      <c r="WXF16" s="319"/>
      <c r="WXG16" s="319"/>
      <c r="WXH16" s="319"/>
      <c r="WXI16" s="319"/>
      <c r="WXJ16" s="319"/>
      <c r="WXK16" s="319"/>
      <c r="WXL16" s="319"/>
      <c r="WXM16" s="319"/>
      <c r="WXN16" s="319"/>
      <c r="WXO16" s="319"/>
      <c r="WXP16" s="319"/>
      <c r="WXQ16" s="319"/>
      <c r="WXR16" s="319"/>
      <c r="WXS16" s="319"/>
      <c r="WXT16" s="319"/>
      <c r="WXU16" s="319"/>
      <c r="WXV16" s="319"/>
      <c r="WXW16" s="319"/>
      <c r="WXX16" s="319"/>
      <c r="WXY16" s="319"/>
      <c r="WXZ16" s="319"/>
      <c r="WYA16" s="319"/>
      <c r="WYB16" s="319"/>
      <c r="WYC16" s="319"/>
      <c r="WYD16" s="319"/>
      <c r="WYE16" s="319"/>
      <c r="WYF16" s="319"/>
      <c r="WYG16" s="319"/>
      <c r="WYH16" s="319"/>
      <c r="WYI16" s="319"/>
      <c r="WYJ16" s="319"/>
      <c r="WYK16" s="319"/>
      <c r="WYL16" s="319"/>
      <c r="WYM16" s="319"/>
      <c r="WYN16" s="319"/>
      <c r="WYO16" s="319"/>
      <c r="WYP16" s="319"/>
      <c r="WYQ16" s="319"/>
      <c r="WYR16" s="319"/>
      <c r="WYS16" s="319"/>
      <c r="WYT16" s="319"/>
      <c r="WYU16" s="319"/>
      <c r="WYV16" s="319"/>
      <c r="WYW16" s="319"/>
      <c r="WYX16" s="319"/>
      <c r="WYY16" s="319"/>
      <c r="WYZ16" s="319"/>
      <c r="WZA16" s="319"/>
      <c r="WZB16" s="319"/>
      <c r="WZC16" s="319"/>
      <c r="WZD16" s="319"/>
      <c r="WZE16" s="319"/>
      <c r="WZF16" s="319"/>
      <c r="WZG16" s="319"/>
      <c r="WZH16" s="319"/>
      <c r="WZI16" s="319"/>
      <c r="WZJ16" s="319"/>
      <c r="WZK16" s="319"/>
      <c r="WZL16" s="319"/>
      <c r="WZM16" s="319"/>
      <c r="WZN16" s="319"/>
      <c r="WZO16" s="319"/>
      <c r="WZP16" s="319"/>
      <c r="WZQ16" s="319"/>
      <c r="WZR16" s="319"/>
      <c r="WZS16" s="319"/>
      <c r="WZT16" s="319"/>
      <c r="WZU16" s="319"/>
      <c r="WZV16" s="319"/>
      <c r="WZW16" s="319"/>
      <c r="WZX16" s="319"/>
      <c r="WZY16" s="319"/>
      <c r="WZZ16" s="319"/>
      <c r="XAA16" s="319"/>
      <c r="XAB16" s="319"/>
      <c r="XAC16" s="319"/>
      <c r="XAD16" s="319"/>
      <c r="XAE16" s="319"/>
      <c r="XAF16" s="319"/>
      <c r="XAG16" s="319"/>
      <c r="XAH16" s="319"/>
      <c r="XAI16" s="319"/>
      <c r="XAJ16" s="319"/>
      <c r="XAK16" s="319"/>
      <c r="XAL16" s="319"/>
      <c r="XAM16" s="319"/>
      <c r="XAN16" s="319"/>
      <c r="XAO16" s="319"/>
      <c r="XAP16" s="319"/>
      <c r="XAQ16" s="319"/>
      <c r="XAR16" s="319"/>
      <c r="XAS16" s="319"/>
      <c r="XAT16" s="319"/>
      <c r="XAU16" s="319"/>
      <c r="XAV16" s="319"/>
      <c r="XAW16" s="319"/>
      <c r="XAX16" s="319"/>
      <c r="XAY16" s="319"/>
      <c r="XAZ16" s="319"/>
      <c r="XBA16" s="319"/>
      <c r="XBB16" s="319"/>
      <c r="XBC16" s="319"/>
      <c r="XBD16" s="319"/>
      <c r="XBE16" s="319"/>
      <c r="XBF16" s="319"/>
      <c r="XBG16" s="319"/>
      <c r="XBH16" s="319"/>
      <c r="XBI16" s="319"/>
      <c r="XBJ16" s="319"/>
      <c r="XBK16" s="319"/>
      <c r="XBL16" s="319"/>
      <c r="XBM16" s="319"/>
      <c r="XBN16" s="319"/>
      <c r="XBO16" s="319"/>
      <c r="XBP16" s="319"/>
      <c r="XBQ16" s="319"/>
      <c r="XBR16" s="319"/>
      <c r="XBS16" s="319"/>
      <c r="XBT16" s="319"/>
      <c r="XBU16" s="319"/>
      <c r="XBV16" s="319"/>
      <c r="XBW16" s="319"/>
      <c r="XBX16" s="319"/>
      <c r="XBY16" s="319"/>
      <c r="XBZ16" s="319"/>
      <c r="XCA16" s="319"/>
      <c r="XCB16" s="319"/>
      <c r="XCC16" s="319"/>
      <c r="XCD16" s="319"/>
      <c r="XCE16" s="319"/>
      <c r="XCF16" s="319"/>
      <c r="XCG16" s="319"/>
      <c r="XCH16" s="319"/>
      <c r="XCI16" s="319"/>
      <c r="XCJ16" s="319"/>
      <c r="XCK16" s="319"/>
      <c r="XCL16" s="319"/>
      <c r="XCM16" s="319"/>
      <c r="XCN16" s="319"/>
      <c r="XCO16" s="319"/>
      <c r="XCP16" s="319"/>
      <c r="XCQ16" s="319"/>
      <c r="XCR16" s="319"/>
      <c r="XCS16" s="319"/>
      <c r="XCT16" s="319"/>
      <c r="XCU16" s="319"/>
      <c r="XCV16" s="319"/>
      <c r="XCW16" s="319"/>
      <c r="XCX16" s="319"/>
      <c r="XCY16" s="319"/>
      <c r="XCZ16" s="319"/>
      <c r="XDA16" s="319"/>
      <c r="XDB16" s="319"/>
      <c r="XDC16" s="319"/>
      <c r="XDD16" s="319"/>
      <c r="XDE16" s="319"/>
      <c r="XDF16" s="319"/>
      <c r="XDG16" s="319"/>
      <c r="XDH16" s="319"/>
      <c r="XDI16" s="319"/>
      <c r="XDJ16" s="319"/>
      <c r="XDK16" s="319"/>
      <c r="XDL16" s="319"/>
      <c r="XDM16" s="319"/>
      <c r="XDN16" s="319"/>
      <c r="XDO16" s="319"/>
      <c r="XDP16" s="319"/>
      <c r="XDQ16" s="319"/>
      <c r="XDR16" s="319"/>
      <c r="XDS16" s="319"/>
      <c r="XDT16" s="319"/>
      <c r="XDU16" s="319"/>
      <c r="XDV16" s="319"/>
      <c r="XDW16" s="319"/>
      <c r="XDX16" s="319"/>
      <c r="XDY16" s="319"/>
      <c r="XDZ16" s="319"/>
      <c r="XEA16" s="319"/>
      <c r="XEB16" s="319"/>
      <c r="XEC16" s="319"/>
      <c r="XED16" s="319"/>
      <c r="XEE16" s="319"/>
      <c r="XEF16" s="319"/>
      <c r="XEG16" s="319"/>
      <c r="XEH16" s="319"/>
      <c r="XEI16" s="319"/>
      <c r="XEJ16" s="319"/>
      <c r="XEK16" s="319"/>
      <c r="XEL16" s="319"/>
      <c r="XEM16" s="319"/>
      <c r="XEN16" s="319"/>
      <c r="XEO16" s="319"/>
      <c r="XEP16" s="319"/>
      <c r="XEQ16" s="319"/>
      <c r="XER16" s="319"/>
      <c r="XES16" s="319"/>
      <c r="XET16" s="319"/>
      <c r="XEU16" s="319"/>
      <c r="XEV16" s="319"/>
      <c r="XEW16" s="319"/>
      <c r="XEX16" s="319"/>
      <c r="XEY16" s="319"/>
      <c r="XEZ16" s="319"/>
      <c r="XFA16" s="319"/>
      <c r="XFB16" s="319"/>
      <c r="XFC16" s="319"/>
      <c r="XFD16" s="319"/>
    </row>
    <row r="17" spans="1:16384" ht="122.25" customHeight="1">
      <c r="A17" s="348" t="s">
        <v>255</v>
      </c>
      <c r="B17" s="348"/>
      <c r="C17" s="348"/>
      <c r="D17" s="348"/>
      <c r="E17" s="348"/>
      <c r="F17" s="348"/>
      <c r="G17" s="348"/>
      <c r="H17" s="348"/>
      <c r="I17" s="348"/>
      <c r="J17" s="348"/>
      <c r="K17" s="348"/>
      <c r="L17" s="348"/>
      <c r="M17" s="319"/>
      <c r="N17" s="319"/>
      <c r="O17" s="319"/>
      <c r="P17" s="319"/>
      <c r="Q17" s="319"/>
      <c r="R17" s="319"/>
      <c r="S17" s="319"/>
      <c r="T17" s="319"/>
      <c r="U17" s="319"/>
      <c r="V17" s="319"/>
      <c r="W17" s="319"/>
      <c r="X17" s="319"/>
      <c r="Y17" s="319"/>
      <c r="Z17" s="319"/>
      <c r="AA17" s="319"/>
      <c r="AB17" s="319"/>
      <c r="AC17" s="319"/>
      <c r="AD17" s="319"/>
      <c r="AE17" s="319"/>
      <c r="AF17" s="319"/>
      <c r="AG17" s="319"/>
      <c r="AH17" s="319"/>
      <c r="AI17" s="319"/>
      <c r="AJ17" s="319"/>
      <c r="AK17" s="319"/>
      <c r="AL17" s="319"/>
      <c r="AM17" s="319"/>
      <c r="AN17" s="319"/>
      <c r="AO17" s="319"/>
      <c r="AP17" s="319"/>
      <c r="AQ17" s="319"/>
      <c r="AR17" s="319"/>
      <c r="AS17" s="319"/>
      <c r="AT17" s="319"/>
      <c r="AU17" s="319"/>
      <c r="AV17" s="319"/>
      <c r="AW17" s="319"/>
      <c r="AX17" s="319"/>
      <c r="AY17" s="319"/>
      <c r="AZ17" s="319"/>
      <c r="BA17" s="319"/>
      <c r="BB17" s="319"/>
      <c r="BC17" s="319"/>
      <c r="BD17" s="319"/>
      <c r="BE17" s="319"/>
      <c r="BF17" s="319"/>
      <c r="BG17" s="319"/>
      <c r="BH17" s="319"/>
      <c r="BI17" s="319"/>
      <c r="BJ17" s="319"/>
      <c r="BK17" s="319"/>
      <c r="BL17" s="319"/>
      <c r="BM17" s="319"/>
      <c r="BN17" s="319"/>
      <c r="BO17" s="319"/>
      <c r="BP17" s="319"/>
      <c r="BQ17" s="319"/>
      <c r="BR17" s="319"/>
      <c r="BS17" s="319"/>
      <c r="BT17" s="319"/>
      <c r="BU17" s="319"/>
      <c r="BV17" s="319"/>
      <c r="BW17" s="319"/>
      <c r="BX17" s="319"/>
      <c r="BY17" s="319"/>
      <c r="BZ17" s="319"/>
      <c r="CA17" s="319"/>
      <c r="CB17" s="319"/>
      <c r="CC17" s="319"/>
      <c r="CD17" s="319"/>
      <c r="CE17" s="319"/>
      <c r="CF17" s="319"/>
      <c r="CG17" s="319"/>
      <c r="CH17" s="319"/>
      <c r="CI17" s="319"/>
      <c r="CJ17" s="319"/>
      <c r="CK17" s="319"/>
      <c r="CL17" s="319"/>
      <c r="CM17" s="319"/>
      <c r="CN17" s="319"/>
      <c r="CO17" s="319"/>
      <c r="CP17" s="319"/>
      <c r="CQ17" s="319"/>
      <c r="CR17" s="319"/>
      <c r="CS17" s="319"/>
      <c r="CT17" s="319"/>
      <c r="CU17" s="319"/>
      <c r="CV17" s="319"/>
      <c r="CW17" s="319"/>
      <c r="CX17" s="319"/>
      <c r="CY17" s="319"/>
      <c r="CZ17" s="319"/>
      <c r="DA17" s="319"/>
      <c r="DB17" s="319"/>
      <c r="DC17" s="319"/>
      <c r="DD17" s="319"/>
      <c r="DE17" s="319"/>
      <c r="DF17" s="319"/>
      <c r="DG17" s="319"/>
      <c r="DH17" s="319"/>
      <c r="DI17" s="319"/>
      <c r="DJ17" s="319"/>
      <c r="DK17" s="319"/>
      <c r="DL17" s="319"/>
      <c r="DM17" s="319"/>
      <c r="DN17" s="319"/>
      <c r="DO17" s="319"/>
      <c r="DP17" s="319"/>
      <c r="DQ17" s="319"/>
      <c r="DR17" s="319"/>
      <c r="DS17" s="319"/>
      <c r="DT17" s="319"/>
      <c r="DU17" s="319"/>
      <c r="DV17" s="319"/>
      <c r="DW17" s="319"/>
      <c r="DX17" s="319"/>
      <c r="DY17" s="319"/>
      <c r="DZ17" s="319"/>
      <c r="EA17" s="319"/>
      <c r="EB17" s="319"/>
      <c r="EC17" s="319"/>
      <c r="ED17" s="319"/>
      <c r="EE17" s="319"/>
      <c r="EF17" s="319"/>
      <c r="EG17" s="319"/>
      <c r="EH17" s="319"/>
      <c r="EI17" s="319"/>
      <c r="EJ17" s="319"/>
      <c r="EK17" s="319"/>
      <c r="EL17" s="319"/>
      <c r="EM17" s="319"/>
      <c r="EN17" s="319"/>
      <c r="EO17" s="319"/>
      <c r="EP17" s="319"/>
      <c r="EQ17" s="319"/>
      <c r="ER17" s="319"/>
      <c r="ES17" s="319"/>
      <c r="ET17" s="319"/>
      <c r="EU17" s="319"/>
      <c r="EV17" s="319"/>
      <c r="EW17" s="319"/>
      <c r="EX17" s="319"/>
      <c r="EY17" s="319"/>
      <c r="EZ17" s="319"/>
      <c r="FA17" s="319"/>
      <c r="FB17" s="319"/>
      <c r="FC17" s="319"/>
      <c r="FD17" s="319"/>
      <c r="FE17" s="319"/>
      <c r="FF17" s="319"/>
      <c r="FG17" s="319"/>
      <c r="FH17" s="319"/>
      <c r="FI17" s="319"/>
      <c r="FJ17" s="319"/>
      <c r="FK17" s="319"/>
      <c r="FL17" s="319"/>
      <c r="FM17" s="319"/>
      <c r="FN17" s="319"/>
      <c r="FO17" s="319"/>
      <c r="FP17" s="319"/>
      <c r="FQ17" s="319"/>
      <c r="FR17" s="319"/>
      <c r="FS17" s="319"/>
      <c r="FT17" s="319"/>
      <c r="FU17" s="319"/>
      <c r="FV17" s="319"/>
      <c r="FW17" s="319"/>
      <c r="FX17" s="319"/>
      <c r="FY17" s="319"/>
      <c r="FZ17" s="319"/>
      <c r="GA17" s="319"/>
      <c r="GB17" s="319"/>
      <c r="GC17" s="319"/>
      <c r="GD17" s="319"/>
      <c r="GE17" s="319"/>
      <c r="GF17" s="319"/>
      <c r="GG17" s="319"/>
      <c r="GH17" s="319"/>
      <c r="GI17" s="319"/>
      <c r="GJ17" s="319"/>
      <c r="GK17" s="319"/>
      <c r="GL17" s="319"/>
      <c r="GM17" s="319"/>
      <c r="GN17" s="319"/>
      <c r="GO17" s="319"/>
      <c r="GP17" s="319"/>
      <c r="GQ17" s="319"/>
      <c r="GR17" s="319"/>
      <c r="GS17" s="319"/>
      <c r="GT17" s="319"/>
      <c r="GU17" s="319"/>
      <c r="GV17" s="319"/>
      <c r="GW17" s="319"/>
      <c r="GX17" s="319"/>
      <c r="GY17" s="319"/>
      <c r="GZ17" s="319"/>
      <c r="HA17" s="319"/>
      <c r="HB17" s="319"/>
      <c r="HC17" s="319"/>
      <c r="HD17" s="319"/>
      <c r="HE17" s="319"/>
      <c r="HF17" s="319"/>
      <c r="HG17" s="319"/>
      <c r="HH17" s="319"/>
      <c r="HI17" s="319"/>
      <c r="HJ17" s="319"/>
      <c r="HK17" s="319"/>
      <c r="HL17" s="319"/>
      <c r="HM17" s="319"/>
      <c r="HN17" s="319"/>
      <c r="HO17" s="319"/>
      <c r="HP17" s="319"/>
      <c r="HQ17" s="319"/>
      <c r="HR17" s="319"/>
      <c r="HS17" s="319"/>
      <c r="HT17" s="319"/>
      <c r="HU17" s="319"/>
      <c r="HV17" s="319"/>
      <c r="HW17" s="319"/>
      <c r="HX17" s="319"/>
      <c r="HY17" s="319"/>
      <c r="HZ17" s="319"/>
      <c r="IA17" s="319"/>
      <c r="IB17" s="319"/>
      <c r="IC17" s="319"/>
      <c r="ID17" s="319"/>
      <c r="IE17" s="319"/>
      <c r="IF17" s="319"/>
      <c r="IG17" s="319"/>
      <c r="IH17" s="319"/>
      <c r="II17" s="319"/>
      <c r="IJ17" s="319"/>
      <c r="IK17" s="319"/>
      <c r="IL17" s="319"/>
      <c r="IM17" s="319"/>
      <c r="IN17" s="319"/>
      <c r="IO17" s="319"/>
      <c r="IP17" s="319"/>
      <c r="IQ17" s="319"/>
      <c r="IR17" s="319"/>
      <c r="IS17" s="319"/>
      <c r="IT17" s="319"/>
      <c r="IU17" s="319"/>
      <c r="IV17" s="319"/>
      <c r="IW17" s="319"/>
      <c r="IX17" s="319"/>
      <c r="IY17" s="319"/>
      <c r="IZ17" s="319"/>
      <c r="JA17" s="319"/>
      <c r="JB17" s="319"/>
      <c r="JC17" s="319"/>
      <c r="JD17" s="319"/>
      <c r="JE17" s="319"/>
      <c r="JF17" s="319"/>
      <c r="JG17" s="319"/>
      <c r="JH17" s="319"/>
      <c r="JI17" s="319"/>
      <c r="JJ17" s="319"/>
      <c r="JK17" s="319"/>
      <c r="JL17" s="319"/>
      <c r="JM17" s="319"/>
      <c r="JN17" s="319"/>
      <c r="JO17" s="319"/>
      <c r="JP17" s="319"/>
      <c r="JQ17" s="319"/>
      <c r="JR17" s="319"/>
      <c r="JS17" s="319"/>
      <c r="JT17" s="319"/>
      <c r="JU17" s="319"/>
      <c r="JV17" s="319"/>
      <c r="JW17" s="319"/>
      <c r="JX17" s="319"/>
      <c r="JY17" s="319"/>
      <c r="JZ17" s="319"/>
      <c r="KA17" s="319"/>
      <c r="KB17" s="319"/>
      <c r="KC17" s="319"/>
      <c r="KD17" s="319"/>
      <c r="KE17" s="319"/>
      <c r="KF17" s="319"/>
      <c r="KG17" s="319"/>
      <c r="KH17" s="319"/>
      <c r="KI17" s="319"/>
      <c r="KJ17" s="319"/>
      <c r="KK17" s="319"/>
      <c r="KL17" s="319"/>
      <c r="KM17" s="319"/>
      <c r="KN17" s="319"/>
      <c r="KO17" s="319"/>
      <c r="KP17" s="319"/>
      <c r="KQ17" s="319"/>
      <c r="KR17" s="319"/>
      <c r="KS17" s="319"/>
      <c r="KT17" s="319"/>
      <c r="KU17" s="319"/>
      <c r="KV17" s="319"/>
      <c r="KW17" s="319"/>
      <c r="KX17" s="319"/>
      <c r="KY17" s="319"/>
      <c r="KZ17" s="319"/>
      <c r="LA17" s="319"/>
      <c r="LB17" s="319"/>
      <c r="LC17" s="319"/>
      <c r="LD17" s="319"/>
      <c r="LE17" s="319"/>
      <c r="LF17" s="319"/>
      <c r="LG17" s="319"/>
      <c r="LH17" s="319"/>
      <c r="LI17" s="319"/>
      <c r="LJ17" s="319"/>
      <c r="LK17" s="319"/>
      <c r="LL17" s="319"/>
      <c r="LM17" s="319"/>
      <c r="LN17" s="319"/>
      <c r="LO17" s="319"/>
      <c r="LP17" s="319"/>
      <c r="LQ17" s="319"/>
      <c r="LR17" s="319"/>
      <c r="LS17" s="319"/>
      <c r="LT17" s="319"/>
      <c r="LU17" s="319"/>
      <c r="LV17" s="319"/>
      <c r="LW17" s="319"/>
      <c r="LX17" s="319"/>
      <c r="LY17" s="319"/>
      <c r="LZ17" s="319"/>
      <c r="MA17" s="319"/>
      <c r="MB17" s="319"/>
      <c r="MC17" s="319"/>
      <c r="MD17" s="319"/>
      <c r="ME17" s="319"/>
      <c r="MF17" s="319"/>
      <c r="MG17" s="319"/>
      <c r="MH17" s="319"/>
      <c r="MI17" s="319"/>
      <c r="MJ17" s="319"/>
      <c r="MK17" s="319"/>
      <c r="ML17" s="319"/>
      <c r="MM17" s="319"/>
      <c r="MN17" s="319"/>
      <c r="MO17" s="319"/>
      <c r="MP17" s="319"/>
      <c r="MQ17" s="319"/>
      <c r="MR17" s="319"/>
      <c r="MS17" s="319"/>
      <c r="MT17" s="319"/>
      <c r="MU17" s="319"/>
      <c r="MV17" s="319"/>
      <c r="MW17" s="319"/>
      <c r="MX17" s="319"/>
      <c r="MY17" s="319"/>
      <c r="MZ17" s="319"/>
      <c r="NA17" s="319"/>
      <c r="NB17" s="319"/>
      <c r="NC17" s="319"/>
      <c r="ND17" s="319"/>
      <c r="NE17" s="319"/>
      <c r="NF17" s="319"/>
      <c r="NG17" s="319"/>
      <c r="NH17" s="319"/>
      <c r="NI17" s="319"/>
      <c r="NJ17" s="319"/>
      <c r="NK17" s="319"/>
      <c r="NL17" s="319"/>
      <c r="NM17" s="319"/>
      <c r="NN17" s="319"/>
      <c r="NO17" s="319"/>
      <c r="NP17" s="319"/>
      <c r="NQ17" s="319"/>
      <c r="NR17" s="319"/>
      <c r="NS17" s="319"/>
      <c r="NT17" s="319"/>
      <c r="NU17" s="319"/>
      <c r="NV17" s="319"/>
      <c r="NW17" s="319"/>
      <c r="NX17" s="319"/>
      <c r="NY17" s="319"/>
      <c r="NZ17" s="319"/>
      <c r="OA17" s="319"/>
      <c r="OB17" s="319"/>
      <c r="OC17" s="319"/>
      <c r="OD17" s="319"/>
      <c r="OE17" s="319"/>
      <c r="OF17" s="319"/>
      <c r="OG17" s="319"/>
      <c r="OH17" s="319"/>
      <c r="OI17" s="319"/>
      <c r="OJ17" s="319"/>
      <c r="OK17" s="319"/>
      <c r="OL17" s="319"/>
      <c r="OM17" s="319"/>
      <c r="ON17" s="319"/>
      <c r="OO17" s="319"/>
      <c r="OP17" s="319"/>
      <c r="OQ17" s="319"/>
      <c r="OR17" s="319"/>
      <c r="OS17" s="319"/>
      <c r="OT17" s="319"/>
      <c r="OU17" s="319"/>
      <c r="OV17" s="319"/>
      <c r="OW17" s="319"/>
      <c r="OX17" s="319"/>
      <c r="OY17" s="319"/>
      <c r="OZ17" s="319"/>
      <c r="PA17" s="319"/>
      <c r="PB17" s="319"/>
      <c r="PC17" s="319"/>
      <c r="PD17" s="319"/>
      <c r="PE17" s="319"/>
      <c r="PF17" s="319"/>
      <c r="PG17" s="319"/>
      <c r="PH17" s="319"/>
      <c r="PI17" s="319"/>
      <c r="PJ17" s="319"/>
      <c r="PK17" s="319"/>
      <c r="PL17" s="319"/>
      <c r="PM17" s="319"/>
      <c r="PN17" s="319"/>
      <c r="PO17" s="319"/>
      <c r="PP17" s="319"/>
      <c r="PQ17" s="319"/>
      <c r="PR17" s="319"/>
      <c r="PS17" s="319"/>
      <c r="PT17" s="319"/>
      <c r="PU17" s="319"/>
      <c r="PV17" s="319"/>
      <c r="PW17" s="319"/>
      <c r="PX17" s="319"/>
      <c r="PY17" s="319"/>
      <c r="PZ17" s="319"/>
      <c r="QA17" s="319"/>
      <c r="QB17" s="319"/>
      <c r="QC17" s="319"/>
      <c r="QD17" s="319"/>
      <c r="QE17" s="319"/>
      <c r="QF17" s="319"/>
      <c r="QG17" s="319"/>
      <c r="QH17" s="319"/>
      <c r="QI17" s="319"/>
      <c r="QJ17" s="319"/>
      <c r="QK17" s="319"/>
      <c r="QL17" s="319"/>
      <c r="QM17" s="319"/>
      <c r="QN17" s="319"/>
      <c r="QO17" s="319"/>
      <c r="QP17" s="319"/>
      <c r="QQ17" s="319"/>
      <c r="QR17" s="319"/>
      <c r="QS17" s="319"/>
      <c r="QT17" s="319"/>
      <c r="QU17" s="319"/>
      <c r="QV17" s="319"/>
      <c r="QW17" s="319"/>
      <c r="QX17" s="319"/>
      <c r="QY17" s="319"/>
      <c r="QZ17" s="319"/>
      <c r="RA17" s="319"/>
      <c r="RB17" s="319"/>
      <c r="RC17" s="319"/>
      <c r="RD17" s="319"/>
      <c r="RE17" s="319"/>
      <c r="RF17" s="319"/>
      <c r="RG17" s="319"/>
      <c r="RH17" s="319"/>
      <c r="RI17" s="319"/>
      <c r="RJ17" s="319"/>
      <c r="RK17" s="319"/>
      <c r="RL17" s="319"/>
      <c r="RM17" s="319"/>
      <c r="RN17" s="319"/>
      <c r="RO17" s="319"/>
      <c r="RP17" s="319"/>
      <c r="RQ17" s="319"/>
      <c r="RR17" s="319"/>
      <c r="RS17" s="319"/>
      <c r="RT17" s="319"/>
      <c r="RU17" s="319"/>
      <c r="RV17" s="319"/>
      <c r="RW17" s="319"/>
      <c r="RX17" s="319"/>
      <c r="RY17" s="319"/>
      <c r="RZ17" s="319"/>
      <c r="SA17" s="319"/>
      <c r="SB17" s="319"/>
      <c r="SC17" s="319"/>
      <c r="SD17" s="319"/>
      <c r="SE17" s="319"/>
      <c r="SF17" s="319"/>
      <c r="SG17" s="319"/>
      <c r="SH17" s="319"/>
      <c r="SI17" s="319"/>
      <c r="SJ17" s="319"/>
      <c r="SK17" s="319"/>
      <c r="SL17" s="319"/>
      <c r="SM17" s="319"/>
      <c r="SN17" s="319"/>
      <c r="SO17" s="319"/>
      <c r="SP17" s="319"/>
      <c r="SQ17" s="319"/>
      <c r="SR17" s="319"/>
      <c r="SS17" s="319"/>
      <c r="ST17" s="319"/>
      <c r="SU17" s="319"/>
      <c r="SV17" s="319"/>
      <c r="SW17" s="319"/>
      <c r="SX17" s="319"/>
      <c r="SY17" s="319"/>
      <c r="SZ17" s="319"/>
      <c r="TA17" s="319"/>
      <c r="TB17" s="319"/>
      <c r="TC17" s="319"/>
      <c r="TD17" s="319"/>
      <c r="TE17" s="319"/>
      <c r="TF17" s="319"/>
      <c r="TG17" s="319"/>
      <c r="TH17" s="319"/>
      <c r="TI17" s="319"/>
      <c r="TJ17" s="319"/>
      <c r="TK17" s="319"/>
      <c r="TL17" s="319"/>
      <c r="TM17" s="319"/>
      <c r="TN17" s="319"/>
      <c r="TO17" s="319"/>
      <c r="TP17" s="319"/>
      <c r="TQ17" s="319"/>
      <c r="TR17" s="319"/>
      <c r="TS17" s="319"/>
      <c r="TT17" s="319"/>
      <c r="TU17" s="319"/>
      <c r="TV17" s="319"/>
      <c r="TW17" s="319"/>
      <c r="TX17" s="319"/>
      <c r="TY17" s="319"/>
      <c r="TZ17" s="319"/>
      <c r="UA17" s="319"/>
      <c r="UB17" s="319"/>
      <c r="UC17" s="319"/>
      <c r="UD17" s="319"/>
      <c r="UE17" s="319"/>
      <c r="UF17" s="319"/>
      <c r="UG17" s="319"/>
      <c r="UH17" s="319"/>
      <c r="UI17" s="319"/>
      <c r="UJ17" s="319"/>
      <c r="UK17" s="319"/>
      <c r="UL17" s="319"/>
      <c r="UM17" s="319"/>
      <c r="UN17" s="319"/>
      <c r="UO17" s="319"/>
      <c r="UP17" s="319"/>
      <c r="UQ17" s="319"/>
      <c r="UR17" s="319"/>
      <c r="US17" s="319"/>
      <c r="UT17" s="319"/>
      <c r="UU17" s="319"/>
      <c r="UV17" s="319"/>
      <c r="UW17" s="319"/>
      <c r="UX17" s="319"/>
      <c r="UY17" s="319"/>
      <c r="UZ17" s="319"/>
      <c r="VA17" s="319"/>
      <c r="VB17" s="319"/>
      <c r="VC17" s="319"/>
      <c r="VD17" s="319"/>
      <c r="VE17" s="319"/>
      <c r="VF17" s="319"/>
      <c r="VG17" s="319"/>
      <c r="VH17" s="319"/>
      <c r="VI17" s="319"/>
      <c r="VJ17" s="319"/>
      <c r="VK17" s="319"/>
      <c r="VL17" s="319"/>
      <c r="VM17" s="319"/>
      <c r="VN17" s="319"/>
      <c r="VO17" s="319"/>
      <c r="VP17" s="319"/>
      <c r="VQ17" s="319"/>
      <c r="VR17" s="319"/>
      <c r="VS17" s="319"/>
      <c r="VT17" s="319"/>
      <c r="VU17" s="319"/>
      <c r="VV17" s="319"/>
      <c r="VW17" s="319"/>
      <c r="VX17" s="319"/>
      <c r="VY17" s="319"/>
      <c r="VZ17" s="319"/>
      <c r="WA17" s="319"/>
      <c r="WB17" s="319"/>
      <c r="WC17" s="319"/>
      <c r="WD17" s="319"/>
      <c r="WE17" s="319"/>
      <c r="WF17" s="319"/>
      <c r="WG17" s="319"/>
      <c r="WH17" s="319"/>
      <c r="WI17" s="319"/>
      <c r="WJ17" s="319"/>
      <c r="WK17" s="319"/>
      <c r="WL17" s="319"/>
      <c r="WM17" s="319"/>
      <c r="WN17" s="319"/>
      <c r="WO17" s="319"/>
      <c r="WP17" s="319"/>
      <c r="WQ17" s="319"/>
      <c r="WR17" s="319"/>
      <c r="WS17" s="319"/>
      <c r="WT17" s="319"/>
      <c r="WU17" s="319"/>
      <c r="WV17" s="319"/>
      <c r="WW17" s="319"/>
      <c r="WX17" s="319"/>
      <c r="WY17" s="319"/>
      <c r="WZ17" s="319"/>
      <c r="XA17" s="319"/>
      <c r="XB17" s="319"/>
      <c r="XC17" s="319"/>
      <c r="XD17" s="319"/>
      <c r="XE17" s="319"/>
      <c r="XF17" s="319"/>
      <c r="XG17" s="319"/>
      <c r="XH17" s="319"/>
      <c r="XI17" s="319"/>
      <c r="XJ17" s="319"/>
      <c r="XK17" s="319"/>
      <c r="XL17" s="319"/>
      <c r="XM17" s="319"/>
      <c r="XN17" s="319"/>
      <c r="XO17" s="319"/>
      <c r="XP17" s="319"/>
      <c r="XQ17" s="319"/>
      <c r="XR17" s="319"/>
      <c r="XS17" s="319"/>
      <c r="XT17" s="319"/>
      <c r="XU17" s="319"/>
      <c r="XV17" s="319"/>
      <c r="XW17" s="319"/>
      <c r="XX17" s="319"/>
      <c r="XY17" s="319"/>
      <c r="XZ17" s="319"/>
      <c r="YA17" s="319"/>
      <c r="YB17" s="319"/>
      <c r="YC17" s="319"/>
      <c r="YD17" s="319"/>
      <c r="YE17" s="319"/>
      <c r="YF17" s="319"/>
      <c r="YG17" s="319"/>
      <c r="YH17" s="319"/>
      <c r="YI17" s="319"/>
      <c r="YJ17" s="319"/>
      <c r="YK17" s="319"/>
      <c r="YL17" s="319"/>
      <c r="YM17" s="319"/>
      <c r="YN17" s="319"/>
      <c r="YO17" s="319"/>
      <c r="YP17" s="319"/>
      <c r="YQ17" s="319"/>
      <c r="YR17" s="319"/>
      <c r="YS17" s="319"/>
      <c r="YT17" s="319"/>
      <c r="YU17" s="319"/>
      <c r="YV17" s="319"/>
      <c r="YW17" s="319"/>
      <c r="YX17" s="319"/>
      <c r="YY17" s="319"/>
      <c r="YZ17" s="319"/>
      <c r="ZA17" s="319"/>
      <c r="ZB17" s="319"/>
      <c r="ZC17" s="319"/>
      <c r="ZD17" s="319"/>
      <c r="ZE17" s="319"/>
      <c r="ZF17" s="319"/>
      <c r="ZG17" s="319"/>
      <c r="ZH17" s="319"/>
      <c r="ZI17" s="319"/>
      <c r="ZJ17" s="319"/>
      <c r="ZK17" s="319"/>
      <c r="ZL17" s="319"/>
      <c r="ZM17" s="319"/>
      <c r="ZN17" s="319"/>
      <c r="ZO17" s="319"/>
      <c r="ZP17" s="319"/>
      <c r="ZQ17" s="319"/>
      <c r="ZR17" s="319"/>
      <c r="ZS17" s="319"/>
      <c r="ZT17" s="319"/>
      <c r="ZU17" s="319"/>
      <c r="ZV17" s="319"/>
      <c r="ZW17" s="319"/>
      <c r="ZX17" s="319"/>
      <c r="ZY17" s="319"/>
      <c r="ZZ17" s="319"/>
      <c r="AAA17" s="319"/>
      <c r="AAB17" s="319"/>
      <c r="AAC17" s="319"/>
      <c r="AAD17" s="319"/>
      <c r="AAE17" s="319"/>
      <c r="AAF17" s="319"/>
      <c r="AAG17" s="319"/>
      <c r="AAH17" s="319"/>
      <c r="AAI17" s="319"/>
      <c r="AAJ17" s="319"/>
      <c r="AAK17" s="319"/>
      <c r="AAL17" s="319"/>
      <c r="AAM17" s="319"/>
      <c r="AAN17" s="319"/>
      <c r="AAO17" s="319"/>
      <c r="AAP17" s="319"/>
      <c r="AAQ17" s="319"/>
      <c r="AAR17" s="319"/>
      <c r="AAS17" s="319"/>
      <c r="AAT17" s="319"/>
      <c r="AAU17" s="319"/>
      <c r="AAV17" s="319"/>
      <c r="AAW17" s="319"/>
      <c r="AAX17" s="319"/>
      <c r="AAY17" s="319"/>
      <c r="AAZ17" s="319"/>
      <c r="ABA17" s="319"/>
      <c r="ABB17" s="319"/>
      <c r="ABC17" s="319"/>
      <c r="ABD17" s="319"/>
      <c r="ABE17" s="319"/>
      <c r="ABF17" s="319"/>
      <c r="ABG17" s="319"/>
      <c r="ABH17" s="319"/>
      <c r="ABI17" s="319"/>
      <c r="ABJ17" s="319"/>
      <c r="ABK17" s="319"/>
      <c r="ABL17" s="319"/>
      <c r="ABM17" s="319"/>
      <c r="ABN17" s="319"/>
      <c r="ABO17" s="319"/>
      <c r="ABP17" s="319"/>
      <c r="ABQ17" s="319"/>
      <c r="ABR17" s="319"/>
      <c r="ABS17" s="319"/>
      <c r="ABT17" s="319"/>
      <c r="ABU17" s="319"/>
      <c r="ABV17" s="319"/>
      <c r="ABW17" s="319"/>
      <c r="ABX17" s="319"/>
      <c r="ABY17" s="319"/>
      <c r="ABZ17" s="319"/>
      <c r="ACA17" s="319"/>
      <c r="ACB17" s="319"/>
      <c r="ACC17" s="319"/>
      <c r="ACD17" s="319"/>
      <c r="ACE17" s="319"/>
      <c r="ACF17" s="319"/>
      <c r="ACG17" s="319"/>
      <c r="ACH17" s="319"/>
      <c r="ACI17" s="319"/>
      <c r="ACJ17" s="319"/>
      <c r="ACK17" s="319"/>
      <c r="ACL17" s="319"/>
      <c r="ACM17" s="319"/>
      <c r="ACN17" s="319"/>
      <c r="ACO17" s="319"/>
      <c r="ACP17" s="319"/>
      <c r="ACQ17" s="319"/>
      <c r="ACR17" s="319"/>
      <c r="ACS17" s="319"/>
      <c r="ACT17" s="319"/>
      <c r="ACU17" s="319"/>
      <c r="ACV17" s="319"/>
      <c r="ACW17" s="319"/>
      <c r="ACX17" s="319"/>
      <c r="ACY17" s="319"/>
      <c r="ACZ17" s="319"/>
      <c r="ADA17" s="319"/>
      <c r="ADB17" s="319"/>
      <c r="ADC17" s="319"/>
      <c r="ADD17" s="319"/>
      <c r="ADE17" s="319"/>
      <c r="ADF17" s="319"/>
      <c r="ADG17" s="319"/>
      <c r="ADH17" s="319"/>
      <c r="ADI17" s="319"/>
      <c r="ADJ17" s="319"/>
      <c r="ADK17" s="319"/>
      <c r="ADL17" s="319"/>
      <c r="ADM17" s="319"/>
      <c r="ADN17" s="319"/>
      <c r="ADO17" s="319"/>
      <c r="ADP17" s="319"/>
      <c r="ADQ17" s="319"/>
      <c r="ADR17" s="319"/>
      <c r="ADS17" s="319"/>
      <c r="ADT17" s="319"/>
      <c r="ADU17" s="319"/>
      <c r="ADV17" s="319"/>
      <c r="ADW17" s="319"/>
      <c r="ADX17" s="319"/>
      <c r="ADY17" s="319"/>
      <c r="ADZ17" s="319"/>
      <c r="AEA17" s="319"/>
      <c r="AEB17" s="319"/>
      <c r="AEC17" s="319"/>
      <c r="AED17" s="319"/>
      <c r="AEE17" s="319"/>
      <c r="AEF17" s="319"/>
      <c r="AEG17" s="319"/>
      <c r="AEH17" s="319"/>
      <c r="AEI17" s="319"/>
      <c r="AEJ17" s="319"/>
      <c r="AEK17" s="319"/>
      <c r="AEL17" s="319"/>
      <c r="AEM17" s="319"/>
      <c r="AEN17" s="319"/>
      <c r="AEO17" s="319"/>
      <c r="AEP17" s="319"/>
      <c r="AEQ17" s="319"/>
      <c r="AER17" s="319"/>
      <c r="AES17" s="319"/>
      <c r="AET17" s="319"/>
      <c r="AEU17" s="319"/>
      <c r="AEV17" s="319"/>
      <c r="AEW17" s="319"/>
      <c r="AEX17" s="319"/>
      <c r="AEY17" s="319"/>
      <c r="AEZ17" s="319"/>
      <c r="AFA17" s="319"/>
      <c r="AFB17" s="319"/>
      <c r="AFC17" s="319"/>
      <c r="AFD17" s="319"/>
      <c r="AFE17" s="319"/>
      <c r="AFF17" s="319"/>
      <c r="AFG17" s="319"/>
      <c r="AFH17" s="319"/>
      <c r="AFI17" s="319"/>
      <c r="AFJ17" s="319"/>
      <c r="AFK17" s="319"/>
      <c r="AFL17" s="319"/>
      <c r="AFM17" s="319"/>
      <c r="AFN17" s="319"/>
      <c r="AFO17" s="319"/>
      <c r="AFP17" s="319"/>
      <c r="AFQ17" s="319"/>
      <c r="AFR17" s="319"/>
      <c r="AFS17" s="319"/>
      <c r="AFT17" s="319"/>
      <c r="AFU17" s="319"/>
      <c r="AFV17" s="319"/>
      <c r="AFW17" s="319"/>
      <c r="AFX17" s="319"/>
      <c r="AFY17" s="319"/>
      <c r="AFZ17" s="319"/>
      <c r="AGA17" s="319"/>
      <c r="AGB17" s="319"/>
      <c r="AGC17" s="319"/>
      <c r="AGD17" s="319"/>
      <c r="AGE17" s="319"/>
      <c r="AGF17" s="319"/>
      <c r="AGG17" s="319"/>
      <c r="AGH17" s="319"/>
      <c r="AGI17" s="319"/>
      <c r="AGJ17" s="319"/>
      <c r="AGK17" s="319"/>
      <c r="AGL17" s="319"/>
      <c r="AGM17" s="319"/>
      <c r="AGN17" s="319"/>
      <c r="AGO17" s="319"/>
      <c r="AGP17" s="319"/>
      <c r="AGQ17" s="319"/>
      <c r="AGR17" s="319"/>
      <c r="AGS17" s="319"/>
      <c r="AGT17" s="319"/>
      <c r="AGU17" s="319"/>
      <c r="AGV17" s="319"/>
      <c r="AGW17" s="319"/>
      <c r="AGX17" s="319"/>
      <c r="AGY17" s="319"/>
      <c r="AGZ17" s="319"/>
      <c r="AHA17" s="319"/>
      <c r="AHB17" s="319"/>
      <c r="AHC17" s="319"/>
      <c r="AHD17" s="319"/>
      <c r="AHE17" s="319"/>
      <c r="AHF17" s="319"/>
      <c r="AHG17" s="319"/>
      <c r="AHH17" s="319"/>
      <c r="AHI17" s="319"/>
      <c r="AHJ17" s="319"/>
      <c r="AHK17" s="319"/>
      <c r="AHL17" s="319"/>
      <c r="AHM17" s="319"/>
      <c r="AHN17" s="319"/>
      <c r="AHO17" s="319"/>
      <c r="AHP17" s="319"/>
      <c r="AHQ17" s="319"/>
      <c r="AHR17" s="319"/>
      <c r="AHS17" s="319"/>
      <c r="AHT17" s="319"/>
      <c r="AHU17" s="319"/>
      <c r="AHV17" s="319"/>
      <c r="AHW17" s="319"/>
      <c r="AHX17" s="319"/>
      <c r="AHY17" s="319"/>
      <c r="AHZ17" s="319"/>
      <c r="AIA17" s="319"/>
      <c r="AIB17" s="319"/>
      <c r="AIC17" s="319"/>
      <c r="AID17" s="319"/>
      <c r="AIE17" s="319"/>
      <c r="AIF17" s="319"/>
      <c r="AIG17" s="319"/>
      <c r="AIH17" s="319"/>
      <c r="AII17" s="319"/>
      <c r="AIJ17" s="319"/>
      <c r="AIK17" s="319"/>
      <c r="AIL17" s="319"/>
      <c r="AIM17" s="319"/>
      <c r="AIN17" s="319"/>
      <c r="AIO17" s="319"/>
      <c r="AIP17" s="319"/>
      <c r="AIQ17" s="319"/>
      <c r="AIR17" s="319"/>
      <c r="AIS17" s="319"/>
      <c r="AIT17" s="319"/>
      <c r="AIU17" s="319"/>
      <c r="AIV17" s="319"/>
      <c r="AIW17" s="319"/>
      <c r="AIX17" s="319"/>
      <c r="AIY17" s="319"/>
      <c r="AIZ17" s="319"/>
      <c r="AJA17" s="319"/>
      <c r="AJB17" s="319"/>
      <c r="AJC17" s="319"/>
      <c r="AJD17" s="319"/>
      <c r="AJE17" s="319"/>
      <c r="AJF17" s="319"/>
      <c r="AJG17" s="319"/>
      <c r="AJH17" s="319"/>
      <c r="AJI17" s="319"/>
      <c r="AJJ17" s="319"/>
      <c r="AJK17" s="319"/>
      <c r="AJL17" s="319"/>
      <c r="AJM17" s="319"/>
      <c r="AJN17" s="319"/>
      <c r="AJO17" s="319"/>
      <c r="AJP17" s="319"/>
      <c r="AJQ17" s="319"/>
      <c r="AJR17" s="319"/>
      <c r="AJS17" s="319"/>
      <c r="AJT17" s="319"/>
      <c r="AJU17" s="319"/>
      <c r="AJV17" s="319"/>
      <c r="AJW17" s="319"/>
      <c r="AJX17" s="319"/>
      <c r="AJY17" s="319"/>
      <c r="AJZ17" s="319"/>
      <c r="AKA17" s="319"/>
      <c r="AKB17" s="319"/>
      <c r="AKC17" s="319"/>
      <c r="AKD17" s="319"/>
      <c r="AKE17" s="319"/>
      <c r="AKF17" s="319"/>
      <c r="AKG17" s="319"/>
      <c r="AKH17" s="319"/>
      <c r="AKI17" s="319"/>
      <c r="AKJ17" s="319"/>
      <c r="AKK17" s="319"/>
      <c r="AKL17" s="319"/>
      <c r="AKM17" s="319"/>
      <c r="AKN17" s="319"/>
      <c r="AKO17" s="319"/>
      <c r="AKP17" s="319"/>
      <c r="AKQ17" s="319"/>
      <c r="AKR17" s="319"/>
      <c r="AKS17" s="319"/>
      <c r="AKT17" s="319"/>
      <c r="AKU17" s="319"/>
      <c r="AKV17" s="319"/>
      <c r="AKW17" s="319"/>
      <c r="AKX17" s="319"/>
      <c r="AKY17" s="319"/>
      <c r="AKZ17" s="319"/>
      <c r="ALA17" s="319"/>
      <c r="ALB17" s="319"/>
      <c r="ALC17" s="319"/>
      <c r="ALD17" s="319"/>
      <c r="ALE17" s="319"/>
      <c r="ALF17" s="319"/>
      <c r="ALG17" s="319"/>
      <c r="ALH17" s="319"/>
      <c r="ALI17" s="319"/>
      <c r="ALJ17" s="319"/>
      <c r="ALK17" s="319"/>
      <c r="ALL17" s="319"/>
      <c r="ALM17" s="319"/>
      <c r="ALN17" s="319"/>
      <c r="ALO17" s="319"/>
      <c r="ALP17" s="319"/>
      <c r="ALQ17" s="319"/>
      <c r="ALR17" s="319"/>
      <c r="ALS17" s="319"/>
      <c r="ALT17" s="319"/>
      <c r="ALU17" s="319"/>
      <c r="ALV17" s="319"/>
      <c r="ALW17" s="319"/>
      <c r="ALX17" s="319"/>
      <c r="ALY17" s="319"/>
      <c r="ALZ17" s="319"/>
      <c r="AMA17" s="319"/>
      <c r="AMB17" s="319"/>
      <c r="AMC17" s="319"/>
      <c r="AMD17" s="319"/>
      <c r="AME17" s="319"/>
      <c r="AMF17" s="319"/>
      <c r="AMG17" s="319"/>
      <c r="AMH17" s="319"/>
      <c r="AMI17" s="319"/>
      <c r="AMJ17" s="319"/>
      <c r="AMK17" s="319"/>
      <c r="AML17" s="319"/>
      <c r="AMM17" s="319"/>
      <c r="AMN17" s="319"/>
      <c r="AMO17" s="319"/>
      <c r="AMP17" s="319"/>
      <c r="AMQ17" s="319"/>
      <c r="AMR17" s="319"/>
      <c r="AMS17" s="319"/>
      <c r="AMT17" s="319"/>
      <c r="AMU17" s="319"/>
      <c r="AMV17" s="319"/>
      <c r="AMW17" s="319"/>
      <c r="AMX17" s="319"/>
      <c r="AMY17" s="319"/>
      <c r="AMZ17" s="319"/>
      <c r="ANA17" s="319"/>
      <c r="ANB17" s="319"/>
      <c r="ANC17" s="319"/>
      <c r="AND17" s="319"/>
      <c r="ANE17" s="319"/>
      <c r="ANF17" s="319"/>
      <c r="ANG17" s="319"/>
      <c r="ANH17" s="319"/>
      <c r="ANI17" s="319"/>
      <c r="ANJ17" s="319"/>
      <c r="ANK17" s="319"/>
      <c r="ANL17" s="319"/>
      <c r="ANM17" s="319"/>
      <c r="ANN17" s="319"/>
      <c r="ANO17" s="319"/>
      <c r="ANP17" s="319"/>
      <c r="ANQ17" s="319"/>
      <c r="ANR17" s="319"/>
      <c r="ANS17" s="319"/>
      <c r="ANT17" s="319"/>
      <c r="ANU17" s="319"/>
      <c r="ANV17" s="319"/>
      <c r="ANW17" s="319"/>
      <c r="ANX17" s="319"/>
      <c r="ANY17" s="319"/>
      <c r="ANZ17" s="319"/>
      <c r="AOA17" s="319"/>
      <c r="AOB17" s="319"/>
      <c r="AOC17" s="319"/>
      <c r="AOD17" s="319"/>
      <c r="AOE17" s="319"/>
      <c r="AOF17" s="319"/>
      <c r="AOG17" s="319"/>
      <c r="AOH17" s="319"/>
      <c r="AOI17" s="319"/>
      <c r="AOJ17" s="319"/>
      <c r="AOK17" s="319"/>
      <c r="AOL17" s="319"/>
      <c r="AOM17" s="319"/>
      <c r="AON17" s="319"/>
      <c r="AOO17" s="319"/>
      <c r="AOP17" s="319"/>
      <c r="AOQ17" s="319"/>
      <c r="AOR17" s="319"/>
      <c r="AOS17" s="319"/>
      <c r="AOT17" s="319"/>
      <c r="AOU17" s="319"/>
      <c r="AOV17" s="319"/>
      <c r="AOW17" s="319"/>
      <c r="AOX17" s="319"/>
      <c r="AOY17" s="319"/>
      <c r="AOZ17" s="319"/>
      <c r="APA17" s="319"/>
      <c r="APB17" s="319"/>
      <c r="APC17" s="319"/>
      <c r="APD17" s="319"/>
      <c r="APE17" s="319"/>
      <c r="APF17" s="319"/>
      <c r="APG17" s="319"/>
      <c r="APH17" s="319"/>
      <c r="API17" s="319"/>
      <c r="APJ17" s="319"/>
      <c r="APK17" s="319"/>
      <c r="APL17" s="319"/>
      <c r="APM17" s="319"/>
      <c r="APN17" s="319"/>
      <c r="APO17" s="319"/>
      <c r="APP17" s="319"/>
      <c r="APQ17" s="319"/>
      <c r="APR17" s="319"/>
      <c r="APS17" s="319"/>
      <c r="APT17" s="319"/>
      <c r="APU17" s="319"/>
      <c r="APV17" s="319"/>
      <c r="APW17" s="319"/>
      <c r="APX17" s="319"/>
      <c r="APY17" s="319"/>
      <c r="APZ17" s="319"/>
      <c r="AQA17" s="319"/>
      <c r="AQB17" s="319"/>
      <c r="AQC17" s="319"/>
      <c r="AQD17" s="319"/>
      <c r="AQE17" s="319"/>
      <c r="AQF17" s="319"/>
      <c r="AQG17" s="319"/>
      <c r="AQH17" s="319"/>
      <c r="AQI17" s="319"/>
      <c r="AQJ17" s="319"/>
      <c r="AQK17" s="319"/>
      <c r="AQL17" s="319"/>
      <c r="AQM17" s="319"/>
      <c r="AQN17" s="319"/>
      <c r="AQO17" s="319"/>
      <c r="AQP17" s="319"/>
      <c r="AQQ17" s="319"/>
      <c r="AQR17" s="319"/>
      <c r="AQS17" s="319"/>
      <c r="AQT17" s="319"/>
      <c r="AQU17" s="319"/>
      <c r="AQV17" s="319"/>
      <c r="AQW17" s="319"/>
      <c r="AQX17" s="319"/>
      <c r="AQY17" s="319"/>
      <c r="AQZ17" s="319"/>
      <c r="ARA17" s="319"/>
      <c r="ARB17" s="319"/>
      <c r="ARC17" s="319"/>
      <c r="ARD17" s="319"/>
      <c r="ARE17" s="319"/>
      <c r="ARF17" s="319"/>
      <c r="ARG17" s="319"/>
      <c r="ARH17" s="319"/>
      <c r="ARI17" s="319"/>
      <c r="ARJ17" s="319"/>
      <c r="ARK17" s="319"/>
      <c r="ARL17" s="319"/>
      <c r="ARM17" s="319"/>
      <c r="ARN17" s="319"/>
      <c r="ARO17" s="319"/>
      <c r="ARP17" s="319"/>
      <c r="ARQ17" s="319"/>
      <c r="ARR17" s="319"/>
      <c r="ARS17" s="319"/>
      <c r="ART17" s="319"/>
      <c r="ARU17" s="319"/>
      <c r="ARV17" s="319"/>
      <c r="ARW17" s="319"/>
      <c r="ARX17" s="319"/>
      <c r="ARY17" s="319"/>
      <c r="ARZ17" s="319"/>
      <c r="ASA17" s="319"/>
      <c r="ASB17" s="319"/>
      <c r="ASC17" s="319"/>
      <c r="ASD17" s="319"/>
      <c r="ASE17" s="319"/>
      <c r="ASF17" s="319"/>
      <c r="ASG17" s="319"/>
      <c r="ASH17" s="319"/>
      <c r="ASI17" s="319"/>
      <c r="ASJ17" s="319"/>
      <c r="ASK17" s="319"/>
      <c r="ASL17" s="319"/>
      <c r="ASM17" s="319"/>
      <c r="ASN17" s="319"/>
      <c r="ASO17" s="319"/>
      <c r="ASP17" s="319"/>
      <c r="ASQ17" s="319"/>
      <c r="ASR17" s="319"/>
      <c r="ASS17" s="319"/>
      <c r="AST17" s="319"/>
      <c r="ASU17" s="319"/>
      <c r="ASV17" s="319"/>
      <c r="ASW17" s="319"/>
      <c r="ASX17" s="319"/>
      <c r="ASY17" s="319"/>
      <c r="ASZ17" s="319"/>
      <c r="ATA17" s="319"/>
      <c r="ATB17" s="319"/>
      <c r="ATC17" s="319"/>
      <c r="ATD17" s="319"/>
      <c r="ATE17" s="319"/>
      <c r="ATF17" s="319"/>
      <c r="ATG17" s="319"/>
      <c r="ATH17" s="319"/>
      <c r="ATI17" s="319"/>
      <c r="ATJ17" s="319"/>
      <c r="ATK17" s="319"/>
      <c r="ATL17" s="319"/>
      <c r="ATM17" s="319"/>
      <c r="ATN17" s="319"/>
      <c r="ATO17" s="319"/>
      <c r="ATP17" s="319"/>
      <c r="ATQ17" s="319"/>
      <c r="ATR17" s="319"/>
      <c r="ATS17" s="319"/>
      <c r="ATT17" s="319"/>
      <c r="ATU17" s="319"/>
      <c r="ATV17" s="319"/>
      <c r="ATW17" s="319"/>
      <c r="ATX17" s="319"/>
      <c r="ATY17" s="319"/>
      <c r="ATZ17" s="319"/>
      <c r="AUA17" s="319"/>
      <c r="AUB17" s="319"/>
      <c r="AUC17" s="319"/>
      <c r="AUD17" s="319"/>
      <c r="AUE17" s="319"/>
      <c r="AUF17" s="319"/>
      <c r="AUG17" s="319"/>
      <c r="AUH17" s="319"/>
      <c r="AUI17" s="319"/>
      <c r="AUJ17" s="319"/>
      <c r="AUK17" s="319"/>
      <c r="AUL17" s="319"/>
      <c r="AUM17" s="319"/>
      <c r="AUN17" s="319"/>
      <c r="AUO17" s="319"/>
      <c r="AUP17" s="319"/>
      <c r="AUQ17" s="319"/>
      <c r="AUR17" s="319"/>
      <c r="AUS17" s="319"/>
      <c r="AUT17" s="319"/>
      <c r="AUU17" s="319"/>
      <c r="AUV17" s="319"/>
      <c r="AUW17" s="319"/>
      <c r="AUX17" s="319"/>
      <c r="AUY17" s="319"/>
      <c r="AUZ17" s="319"/>
      <c r="AVA17" s="319"/>
      <c r="AVB17" s="319"/>
      <c r="AVC17" s="319"/>
      <c r="AVD17" s="319"/>
      <c r="AVE17" s="319"/>
      <c r="AVF17" s="319"/>
      <c r="AVG17" s="319"/>
      <c r="AVH17" s="319"/>
      <c r="AVI17" s="319"/>
      <c r="AVJ17" s="319"/>
      <c r="AVK17" s="319"/>
      <c r="AVL17" s="319"/>
      <c r="AVM17" s="319"/>
      <c r="AVN17" s="319"/>
      <c r="AVO17" s="319"/>
      <c r="AVP17" s="319"/>
      <c r="AVQ17" s="319"/>
      <c r="AVR17" s="319"/>
      <c r="AVS17" s="319"/>
      <c r="AVT17" s="319"/>
      <c r="AVU17" s="319"/>
      <c r="AVV17" s="319"/>
      <c r="AVW17" s="319"/>
      <c r="AVX17" s="319"/>
      <c r="AVY17" s="319"/>
      <c r="AVZ17" s="319"/>
      <c r="AWA17" s="319"/>
      <c r="AWB17" s="319"/>
      <c r="AWC17" s="319"/>
      <c r="AWD17" s="319"/>
      <c r="AWE17" s="319"/>
      <c r="AWF17" s="319"/>
      <c r="AWG17" s="319"/>
      <c r="AWH17" s="319"/>
      <c r="AWI17" s="319"/>
      <c r="AWJ17" s="319"/>
      <c r="AWK17" s="319"/>
      <c r="AWL17" s="319"/>
      <c r="AWM17" s="319"/>
      <c r="AWN17" s="319"/>
      <c r="AWO17" s="319"/>
      <c r="AWP17" s="319"/>
      <c r="AWQ17" s="319"/>
      <c r="AWR17" s="319"/>
      <c r="AWS17" s="319"/>
      <c r="AWT17" s="319"/>
      <c r="AWU17" s="319"/>
      <c r="AWV17" s="319"/>
      <c r="AWW17" s="319"/>
      <c r="AWX17" s="319"/>
      <c r="AWY17" s="319"/>
      <c r="AWZ17" s="319"/>
      <c r="AXA17" s="319"/>
      <c r="AXB17" s="319"/>
      <c r="AXC17" s="319"/>
      <c r="AXD17" s="319"/>
      <c r="AXE17" s="319"/>
      <c r="AXF17" s="319"/>
      <c r="AXG17" s="319"/>
      <c r="AXH17" s="319"/>
      <c r="AXI17" s="319"/>
      <c r="AXJ17" s="319"/>
      <c r="AXK17" s="319"/>
      <c r="AXL17" s="319"/>
      <c r="AXM17" s="319"/>
      <c r="AXN17" s="319"/>
      <c r="AXO17" s="319"/>
      <c r="AXP17" s="319"/>
      <c r="AXQ17" s="319"/>
      <c r="AXR17" s="319"/>
      <c r="AXS17" s="319"/>
      <c r="AXT17" s="319"/>
      <c r="AXU17" s="319"/>
      <c r="AXV17" s="319"/>
      <c r="AXW17" s="319"/>
      <c r="AXX17" s="319"/>
      <c r="AXY17" s="319"/>
      <c r="AXZ17" s="319"/>
      <c r="AYA17" s="319"/>
      <c r="AYB17" s="319"/>
      <c r="AYC17" s="319"/>
      <c r="AYD17" s="319"/>
      <c r="AYE17" s="319"/>
      <c r="AYF17" s="319"/>
      <c r="AYG17" s="319"/>
      <c r="AYH17" s="319"/>
      <c r="AYI17" s="319"/>
      <c r="AYJ17" s="319"/>
      <c r="AYK17" s="319"/>
      <c r="AYL17" s="319"/>
      <c r="AYM17" s="319"/>
      <c r="AYN17" s="319"/>
      <c r="AYO17" s="319"/>
      <c r="AYP17" s="319"/>
      <c r="AYQ17" s="319"/>
      <c r="AYR17" s="319"/>
      <c r="AYS17" s="319"/>
      <c r="AYT17" s="319"/>
      <c r="AYU17" s="319"/>
      <c r="AYV17" s="319"/>
      <c r="AYW17" s="319"/>
      <c r="AYX17" s="319"/>
      <c r="AYY17" s="319"/>
      <c r="AYZ17" s="319"/>
      <c r="AZA17" s="319"/>
      <c r="AZB17" s="319"/>
      <c r="AZC17" s="319"/>
      <c r="AZD17" s="319"/>
      <c r="AZE17" s="319"/>
      <c r="AZF17" s="319"/>
      <c r="AZG17" s="319"/>
      <c r="AZH17" s="319"/>
      <c r="AZI17" s="319"/>
      <c r="AZJ17" s="319"/>
      <c r="AZK17" s="319"/>
      <c r="AZL17" s="319"/>
      <c r="AZM17" s="319"/>
      <c r="AZN17" s="319"/>
      <c r="AZO17" s="319"/>
      <c r="AZP17" s="319"/>
      <c r="AZQ17" s="319"/>
      <c r="AZR17" s="319"/>
      <c r="AZS17" s="319"/>
      <c r="AZT17" s="319"/>
      <c r="AZU17" s="319"/>
      <c r="AZV17" s="319"/>
      <c r="AZW17" s="319"/>
      <c r="AZX17" s="319"/>
      <c r="AZY17" s="319"/>
      <c r="AZZ17" s="319"/>
      <c r="BAA17" s="319"/>
      <c r="BAB17" s="319"/>
      <c r="BAC17" s="319"/>
      <c r="BAD17" s="319"/>
      <c r="BAE17" s="319"/>
      <c r="BAF17" s="319"/>
      <c r="BAG17" s="319"/>
      <c r="BAH17" s="319"/>
      <c r="BAI17" s="319"/>
      <c r="BAJ17" s="319"/>
      <c r="BAK17" s="319"/>
      <c r="BAL17" s="319"/>
      <c r="BAM17" s="319"/>
      <c r="BAN17" s="319"/>
      <c r="BAO17" s="319"/>
      <c r="BAP17" s="319"/>
      <c r="BAQ17" s="319"/>
      <c r="BAR17" s="319"/>
      <c r="BAS17" s="319"/>
      <c r="BAT17" s="319"/>
      <c r="BAU17" s="319"/>
      <c r="BAV17" s="319"/>
      <c r="BAW17" s="319"/>
      <c r="BAX17" s="319"/>
      <c r="BAY17" s="319"/>
      <c r="BAZ17" s="319"/>
      <c r="BBA17" s="319"/>
      <c r="BBB17" s="319"/>
      <c r="BBC17" s="319"/>
      <c r="BBD17" s="319"/>
      <c r="BBE17" s="319"/>
      <c r="BBF17" s="319"/>
      <c r="BBG17" s="319"/>
      <c r="BBH17" s="319"/>
      <c r="BBI17" s="319"/>
      <c r="BBJ17" s="319"/>
      <c r="BBK17" s="319"/>
      <c r="BBL17" s="319"/>
      <c r="BBM17" s="319"/>
      <c r="BBN17" s="319"/>
      <c r="BBO17" s="319"/>
      <c r="BBP17" s="319"/>
      <c r="BBQ17" s="319"/>
      <c r="BBR17" s="319"/>
      <c r="BBS17" s="319"/>
      <c r="BBT17" s="319"/>
      <c r="BBU17" s="319"/>
      <c r="BBV17" s="319"/>
      <c r="BBW17" s="319"/>
      <c r="BBX17" s="319"/>
      <c r="BBY17" s="319"/>
      <c r="BBZ17" s="319"/>
      <c r="BCA17" s="319"/>
      <c r="BCB17" s="319"/>
      <c r="BCC17" s="319"/>
      <c r="BCD17" s="319"/>
      <c r="BCE17" s="319"/>
      <c r="BCF17" s="319"/>
      <c r="BCG17" s="319"/>
      <c r="BCH17" s="319"/>
      <c r="BCI17" s="319"/>
      <c r="BCJ17" s="319"/>
      <c r="BCK17" s="319"/>
      <c r="BCL17" s="319"/>
      <c r="BCM17" s="319"/>
      <c r="BCN17" s="319"/>
      <c r="BCO17" s="319"/>
      <c r="BCP17" s="319"/>
      <c r="BCQ17" s="319"/>
      <c r="BCR17" s="319"/>
      <c r="BCS17" s="319"/>
      <c r="BCT17" s="319"/>
      <c r="BCU17" s="319"/>
      <c r="BCV17" s="319"/>
      <c r="BCW17" s="319"/>
      <c r="BCX17" s="319"/>
      <c r="BCY17" s="319"/>
      <c r="BCZ17" s="319"/>
      <c r="BDA17" s="319"/>
      <c r="BDB17" s="319"/>
      <c r="BDC17" s="319"/>
      <c r="BDD17" s="319"/>
      <c r="BDE17" s="319"/>
      <c r="BDF17" s="319"/>
      <c r="BDG17" s="319"/>
      <c r="BDH17" s="319"/>
      <c r="BDI17" s="319"/>
      <c r="BDJ17" s="319"/>
      <c r="BDK17" s="319"/>
      <c r="BDL17" s="319"/>
      <c r="BDM17" s="319"/>
      <c r="BDN17" s="319"/>
      <c r="BDO17" s="319"/>
      <c r="BDP17" s="319"/>
      <c r="BDQ17" s="319"/>
      <c r="BDR17" s="319"/>
      <c r="BDS17" s="319"/>
      <c r="BDT17" s="319"/>
      <c r="BDU17" s="319"/>
      <c r="BDV17" s="319"/>
      <c r="BDW17" s="319"/>
      <c r="BDX17" s="319"/>
      <c r="BDY17" s="319"/>
      <c r="BDZ17" s="319"/>
      <c r="BEA17" s="319"/>
      <c r="BEB17" s="319"/>
      <c r="BEC17" s="319"/>
      <c r="BED17" s="319"/>
      <c r="BEE17" s="319"/>
      <c r="BEF17" s="319"/>
      <c r="BEG17" s="319"/>
      <c r="BEH17" s="319"/>
      <c r="BEI17" s="319"/>
      <c r="BEJ17" s="319"/>
      <c r="BEK17" s="319"/>
      <c r="BEL17" s="319"/>
      <c r="BEM17" s="319"/>
      <c r="BEN17" s="319"/>
      <c r="BEO17" s="319"/>
      <c r="BEP17" s="319"/>
      <c r="BEQ17" s="319"/>
      <c r="BER17" s="319"/>
      <c r="BES17" s="319"/>
      <c r="BET17" s="319"/>
      <c r="BEU17" s="319"/>
      <c r="BEV17" s="319"/>
      <c r="BEW17" s="319"/>
      <c r="BEX17" s="319"/>
      <c r="BEY17" s="319"/>
      <c r="BEZ17" s="319"/>
      <c r="BFA17" s="319"/>
      <c r="BFB17" s="319"/>
      <c r="BFC17" s="319"/>
      <c r="BFD17" s="319"/>
      <c r="BFE17" s="319"/>
      <c r="BFF17" s="319"/>
      <c r="BFG17" s="319"/>
      <c r="BFH17" s="319"/>
      <c r="BFI17" s="319"/>
      <c r="BFJ17" s="319"/>
      <c r="BFK17" s="319"/>
      <c r="BFL17" s="319"/>
      <c r="BFM17" s="319"/>
      <c r="BFN17" s="319"/>
      <c r="BFO17" s="319"/>
      <c r="BFP17" s="319"/>
      <c r="BFQ17" s="319"/>
      <c r="BFR17" s="319"/>
      <c r="BFS17" s="319"/>
      <c r="BFT17" s="319"/>
      <c r="BFU17" s="319"/>
      <c r="BFV17" s="319"/>
      <c r="BFW17" s="319"/>
      <c r="BFX17" s="319"/>
      <c r="BFY17" s="319"/>
      <c r="BFZ17" s="319"/>
      <c r="BGA17" s="319"/>
      <c r="BGB17" s="319"/>
      <c r="BGC17" s="319"/>
      <c r="BGD17" s="319"/>
      <c r="BGE17" s="319"/>
      <c r="BGF17" s="319"/>
      <c r="BGG17" s="319"/>
      <c r="BGH17" s="319"/>
      <c r="BGI17" s="319"/>
      <c r="BGJ17" s="319"/>
      <c r="BGK17" s="319"/>
      <c r="BGL17" s="319"/>
      <c r="BGM17" s="319"/>
      <c r="BGN17" s="319"/>
      <c r="BGO17" s="319"/>
      <c r="BGP17" s="319"/>
      <c r="BGQ17" s="319"/>
      <c r="BGR17" s="319"/>
      <c r="BGS17" s="319"/>
      <c r="BGT17" s="319"/>
      <c r="BGU17" s="319"/>
      <c r="BGV17" s="319"/>
      <c r="BGW17" s="319"/>
      <c r="BGX17" s="319"/>
      <c r="BGY17" s="319"/>
      <c r="BGZ17" s="319"/>
      <c r="BHA17" s="319"/>
      <c r="BHB17" s="319"/>
      <c r="BHC17" s="319"/>
      <c r="BHD17" s="319"/>
      <c r="BHE17" s="319"/>
      <c r="BHF17" s="319"/>
      <c r="BHG17" s="319"/>
      <c r="BHH17" s="319"/>
      <c r="BHI17" s="319"/>
      <c r="BHJ17" s="319"/>
      <c r="BHK17" s="319"/>
      <c r="BHL17" s="319"/>
      <c r="BHM17" s="319"/>
      <c r="BHN17" s="319"/>
      <c r="BHO17" s="319"/>
      <c r="BHP17" s="319"/>
      <c r="BHQ17" s="319"/>
      <c r="BHR17" s="319"/>
      <c r="BHS17" s="319"/>
      <c r="BHT17" s="319"/>
      <c r="BHU17" s="319"/>
      <c r="BHV17" s="319"/>
      <c r="BHW17" s="319"/>
      <c r="BHX17" s="319"/>
      <c r="BHY17" s="319"/>
      <c r="BHZ17" s="319"/>
      <c r="BIA17" s="319"/>
      <c r="BIB17" s="319"/>
      <c r="BIC17" s="319"/>
      <c r="BID17" s="319"/>
      <c r="BIE17" s="319"/>
      <c r="BIF17" s="319"/>
      <c r="BIG17" s="319"/>
      <c r="BIH17" s="319"/>
      <c r="BII17" s="319"/>
      <c r="BIJ17" s="319"/>
      <c r="BIK17" s="319"/>
      <c r="BIL17" s="319"/>
      <c r="BIM17" s="319"/>
      <c r="BIN17" s="319"/>
      <c r="BIO17" s="319"/>
      <c r="BIP17" s="319"/>
      <c r="BIQ17" s="319"/>
      <c r="BIR17" s="319"/>
      <c r="BIS17" s="319"/>
      <c r="BIT17" s="319"/>
      <c r="BIU17" s="319"/>
      <c r="BIV17" s="319"/>
      <c r="BIW17" s="319"/>
      <c r="BIX17" s="319"/>
      <c r="BIY17" s="319"/>
      <c r="BIZ17" s="319"/>
      <c r="BJA17" s="319"/>
      <c r="BJB17" s="319"/>
      <c r="BJC17" s="319"/>
      <c r="BJD17" s="319"/>
      <c r="BJE17" s="319"/>
      <c r="BJF17" s="319"/>
      <c r="BJG17" s="319"/>
      <c r="BJH17" s="319"/>
      <c r="BJI17" s="319"/>
      <c r="BJJ17" s="319"/>
      <c r="BJK17" s="319"/>
      <c r="BJL17" s="319"/>
      <c r="BJM17" s="319"/>
      <c r="BJN17" s="319"/>
      <c r="BJO17" s="319"/>
      <c r="BJP17" s="319"/>
      <c r="BJQ17" s="319"/>
      <c r="BJR17" s="319"/>
      <c r="BJS17" s="319"/>
      <c r="BJT17" s="319"/>
      <c r="BJU17" s="319"/>
      <c r="BJV17" s="319"/>
      <c r="BJW17" s="319"/>
      <c r="BJX17" s="319"/>
      <c r="BJY17" s="319"/>
      <c r="BJZ17" s="319"/>
      <c r="BKA17" s="319"/>
      <c r="BKB17" s="319"/>
      <c r="BKC17" s="319"/>
      <c r="BKD17" s="319"/>
      <c r="BKE17" s="319"/>
      <c r="BKF17" s="319"/>
      <c r="BKG17" s="319"/>
      <c r="BKH17" s="319"/>
      <c r="BKI17" s="319"/>
      <c r="BKJ17" s="319"/>
      <c r="BKK17" s="319"/>
      <c r="BKL17" s="319"/>
      <c r="BKM17" s="319"/>
      <c r="BKN17" s="319"/>
      <c r="BKO17" s="319"/>
      <c r="BKP17" s="319"/>
      <c r="BKQ17" s="319"/>
      <c r="BKR17" s="319"/>
      <c r="BKS17" s="319"/>
      <c r="BKT17" s="319"/>
      <c r="BKU17" s="319"/>
      <c r="BKV17" s="319"/>
      <c r="BKW17" s="319"/>
      <c r="BKX17" s="319"/>
      <c r="BKY17" s="319"/>
      <c r="BKZ17" s="319"/>
      <c r="BLA17" s="319"/>
      <c r="BLB17" s="319"/>
      <c r="BLC17" s="319"/>
      <c r="BLD17" s="319"/>
      <c r="BLE17" s="319"/>
      <c r="BLF17" s="319"/>
      <c r="BLG17" s="319"/>
      <c r="BLH17" s="319"/>
      <c r="BLI17" s="319"/>
      <c r="BLJ17" s="319"/>
      <c r="BLK17" s="319"/>
      <c r="BLL17" s="319"/>
      <c r="BLM17" s="319"/>
      <c r="BLN17" s="319"/>
      <c r="BLO17" s="319"/>
      <c r="BLP17" s="319"/>
      <c r="BLQ17" s="319"/>
      <c r="BLR17" s="319"/>
      <c r="BLS17" s="319"/>
      <c r="BLT17" s="319"/>
      <c r="BLU17" s="319"/>
      <c r="BLV17" s="319"/>
      <c r="BLW17" s="319"/>
      <c r="BLX17" s="319"/>
      <c r="BLY17" s="319"/>
      <c r="BLZ17" s="319"/>
      <c r="BMA17" s="319"/>
      <c r="BMB17" s="319"/>
      <c r="BMC17" s="319"/>
      <c r="BMD17" s="319"/>
      <c r="BME17" s="319"/>
      <c r="BMF17" s="319"/>
      <c r="BMG17" s="319"/>
      <c r="BMH17" s="319"/>
      <c r="BMI17" s="319"/>
      <c r="BMJ17" s="319"/>
      <c r="BMK17" s="319"/>
      <c r="BML17" s="319"/>
      <c r="BMM17" s="319"/>
      <c r="BMN17" s="319"/>
      <c r="BMO17" s="319"/>
      <c r="BMP17" s="319"/>
      <c r="BMQ17" s="319"/>
      <c r="BMR17" s="319"/>
      <c r="BMS17" s="319"/>
      <c r="BMT17" s="319"/>
      <c r="BMU17" s="319"/>
      <c r="BMV17" s="319"/>
      <c r="BMW17" s="319"/>
      <c r="BMX17" s="319"/>
      <c r="BMY17" s="319"/>
      <c r="BMZ17" s="319"/>
      <c r="BNA17" s="319"/>
      <c r="BNB17" s="319"/>
      <c r="BNC17" s="319"/>
      <c r="BND17" s="319"/>
      <c r="BNE17" s="319"/>
      <c r="BNF17" s="319"/>
      <c r="BNG17" s="319"/>
      <c r="BNH17" s="319"/>
      <c r="BNI17" s="319"/>
      <c r="BNJ17" s="319"/>
      <c r="BNK17" s="319"/>
      <c r="BNL17" s="319"/>
      <c r="BNM17" s="319"/>
      <c r="BNN17" s="319"/>
      <c r="BNO17" s="319"/>
      <c r="BNP17" s="319"/>
      <c r="BNQ17" s="319"/>
      <c r="BNR17" s="319"/>
      <c r="BNS17" s="319"/>
      <c r="BNT17" s="319"/>
      <c r="BNU17" s="319"/>
      <c r="BNV17" s="319"/>
      <c r="BNW17" s="319"/>
      <c r="BNX17" s="319"/>
      <c r="BNY17" s="319"/>
      <c r="BNZ17" s="319"/>
      <c r="BOA17" s="319"/>
      <c r="BOB17" s="319"/>
      <c r="BOC17" s="319"/>
      <c r="BOD17" s="319"/>
      <c r="BOE17" s="319"/>
      <c r="BOF17" s="319"/>
      <c r="BOG17" s="319"/>
      <c r="BOH17" s="319"/>
      <c r="BOI17" s="319"/>
      <c r="BOJ17" s="319"/>
      <c r="BOK17" s="319"/>
      <c r="BOL17" s="319"/>
      <c r="BOM17" s="319"/>
      <c r="BON17" s="319"/>
      <c r="BOO17" s="319"/>
      <c r="BOP17" s="319"/>
      <c r="BOQ17" s="319"/>
      <c r="BOR17" s="319"/>
      <c r="BOS17" s="319"/>
      <c r="BOT17" s="319"/>
      <c r="BOU17" s="319"/>
      <c r="BOV17" s="319"/>
      <c r="BOW17" s="319"/>
      <c r="BOX17" s="319"/>
      <c r="BOY17" s="319"/>
      <c r="BOZ17" s="319"/>
      <c r="BPA17" s="319"/>
      <c r="BPB17" s="319"/>
      <c r="BPC17" s="319"/>
      <c r="BPD17" s="319"/>
      <c r="BPE17" s="319"/>
      <c r="BPF17" s="319"/>
      <c r="BPG17" s="319"/>
      <c r="BPH17" s="319"/>
      <c r="BPI17" s="319"/>
      <c r="BPJ17" s="319"/>
      <c r="BPK17" s="319"/>
      <c r="BPL17" s="319"/>
      <c r="BPM17" s="319"/>
      <c r="BPN17" s="319"/>
      <c r="BPO17" s="319"/>
      <c r="BPP17" s="319"/>
      <c r="BPQ17" s="319"/>
      <c r="BPR17" s="319"/>
      <c r="BPS17" s="319"/>
      <c r="BPT17" s="319"/>
      <c r="BPU17" s="319"/>
      <c r="BPV17" s="319"/>
      <c r="BPW17" s="319"/>
      <c r="BPX17" s="319"/>
      <c r="BPY17" s="319"/>
      <c r="BPZ17" s="319"/>
      <c r="BQA17" s="319"/>
      <c r="BQB17" s="319"/>
      <c r="BQC17" s="319"/>
      <c r="BQD17" s="319"/>
      <c r="BQE17" s="319"/>
      <c r="BQF17" s="319"/>
      <c r="BQG17" s="319"/>
      <c r="BQH17" s="319"/>
      <c r="BQI17" s="319"/>
      <c r="BQJ17" s="319"/>
      <c r="BQK17" s="319"/>
      <c r="BQL17" s="319"/>
      <c r="BQM17" s="319"/>
      <c r="BQN17" s="319"/>
      <c r="BQO17" s="319"/>
      <c r="BQP17" s="319"/>
      <c r="BQQ17" s="319"/>
      <c r="BQR17" s="319"/>
      <c r="BQS17" s="319"/>
      <c r="BQT17" s="319"/>
      <c r="BQU17" s="319"/>
      <c r="BQV17" s="319"/>
      <c r="BQW17" s="319"/>
      <c r="BQX17" s="319"/>
      <c r="BQY17" s="319"/>
      <c r="BQZ17" s="319"/>
      <c r="BRA17" s="319"/>
      <c r="BRB17" s="319"/>
      <c r="BRC17" s="319"/>
      <c r="BRD17" s="319"/>
      <c r="BRE17" s="319"/>
      <c r="BRF17" s="319"/>
      <c r="BRG17" s="319"/>
      <c r="BRH17" s="319"/>
      <c r="BRI17" s="319"/>
      <c r="BRJ17" s="319"/>
      <c r="BRK17" s="319"/>
      <c r="BRL17" s="319"/>
      <c r="BRM17" s="319"/>
      <c r="BRN17" s="319"/>
      <c r="BRO17" s="319"/>
      <c r="BRP17" s="319"/>
      <c r="BRQ17" s="319"/>
      <c r="BRR17" s="319"/>
      <c r="BRS17" s="319"/>
      <c r="BRT17" s="319"/>
      <c r="BRU17" s="319"/>
      <c r="BRV17" s="319"/>
      <c r="BRW17" s="319"/>
      <c r="BRX17" s="319"/>
      <c r="BRY17" s="319"/>
      <c r="BRZ17" s="319"/>
      <c r="BSA17" s="319"/>
      <c r="BSB17" s="319"/>
      <c r="BSC17" s="319"/>
      <c r="BSD17" s="319"/>
      <c r="BSE17" s="319"/>
      <c r="BSF17" s="319"/>
      <c r="BSG17" s="319"/>
      <c r="BSH17" s="319"/>
      <c r="BSI17" s="319"/>
      <c r="BSJ17" s="319"/>
      <c r="BSK17" s="319"/>
      <c r="BSL17" s="319"/>
      <c r="BSM17" s="319"/>
      <c r="BSN17" s="319"/>
      <c r="BSO17" s="319"/>
      <c r="BSP17" s="319"/>
      <c r="BSQ17" s="319"/>
      <c r="BSR17" s="319"/>
      <c r="BSS17" s="319"/>
      <c r="BST17" s="319"/>
      <c r="BSU17" s="319"/>
      <c r="BSV17" s="319"/>
      <c r="BSW17" s="319"/>
      <c r="BSX17" s="319"/>
      <c r="BSY17" s="319"/>
      <c r="BSZ17" s="319"/>
      <c r="BTA17" s="319"/>
      <c r="BTB17" s="319"/>
      <c r="BTC17" s="319"/>
      <c r="BTD17" s="319"/>
      <c r="BTE17" s="319"/>
      <c r="BTF17" s="319"/>
      <c r="BTG17" s="319"/>
      <c r="BTH17" s="319"/>
      <c r="BTI17" s="319"/>
      <c r="BTJ17" s="319"/>
      <c r="BTK17" s="319"/>
      <c r="BTL17" s="319"/>
      <c r="BTM17" s="319"/>
      <c r="BTN17" s="319"/>
      <c r="BTO17" s="319"/>
      <c r="BTP17" s="319"/>
      <c r="BTQ17" s="319"/>
      <c r="BTR17" s="319"/>
      <c r="BTS17" s="319"/>
      <c r="BTT17" s="319"/>
      <c r="BTU17" s="319"/>
      <c r="BTV17" s="319"/>
      <c r="BTW17" s="319"/>
      <c r="BTX17" s="319"/>
      <c r="BTY17" s="319"/>
      <c r="BTZ17" s="319"/>
      <c r="BUA17" s="319"/>
      <c r="BUB17" s="319"/>
      <c r="BUC17" s="319"/>
      <c r="BUD17" s="319"/>
      <c r="BUE17" s="319"/>
      <c r="BUF17" s="319"/>
      <c r="BUG17" s="319"/>
      <c r="BUH17" s="319"/>
      <c r="BUI17" s="319"/>
      <c r="BUJ17" s="319"/>
      <c r="BUK17" s="319"/>
      <c r="BUL17" s="319"/>
      <c r="BUM17" s="319"/>
      <c r="BUN17" s="319"/>
      <c r="BUO17" s="319"/>
      <c r="BUP17" s="319"/>
      <c r="BUQ17" s="319"/>
      <c r="BUR17" s="319"/>
      <c r="BUS17" s="319"/>
      <c r="BUT17" s="319"/>
      <c r="BUU17" s="319"/>
      <c r="BUV17" s="319"/>
      <c r="BUW17" s="319"/>
      <c r="BUX17" s="319"/>
      <c r="BUY17" s="319"/>
      <c r="BUZ17" s="319"/>
      <c r="BVA17" s="319"/>
      <c r="BVB17" s="319"/>
      <c r="BVC17" s="319"/>
      <c r="BVD17" s="319"/>
      <c r="BVE17" s="319"/>
      <c r="BVF17" s="319"/>
      <c r="BVG17" s="319"/>
      <c r="BVH17" s="319"/>
      <c r="BVI17" s="319"/>
      <c r="BVJ17" s="319"/>
      <c r="BVK17" s="319"/>
      <c r="BVL17" s="319"/>
      <c r="BVM17" s="319"/>
      <c r="BVN17" s="319"/>
      <c r="BVO17" s="319"/>
      <c r="BVP17" s="319"/>
      <c r="BVQ17" s="319"/>
      <c r="BVR17" s="319"/>
      <c r="BVS17" s="319"/>
      <c r="BVT17" s="319"/>
      <c r="BVU17" s="319"/>
      <c r="BVV17" s="319"/>
      <c r="BVW17" s="319"/>
      <c r="BVX17" s="319"/>
      <c r="BVY17" s="319"/>
      <c r="BVZ17" s="319"/>
      <c r="BWA17" s="319"/>
      <c r="BWB17" s="319"/>
      <c r="BWC17" s="319"/>
      <c r="BWD17" s="319"/>
      <c r="BWE17" s="319"/>
      <c r="BWF17" s="319"/>
      <c r="BWG17" s="319"/>
      <c r="BWH17" s="319"/>
      <c r="BWI17" s="319"/>
      <c r="BWJ17" s="319"/>
      <c r="BWK17" s="319"/>
      <c r="BWL17" s="319"/>
      <c r="BWM17" s="319"/>
      <c r="BWN17" s="319"/>
      <c r="BWO17" s="319"/>
      <c r="BWP17" s="319"/>
      <c r="BWQ17" s="319"/>
      <c r="BWR17" s="319"/>
      <c r="BWS17" s="319"/>
      <c r="BWT17" s="319"/>
      <c r="BWU17" s="319"/>
      <c r="BWV17" s="319"/>
      <c r="BWW17" s="319"/>
      <c r="BWX17" s="319"/>
      <c r="BWY17" s="319"/>
      <c r="BWZ17" s="319"/>
      <c r="BXA17" s="319"/>
      <c r="BXB17" s="319"/>
      <c r="BXC17" s="319"/>
      <c r="BXD17" s="319"/>
      <c r="BXE17" s="319"/>
      <c r="BXF17" s="319"/>
      <c r="BXG17" s="319"/>
      <c r="BXH17" s="319"/>
      <c r="BXI17" s="319"/>
      <c r="BXJ17" s="319"/>
      <c r="BXK17" s="319"/>
      <c r="BXL17" s="319"/>
      <c r="BXM17" s="319"/>
      <c r="BXN17" s="319"/>
      <c r="BXO17" s="319"/>
      <c r="BXP17" s="319"/>
      <c r="BXQ17" s="319"/>
      <c r="BXR17" s="319"/>
      <c r="BXS17" s="319"/>
      <c r="BXT17" s="319"/>
      <c r="BXU17" s="319"/>
      <c r="BXV17" s="319"/>
      <c r="BXW17" s="319"/>
      <c r="BXX17" s="319"/>
      <c r="BXY17" s="319"/>
      <c r="BXZ17" s="319"/>
      <c r="BYA17" s="319"/>
      <c r="BYB17" s="319"/>
      <c r="BYC17" s="319"/>
      <c r="BYD17" s="319"/>
      <c r="BYE17" s="319"/>
      <c r="BYF17" s="319"/>
      <c r="BYG17" s="319"/>
      <c r="BYH17" s="319"/>
      <c r="BYI17" s="319"/>
      <c r="BYJ17" s="319"/>
      <c r="BYK17" s="319"/>
      <c r="BYL17" s="319"/>
      <c r="BYM17" s="319"/>
      <c r="BYN17" s="319"/>
      <c r="BYO17" s="319"/>
      <c r="BYP17" s="319"/>
      <c r="BYQ17" s="319"/>
      <c r="BYR17" s="319"/>
      <c r="BYS17" s="319"/>
      <c r="BYT17" s="319"/>
      <c r="BYU17" s="319"/>
      <c r="BYV17" s="319"/>
      <c r="BYW17" s="319"/>
      <c r="BYX17" s="319"/>
      <c r="BYY17" s="319"/>
      <c r="BYZ17" s="319"/>
      <c r="BZA17" s="319"/>
      <c r="BZB17" s="319"/>
      <c r="BZC17" s="319"/>
      <c r="BZD17" s="319"/>
      <c r="BZE17" s="319"/>
      <c r="BZF17" s="319"/>
      <c r="BZG17" s="319"/>
      <c r="BZH17" s="319"/>
      <c r="BZI17" s="319"/>
      <c r="BZJ17" s="319"/>
      <c r="BZK17" s="319"/>
      <c r="BZL17" s="319"/>
      <c r="BZM17" s="319"/>
      <c r="BZN17" s="319"/>
      <c r="BZO17" s="319"/>
      <c r="BZP17" s="319"/>
      <c r="BZQ17" s="319"/>
      <c r="BZR17" s="319"/>
      <c r="BZS17" s="319"/>
      <c r="BZT17" s="319"/>
      <c r="BZU17" s="319"/>
      <c r="BZV17" s="319"/>
      <c r="BZW17" s="319"/>
      <c r="BZX17" s="319"/>
      <c r="BZY17" s="319"/>
      <c r="BZZ17" s="319"/>
      <c r="CAA17" s="319"/>
      <c r="CAB17" s="319"/>
      <c r="CAC17" s="319"/>
      <c r="CAD17" s="319"/>
      <c r="CAE17" s="319"/>
      <c r="CAF17" s="319"/>
      <c r="CAG17" s="319"/>
      <c r="CAH17" s="319"/>
      <c r="CAI17" s="319"/>
      <c r="CAJ17" s="319"/>
      <c r="CAK17" s="319"/>
      <c r="CAL17" s="319"/>
      <c r="CAM17" s="319"/>
      <c r="CAN17" s="319"/>
      <c r="CAO17" s="319"/>
      <c r="CAP17" s="319"/>
      <c r="CAQ17" s="319"/>
      <c r="CAR17" s="319"/>
      <c r="CAS17" s="319"/>
      <c r="CAT17" s="319"/>
      <c r="CAU17" s="319"/>
      <c r="CAV17" s="319"/>
      <c r="CAW17" s="319"/>
      <c r="CAX17" s="319"/>
      <c r="CAY17" s="319"/>
      <c r="CAZ17" s="319"/>
      <c r="CBA17" s="319"/>
      <c r="CBB17" s="319"/>
      <c r="CBC17" s="319"/>
      <c r="CBD17" s="319"/>
      <c r="CBE17" s="319"/>
      <c r="CBF17" s="319"/>
      <c r="CBG17" s="319"/>
      <c r="CBH17" s="319"/>
      <c r="CBI17" s="319"/>
      <c r="CBJ17" s="319"/>
      <c r="CBK17" s="319"/>
      <c r="CBL17" s="319"/>
      <c r="CBM17" s="319"/>
      <c r="CBN17" s="319"/>
      <c r="CBO17" s="319"/>
      <c r="CBP17" s="319"/>
      <c r="CBQ17" s="319"/>
      <c r="CBR17" s="319"/>
      <c r="CBS17" s="319"/>
      <c r="CBT17" s="319"/>
      <c r="CBU17" s="319"/>
      <c r="CBV17" s="319"/>
      <c r="CBW17" s="319"/>
      <c r="CBX17" s="319"/>
      <c r="CBY17" s="319"/>
      <c r="CBZ17" s="319"/>
      <c r="CCA17" s="319"/>
      <c r="CCB17" s="319"/>
      <c r="CCC17" s="319"/>
      <c r="CCD17" s="319"/>
      <c r="CCE17" s="319"/>
      <c r="CCF17" s="319"/>
      <c r="CCG17" s="319"/>
      <c r="CCH17" s="319"/>
      <c r="CCI17" s="319"/>
      <c r="CCJ17" s="319"/>
      <c r="CCK17" s="319"/>
      <c r="CCL17" s="319"/>
      <c r="CCM17" s="319"/>
      <c r="CCN17" s="319"/>
      <c r="CCO17" s="319"/>
      <c r="CCP17" s="319"/>
      <c r="CCQ17" s="319"/>
      <c r="CCR17" s="319"/>
      <c r="CCS17" s="319"/>
      <c r="CCT17" s="319"/>
      <c r="CCU17" s="319"/>
      <c r="CCV17" s="319"/>
      <c r="CCW17" s="319"/>
      <c r="CCX17" s="319"/>
      <c r="CCY17" s="319"/>
      <c r="CCZ17" s="319"/>
      <c r="CDA17" s="319"/>
      <c r="CDB17" s="319"/>
      <c r="CDC17" s="319"/>
      <c r="CDD17" s="319"/>
      <c r="CDE17" s="319"/>
      <c r="CDF17" s="319"/>
      <c r="CDG17" s="319"/>
      <c r="CDH17" s="319"/>
      <c r="CDI17" s="319"/>
      <c r="CDJ17" s="319"/>
      <c r="CDK17" s="319"/>
      <c r="CDL17" s="319"/>
      <c r="CDM17" s="319"/>
      <c r="CDN17" s="319"/>
      <c r="CDO17" s="319"/>
      <c r="CDP17" s="319"/>
      <c r="CDQ17" s="319"/>
      <c r="CDR17" s="319"/>
      <c r="CDS17" s="319"/>
      <c r="CDT17" s="319"/>
      <c r="CDU17" s="319"/>
      <c r="CDV17" s="319"/>
      <c r="CDW17" s="319"/>
      <c r="CDX17" s="319"/>
      <c r="CDY17" s="319"/>
      <c r="CDZ17" s="319"/>
      <c r="CEA17" s="319"/>
      <c r="CEB17" s="319"/>
      <c r="CEC17" s="319"/>
      <c r="CED17" s="319"/>
      <c r="CEE17" s="319"/>
      <c r="CEF17" s="319"/>
      <c r="CEG17" s="319"/>
      <c r="CEH17" s="319"/>
      <c r="CEI17" s="319"/>
      <c r="CEJ17" s="319"/>
      <c r="CEK17" s="319"/>
      <c r="CEL17" s="319"/>
      <c r="CEM17" s="319"/>
      <c r="CEN17" s="319"/>
      <c r="CEO17" s="319"/>
      <c r="CEP17" s="319"/>
      <c r="CEQ17" s="319"/>
      <c r="CER17" s="319"/>
      <c r="CES17" s="319"/>
      <c r="CET17" s="319"/>
      <c r="CEU17" s="319"/>
      <c r="CEV17" s="319"/>
      <c r="CEW17" s="319"/>
      <c r="CEX17" s="319"/>
      <c r="CEY17" s="319"/>
      <c r="CEZ17" s="319"/>
      <c r="CFA17" s="319"/>
      <c r="CFB17" s="319"/>
      <c r="CFC17" s="319"/>
      <c r="CFD17" s="319"/>
      <c r="CFE17" s="319"/>
      <c r="CFF17" s="319"/>
      <c r="CFG17" s="319"/>
      <c r="CFH17" s="319"/>
      <c r="CFI17" s="319"/>
      <c r="CFJ17" s="319"/>
      <c r="CFK17" s="319"/>
      <c r="CFL17" s="319"/>
      <c r="CFM17" s="319"/>
      <c r="CFN17" s="319"/>
      <c r="CFO17" s="319"/>
      <c r="CFP17" s="319"/>
      <c r="CFQ17" s="319"/>
      <c r="CFR17" s="319"/>
      <c r="CFS17" s="319"/>
      <c r="CFT17" s="319"/>
      <c r="CFU17" s="319"/>
      <c r="CFV17" s="319"/>
      <c r="CFW17" s="319"/>
      <c r="CFX17" s="319"/>
      <c r="CFY17" s="319"/>
      <c r="CFZ17" s="319"/>
      <c r="CGA17" s="319"/>
      <c r="CGB17" s="319"/>
      <c r="CGC17" s="319"/>
      <c r="CGD17" s="319"/>
      <c r="CGE17" s="319"/>
      <c r="CGF17" s="319"/>
      <c r="CGG17" s="319"/>
      <c r="CGH17" s="319"/>
      <c r="CGI17" s="319"/>
      <c r="CGJ17" s="319"/>
      <c r="CGK17" s="319"/>
      <c r="CGL17" s="319"/>
      <c r="CGM17" s="319"/>
      <c r="CGN17" s="319"/>
      <c r="CGO17" s="319"/>
      <c r="CGP17" s="319"/>
      <c r="CGQ17" s="319"/>
      <c r="CGR17" s="319"/>
      <c r="CGS17" s="319"/>
      <c r="CGT17" s="319"/>
      <c r="CGU17" s="319"/>
      <c r="CGV17" s="319"/>
      <c r="CGW17" s="319"/>
      <c r="CGX17" s="319"/>
      <c r="CGY17" s="319"/>
      <c r="CGZ17" s="319"/>
      <c r="CHA17" s="319"/>
      <c r="CHB17" s="319"/>
      <c r="CHC17" s="319"/>
      <c r="CHD17" s="319"/>
      <c r="CHE17" s="319"/>
      <c r="CHF17" s="319"/>
      <c r="CHG17" s="319"/>
      <c r="CHH17" s="319"/>
      <c r="CHI17" s="319"/>
      <c r="CHJ17" s="319"/>
      <c r="CHK17" s="319"/>
      <c r="CHL17" s="319"/>
      <c r="CHM17" s="319"/>
      <c r="CHN17" s="319"/>
      <c r="CHO17" s="319"/>
      <c r="CHP17" s="319"/>
      <c r="CHQ17" s="319"/>
      <c r="CHR17" s="319"/>
      <c r="CHS17" s="319"/>
      <c r="CHT17" s="319"/>
      <c r="CHU17" s="319"/>
      <c r="CHV17" s="319"/>
      <c r="CHW17" s="319"/>
      <c r="CHX17" s="319"/>
      <c r="CHY17" s="319"/>
      <c r="CHZ17" s="319"/>
      <c r="CIA17" s="319"/>
      <c r="CIB17" s="319"/>
      <c r="CIC17" s="319"/>
      <c r="CID17" s="319"/>
      <c r="CIE17" s="319"/>
      <c r="CIF17" s="319"/>
      <c r="CIG17" s="319"/>
      <c r="CIH17" s="319"/>
      <c r="CII17" s="319"/>
      <c r="CIJ17" s="319"/>
      <c r="CIK17" s="319"/>
      <c r="CIL17" s="319"/>
      <c r="CIM17" s="319"/>
      <c r="CIN17" s="319"/>
      <c r="CIO17" s="319"/>
      <c r="CIP17" s="319"/>
      <c r="CIQ17" s="319"/>
      <c r="CIR17" s="319"/>
      <c r="CIS17" s="319"/>
      <c r="CIT17" s="319"/>
      <c r="CIU17" s="319"/>
      <c r="CIV17" s="319"/>
      <c r="CIW17" s="319"/>
      <c r="CIX17" s="319"/>
      <c r="CIY17" s="319"/>
      <c r="CIZ17" s="319"/>
      <c r="CJA17" s="319"/>
      <c r="CJB17" s="319"/>
      <c r="CJC17" s="319"/>
      <c r="CJD17" s="319"/>
      <c r="CJE17" s="319"/>
      <c r="CJF17" s="319"/>
      <c r="CJG17" s="319"/>
      <c r="CJH17" s="319"/>
      <c r="CJI17" s="319"/>
      <c r="CJJ17" s="319"/>
      <c r="CJK17" s="319"/>
      <c r="CJL17" s="319"/>
      <c r="CJM17" s="319"/>
      <c r="CJN17" s="319"/>
      <c r="CJO17" s="319"/>
      <c r="CJP17" s="319"/>
      <c r="CJQ17" s="319"/>
      <c r="CJR17" s="319"/>
      <c r="CJS17" s="319"/>
      <c r="CJT17" s="319"/>
      <c r="CJU17" s="319"/>
      <c r="CJV17" s="319"/>
      <c r="CJW17" s="319"/>
      <c r="CJX17" s="319"/>
      <c r="CJY17" s="319"/>
      <c r="CJZ17" s="319"/>
      <c r="CKA17" s="319"/>
      <c r="CKB17" s="319"/>
      <c r="CKC17" s="319"/>
      <c r="CKD17" s="319"/>
      <c r="CKE17" s="319"/>
      <c r="CKF17" s="319"/>
      <c r="CKG17" s="319"/>
      <c r="CKH17" s="319"/>
      <c r="CKI17" s="319"/>
      <c r="CKJ17" s="319"/>
      <c r="CKK17" s="319"/>
      <c r="CKL17" s="319"/>
      <c r="CKM17" s="319"/>
      <c r="CKN17" s="319"/>
      <c r="CKO17" s="319"/>
      <c r="CKP17" s="319"/>
      <c r="CKQ17" s="319"/>
      <c r="CKR17" s="319"/>
      <c r="CKS17" s="319"/>
      <c r="CKT17" s="319"/>
      <c r="CKU17" s="319"/>
      <c r="CKV17" s="319"/>
      <c r="CKW17" s="319"/>
      <c r="CKX17" s="319"/>
      <c r="CKY17" s="319"/>
      <c r="CKZ17" s="319"/>
      <c r="CLA17" s="319"/>
      <c r="CLB17" s="319"/>
      <c r="CLC17" s="319"/>
      <c r="CLD17" s="319"/>
      <c r="CLE17" s="319"/>
      <c r="CLF17" s="319"/>
      <c r="CLG17" s="319"/>
      <c r="CLH17" s="319"/>
      <c r="CLI17" s="319"/>
      <c r="CLJ17" s="319"/>
      <c r="CLK17" s="319"/>
      <c r="CLL17" s="319"/>
      <c r="CLM17" s="319"/>
      <c r="CLN17" s="319"/>
      <c r="CLO17" s="319"/>
      <c r="CLP17" s="319"/>
      <c r="CLQ17" s="319"/>
      <c r="CLR17" s="319"/>
      <c r="CLS17" s="319"/>
      <c r="CLT17" s="319"/>
      <c r="CLU17" s="319"/>
      <c r="CLV17" s="319"/>
      <c r="CLW17" s="319"/>
      <c r="CLX17" s="319"/>
      <c r="CLY17" s="319"/>
      <c r="CLZ17" s="319"/>
      <c r="CMA17" s="319"/>
      <c r="CMB17" s="319"/>
      <c r="CMC17" s="319"/>
      <c r="CMD17" s="319"/>
      <c r="CME17" s="319"/>
      <c r="CMF17" s="319"/>
      <c r="CMG17" s="319"/>
      <c r="CMH17" s="319"/>
      <c r="CMI17" s="319"/>
      <c r="CMJ17" s="319"/>
      <c r="CMK17" s="319"/>
      <c r="CML17" s="319"/>
      <c r="CMM17" s="319"/>
      <c r="CMN17" s="319"/>
      <c r="CMO17" s="319"/>
      <c r="CMP17" s="319"/>
      <c r="CMQ17" s="319"/>
      <c r="CMR17" s="319"/>
      <c r="CMS17" s="319"/>
      <c r="CMT17" s="319"/>
      <c r="CMU17" s="319"/>
      <c r="CMV17" s="319"/>
      <c r="CMW17" s="319"/>
      <c r="CMX17" s="319"/>
      <c r="CMY17" s="319"/>
      <c r="CMZ17" s="319"/>
      <c r="CNA17" s="319"/>
      <c r="CNB17" s="319"/>
      <c r="CNC17" s="319"/>
      <c r="CND17" s="319"/>
      <c r="CNE17" s="319"/>
      <c r="CNF17" s="319"/>
      <c r="CNG17" s="319"/>
      <c r="CNH17" s="319"/>
      <c r="CNI17" s="319"/>
      <c r="CNJ17" s="319"/>
      <c r="CNK17" s="319"/>
      <c r="CNL17" s="319"/>
      <c r="CNM17" s="319"/>
      <c r="CNN17" s="319"/>
      <c r="CNO17" s="319"/>
      <c r="CNP17" s="319"/>
      <c r="CNQ17" s="319"/>
      <c r="CNR17" s="319"/>
      <c r="CNS17" s="319"/>
      <c r="CNT17" s="319"/>
      <c r="CNU17" s="319"/>
      <c r="CNV17" s="319"/>
      <c r="CNW17" s="319"/>
      <c r="CNX17" s="319"/>
      <c r="CNY17" s="319"/>
      <c r="CNZ17" s="319"/>
      <c r="COA17" s="319"/>
      <c r="COB17" s="319"/>
      <c r="COC17" s="319"/>
      <c r="COD17" s="319"/>
      <c r="COE17" s="319"/>
      <c r="COF17" s="319"/>
      <c r="COG17" s="319"/>
      <c r="COH17" s="319"/>
      <c r="COI17" s="319"/>
      <c r="COJ17" s="319"/>
      <c r="COK17" s="319"/>
      <c r="COL17" s="319"/>
      <c r="COM17" s="319"/>
      <c r="CON17" s="319"/>
      <c r="COO17" s="319"/>
      <c r="COP17" s="319"/>
      <c r="COQ17" s="319"/>
      <c r="COR17" s="319"/>
      <c r="COS17" s="319"/>
      <c r="COT17" s="319"/>
      <c r="COU17" s="319"/>
      <c r="COV17" s="319"/>
      <c r="COW17" s="319"/>
      <c r="COX17" s="319"/>
      <c r="COY17" s="319"/>
      <c r="COZ17" s="319"/>
      <c r="CPA17" s="319"/>
      <c r="CPB17" s="319"/>
      <c r="CPC17" s="319"/>
      <c r="CPD17" s="319"/>
      <c r="CPE17" s="319"/>
      <c r="CPF17" s="319"/>
      <c r="CPG17" s="319"/>
      <c r="CPH17" s="319"/>
      <c r="CPI17" s="319"/>
      <c r="CPJ17" s="319"/>
      <c r="CPK17" s="319"/>
      <c r="CPL17" s="319"/>
      <c r="CPM17" s="319"/>
      <c r="CPN17" s="319"/>
      <c r="CPO17" s="319"/>
      <c r="CPP17" s="319"/>
      <c r="CPQ17" s="319"/>
      <c r="CPR17" s="319"/>
      <c r="CPS17" s="319"/>
      <c r="CPT17" s="319"/>
      <c r="CPU17" s="319"/>
      <c r="CPV17" s="319"/>
      <c r="CPW17" s="319"/>
      <c r="CPX17" s="319"/>
      <c r="CPY17" s="319"/>
      <c r="CPZ17" s="319"/>
      <c r="CQA17" s="319"/>
      <c r="CQB17" s="319"/>
      <c r="CQC17" s="319"/>
      <c r="CQD17" s="319"/>
      <c r="CQE17" s="319"/>
      <c r="CQF17" s="319"/>
      <c r="CQG17" s="319"/>
      <c r="CQH17" s="319"/>
      <c r="CQI17" s="319"/>
      <c r="CQJ17" s="319"/>
      <c r="CQK17" s="319"/>
      <c r="CQL17" s="319"/>
      <c r="CQM17" s="319"/>
      <c r="CQN17" s="319"/>
      <c r="CQO17" s="319"/>
      <c r="CQP17" s="319"/>
      <c r="CQQ17" s="319"/>
      <c r="CQR17" s="319"/>
      <c r="CQS17" s="319"/>
      <c r="CQT17" s="319"/>
      <c r="CQU17" s="319"/>
      <c r="CQV17" s="319"/>
      <c r="CQW17" s="319"/>
      <c r="CQX17" s="319"/>
      <c r="CQY17" s="319"/>
      <c r="CQZ17" s="319"/>
      <c r="CRA17" s="319"/>
      <c r="CRB17" s="319"/>
      <c r="CRC17" s="319"/>
      <c r="CRD17" s="319"/>
      <c r="CRE17" s="319"/>
      <c r="CRF17" s="319"/>
      <c r="CRG17" s="319"/>
      <c r="CRH17" s="319"/>
      <c r="CRI17" s="319"/>
      <c r="CRJ17" s="319"/>
      <c r="CRK17" s="319"/>
      <c r="CRL17" s="319"/>
      <c r="CRM17" s="319"/>
      <c r="CRN17" s="319"/>
      <c r="CRO17" s="319"/>
      <c r="CRP17" s="319"/>
      <c r="CRQ17" s="319"/>
      <c r="CRR17" s="319"/>
      <c r="CRS17" s="319"/>
      <c r="CRT17" s="319"/>
      <c r="CRU17" s="319"/>
      <c r="CRV17" s="319"/>
      <c r="CRW17" s="319"/>
      <c r="CRX17" s="319"/>
      <c r="CRY17" s="319"/>
      <c r="CRZ17" s="319"/>
      <c r="CSA17" s="319"/>
      <c r="CSB17" s="319"/>
      <c r="CSC17" s="319"/>
      <c r="CSD17" s="319"/>
      <c r="CSE17" s="319"/>
      <c r="CSF17" s="319"/>
      <c r="CSG17" s="319"/>
      <c r="CSH17" s="319"/>
      <c r="CSI17" s="319"/>
      <c r="CSJ17" s="319"/>
      <c r="CSK17" s="319"/>
      <c r="CSL17" s="319"/>
      <c r="CSM17" s="319"/>
      <c r="CSN17" s="319"/>
      <c r="CSO17" s="319"/>
      <c r="CSP17" s="319"/>
      <c r="CSQ17" s="319"/>
      <c r="CSR17" s="319"/>
      <c r="CSS17" s="319"/>
      <c r="CST17" s="319"/>
      <c r="CSU17" s="319"/>
      <c r="CSV17" s="319"/>
      <c r="CSW17" s="319"/>
      <c r="CSX17" s="319"/>
      <c r="CSY17" s="319"/>
      <c r="CSZ17" s="319"/>
      <c r="CTA17" s="319"/>
      <c r="CTB17" s="319"/>
      <c r="CTC17" s="319"/>
      <c r="CTD17" s="319"/>
      <c r="CTE17" s="319"/>
      <c r="CTF17" s="319"/>
      <c r="CTG17" s="319"/>
      <c r="CTH17" s="319"/>
      <c r="CTI17" s="319"/>
      <c r="CTJ17" s="319"/>
      <c r="CTK17" s="319"/>
      <c r="CTL17" s="319"/>
      <c r="CTM17" s="319"/>
      <c r="CTN17" s="319"/>
      <c r="CTO17" s="319"/>
      <c r="CTP17" s="319"/>
      <c r="CTQ17" s="319"/>
      <c r="CTR17" s="319"/>
      <c r="CTS17" s="319"/>
      <c r="CTT17" s="319"/>
      <c r="CTU17" s="319"/>
      <c r="CTV17" s="319"/>
      <c r="CTW17" s="319"/>
      <c r="CTX17" s="319"/>
      <c r="CTY17" s="319"/>
      <c r="CTZ17" s="319"/>
      <c r="CUA17" s="319"/>
      <c r="CUB17" s="319"/>
      <c r="CUC17" s="319"/>
      <c r="CUD17" s="319"/>
      <c r="CUE17" s="319"/>
      <c r="CUF17" s="319"/>
      <c r="CUG17" s="319"/>
      <c r="CUH17" s="319"/>
      <c r="CUI17" s="319"/>
      <c r="CUJ17" s="319"/>
      <c r="CUK17" s="319"/>
      <c r="CUL17" s="319"/>
      <c r="CUM17" s="319"/>
      <c r="CUN17" s="319"/>
      <c r="CUO17" s="319"/>
      <c r="CUP17" s="319"/>
      <c r="CUQ17" s="319"/>
      <c r="CUR17" s="319"/>
      <c r="CUS17" s="319"/>
      <c r="CUT17" s="319"/>
      <c r="CUU17" s="319"/>
      <c r="CUV17" s="319"/>
      <c r="CUW17" s="319"/>
      <c r="CUX17" s="319"/>
      <c r="CUY17" s="319"/>
      <c r="CUZ17" s="319"/>
      <c r="CVA17" s="319"/>
      <c r="CVB17" s="319"/>
      <c r="CVC17" s="319"/>
      <c r="CVD17" s="319"/>
      <c r="CVE17" s="319"/>
      <c r="CVF17" s="319"/>
      <c r="CVG17" s="319"/>
      <c r="CVH17" s="319"/>
      <c r="CVI17" s="319"/>
      <c r="CVJ17" s="319"/>
      <c r="CVK17" s="319"/>
      <c r="CVL17" s="319"/>
      <c r="CVM17" s="319"/>
      <c r="CVN17" s="319"/>
      <c r="CVO17" s="319"/>
      <c r="CVP17" s="319"/>
      <c r="CVQ17" s="319"/>
      <c r="CVR17" s="319"/>
      <c r="CVS17" s="319"/>
      <c r="CVT17" s="319"/>
      <c r="CVU17" s="319"/>
      <c r="CVV17" s="319"/>
      <c r="CVW17" s="319"/>
      <c r="CVX17" s="319"/>
      <c r="CVY17" s="319"/>
      <c r="CVZ17" s="319"/>
      <c r="CWA17" s="319"/>
      <c r="CWB17" s="319"/>
      <c r="CWC17" s="319"/>
      <c r="CWD17" s="319"/>
      <c r="CWE17" s="319"/>
      <c r="CWF17" s="319"/>
      <c r="CWG17" s="319"/>
      <c r="CWH17" s="319"/>
      <c r="CWI17" s="319"/>
      <c r="CWJ17" s="319"/>
      <c r="CWK17" s="319"/>
      <c r="CWL17" s="319"/>
      <c r="CWM17" s="319"/>
      <c r="CWN17" s="319"/>
      <c r="CWO17" s="319"/>
      <c r="CWP17" s="319"/>
      <c r="CWQ17" s="319"/>
      <c r="CWR17" s="319"/>
      <c r="CWS17" s="319"/>
      <c r="CWT17" s="319"/>
      <c r="CWU17" s="319"/>
      <c r="CWV17" s="319"/>
      <c r="CWW17" s="319"/>
      <c r="CWX17" s="319"/>
      <c r="CWY17" s="319"/>
      <c r="CWZ17" s="319"/>
      <c r="CXA17" s="319"/>
      <c r="CXB17" s="319"/>
      <c r="CXC17" s="319"/>
      <c r="CXD17" s="319"/>
      <c r="CXE17" s="319"/>
      <c r="CXF17" s="319"/>
      <c r="CXG17" s="319"/>
      <c r="CXH17" s="319"/>
      <c r="CXI17" s="319"/>
      <c r="CXJ17" s="319"/>
      <c r="CXK17" s="319"/>
      <c r="CXL17" s="319"/>
      <c r="CXM17" s="319"/>
      <c r="CXN17" s="319"/>
      <c r="CXO17" s="319"/>
      <c r="CXP17" s="319"/>
      <c r="CXQ17" s="319"/>
      <c r="CXR17" s="319"/>
      <c r="CXS17" s="319"/>
      <c r="CXT17" s="319"/>
      <c r="CXU17" s="319"/>
      <c r="CXV17" s="319"/>
      <c r="CXW17" s="319"/>
      <c r="CXX17" s="319"/>
      <c r="CXY17" s="319"/>
      <c r="CXZ17" s="319"/>
      <c r="CYA17" s="319"/>
      <c r="CYB17" s="319"/>
      <c r="CYC17" s="319"/>
      <c r="CYD17" s="319"/>
      <c r="CYE17" s="319"/>
      <c r="CYF17" s="319"/>
      <c r="CYG17" s="319"/>
      <c r="CYH17" s="319"/>
      <c r="CYI17" s="319"/>
      <c r="CYJ17" s="319"/>
      <c r="CYK17" s="319"/>
      <c r="CYL17" s="319"/>
      <c r="CYM17" s="319"/>
      <c r="CYN17" s="319"/>
      <c r="CYO17" s="319"/>
      <c r="CYP17" s="319"/>
      <c r="CYQ17" s="319"/>
      <c r="CYR17" s="319"/>
      <c r="CYS17" s="319"/>
      <c r="CYT17" s="319"/>
      <c r="CYU17" s="319"/>
      <c r="CYV17" s="319"/>
      <c r="CYW17" s="319"/>
      <c r="CYX17" s="319"/>
      <c r="CYY17" s="319"/>
      <c r="CYZ17" s="319"/>
      <c r="CZA17" s="319"/>
      <c r="CZB17" s="319"/>
      <c r="CZC17" s="319"/>
      <c r="CZD17" s="319"/>
      <c r="CZE17" s="319"/>
      <c r="CZF17" s="319"/>
      <c r="CZG17" s="319"/>
      <c r="CZH17" s="319"/>
      <c r="CZI17" s="319"/>
      <c r="CZJ17" s="319"/>
      <c r="CZK17" s="319"/>
      <c r="CZL17" s="319"/>
      <c r="CZM17" s="319"/>
      <c r="CZN17" s="319"/>
      <c r="CZO17" s="319"/>
      <c r="CZP17" s="319"/>
      <c r="CZQ17" s="319"/>
      <c r="CZR17" s="319"/>
      <c r="CZS17" s="319"/>
      <c r="CZT17" s="319"/>
      <c r="CZU17" s="319"/>
      <c r="CZV17" s="319"/>
      <c r="CZW17" s="319"/>
      <c r="CZX17" s="319"/>
      <c r="CZY17" s="319"/>
      <c r="CZZ17" s="319"/>
      <c r="DAA17" s="319"/>
      <c r="DAB17" s="319"/>
      <c r="DAC17" s="319"/>
      <c r="DAD17" s="319"/>
      <c r="DAE17" s="319"/>
      <c r="DAF17" s="319"/>
      <c r="DAG17" s="319"/>
      <c r="DAH17" s="319"/>
      <c r="DAI17" s="319"/>
      <c r="DAJ17" s="319"/>
      <c r="DAK17" s="319"/>
      <c r="DAL17" s="319"/>
      <c r="DAM17" s="319"/>
      <c r="DAN17" s="319"/>
      <c r="DAO17" s="319"/>
      <c r="DAP17" s="319"/>
      <c r="DAQ17" s="319"/>
      <c r="DAR17" s="319"/>
      <c r="DAS17" s="319"/>
      <c r="DAT17" s="319"/>
      <c r="DAU17" s="319"/>
      <c r="DAV17" s="319"/>
      <c r="DAW17" s="319"/>
      <c r="DAX17" s="319"/>
      <c r="DAY17" s="319"/>
      <c r="DAZ17" s="319"/>
      <c r="DBA17" s="319"/>
      <c r="DBB17" s="319"/>
      <c r="DBC17" s="319"/>
      <c r="DBD17" s="319"/>
      <c r="DBE17" s="319"/>
      <c r="DBF17" s="319"/>
      <c r="DBG17" s="319"/>
      <c r="DBH17" s="319"/>
      <c r="DBI17" s="319"/>
      <c r="DBJ17" s="319"/>
      <c r="DBK17" s="319"/>
      <c r="DBL17" s="319"/>
      <c r="DBM17" s="319"/>
      <c r="DBN17" s="319"/>
      <c r="DBO17" s="319"/>
      <c r="DBP17" s="319"/>
      <c r="DBQ17" s="319"/>
      <c r="DBR17" s="319"/>
      <c r="DBS17" s="319"/>
      <c r="DBT17" s="319"/>
      <c r="DBU17" s="319"/>
      <c r="DBV17" s="319"/>
      <c r="DBW17" s="319"/>
      <c r="DBX17" s="319"/>
      <c r="DBY17" s="319"/>
      <c r="DBZ17" s="319"/>
      <c r="DCA17" s="319"/>
      <c r="DCB17" s="319"/>
      <c r="DCC17" s="319"/>
      <c r="DCD17" s="319"/>
      <c r="DCE17" s="319"/>
      <c r="DCF17" s="319"/>
      <c r="DCG17" s="319"/>
      <c r="DCH17" s="319"/>
      <c r="DCI17" s="319"/>
      <c r="DCJ17" s="319"/>
      <c r="DCK17" s="319"/>
      <c r="DCL17" s="319"/>
      <c r="DCM17" s="319"/>
      <c r="DCN17" s="319"/>
      <c r="DCO17" s="319"/>
      <c r="DCP17" s="319"/>
      <c r="DCQ17" s="319"/>
      <c r="DCR17" s="319"/>
      <c r="DCS17" s="319"/>
      <c r="DCT17" s="319"/>
      <c r="DCU17" s="319"/>
      <c r="DCV17" s="319"/>
      <c r="DCW17" s="319"/>
      <c r="DCX17" s="319"/>
      <c r="DCY17" s="319"/>
      <c r="DCZ17" s="319"/>
      <c r="DDA17" s="319"/>
      <c r="DDB17" s="319"/>
      <c r="DDC17" s="319"/>
      <c r="DDD17" s="319"/>
      <c r="DDE17" s="319"/>
      <c r="DDF17" s="319"/>
      <c r="DDG17" s="319"/>
      <c r="DDH17" s="319"/>
      <c r="DDI17" s="319"/>
      <c r="DDJ17" s="319"/>
      <c r="DDK17" s="319"/>
      <c r="DDL17" s="319"/>
      <c r="DDM17" s="319"/>
      <c r="DDN17" s="319"/>
      <c r="DDO17" s="319"/>
      <c r="DDP17" s="319"/>
      <c r="DDQ17" s="319"/>
      <c r="DDR17" s="319"/>
      <c r="DDS17" s="319"/>
      <c r="DDT17" s="319"/>
      <c r="DDU17" s="319"/>
      <c r="DDV17" s="319"/>
      <c r="DDW17" s="319"/>
      <c r="DDX17" s="319"/>
      <c r="DDY17" s="319"/>
      <c r="DDZ17" s="319"/>
      <c r="DEA17" s="319"/>
      <c r="DEB17" s="319"/>
      <c r="DEC17" s="319"/>
      <c r="DED17" s="319"/>
      <c r="DEE17" s="319"/>
      <c r="DEF17" s="319"/>
      <c r="DEG17" s="319"/>
      <c r="DEH17" s="319"/>
      <c r="DEI17" s="319"/>
      <c r="DEJ17" s="319"/>
      <c r="DEK17" s="319"/>
      <c r="DEL17" s="319"/>
      <c r="DEM17" s="319"/>
      <c r="DEN17" s="319"/>
      <c r="DEO17" s="319"/>
      <c r="DEP17" s="319"/>
      <c r="DEQ17" s="319"/>
      <c r="DER17" s="319"/>
      <c r="DES17" s="319"/>
      <c r="DET17" s="319"/>
      <c r="DEU17" s="319"/>
      <c r="DEV17" s="319"/>
      <c r="DEW17" s="319"/>
      <c r="DEX17" s="319"/>
      <c r="DEY17" s="319"/>
      <c r="DEZ17" s="319"/>
      <c r="DFA17" s="319"/>
      <c r="DFB17" s="319"/>
      <c r="DFC17" s="319"/>
      <c r="DFD17" s="319"/>
      <c r="DFE17" s="319"/>
      <c r="DFF17" s="319"/>
      <c r="DFG17" s="319"/>
      <c r="DFH17" s="319"/>
      <c r="DFI17" s="319"/>
      <c r="DFJ17" s="319"/>
      <c r="DFK17" s="319"/>
      <c r="DFL17" s="319"/>
      <c r="DFM17" s="319"/>
      <c r="DFN17" s="319"/>
      <c r="DFO17" s="319"/>
      <c r="DFP17" s="319"/>
      <c r="DFQ17" s="319"/>
      <c r="DFR17" s="319"/>
      <c r="DFS17" s="319"/>
      <c r="DFT17" s="319"/>
      <c r="DFU17" s="319"/>
      <c r="DFV17" s="319"/>
      <c r="DFW17" s="319"/>
      <c r="DFX17" s="319"/>
      <c r="DFY17" s="319"/>
      <c r="DFZ17" s="319"/>
      <c r="DGA17" s="319"/>
      <c r="DGB17" s="319"/>
      <c r="DGC17" s="319"/>
      <c r="DGD17" s="319"/>
      <c r="DGE17" s="319"/>
      <c r="DGF17" s="319"/>
      <c r="DGG17" s="319"/>
      <c r="DGH17" s="319"/>
      <c r="DGI17" s="319"/>
      <c r="DGJ17" s="319"/>
      <c r="DGK17" s="319"/>
      <c r="DGL17" s="319"/>
      <c r="DGM17" s="319"/>
      <c r="DGN17" s="319"/>
      <c r="DGO17" s="319"/>
      <c r="DGP17" s="319"/>
      <c r="DGQ17" s="319"/>
      <c r="DGR17" s="319"/>
      <c r="DGS17" s="319"/>
      <c r="DGT17" s="319"/>
      <c r="DGU17" s="319"/>
      <c r="DGV17" s="319"/>
      <c r="DGW17" s="319"/>
      <c r="DGX17" s="319"/>
      <c r="DGY17" s="319"/>
      <c r="DGZ17" s="319"/>
      <c r="DHA17" s="319"/>
      <c r="DHB17" s="319"/>
      <c r="DHC17" s="319"/>
      <c r="DHD17" s="319"/>
      <c r="DHE17" s="319"/>
      <c r="DHF17" s="319"/>
      <c r="DHG17" s="319"/>
      <c r="DHH17" s="319"/>
      <c r="DHI17" s="319"/>
      <c r="DHJ17" s="319"/>
      <c r="DHK17" s="319"/>
      <c r="DHL17" s="319"/>
      <c r="DHM17" s="319"/>
      <c r="DHN17" s="319"/>
      <c r="DHO17" s="319"/>
      <c r="DHP17" s="319"/>
      <c r="DHQ17" s="319"/>
      <c r="DHR17" s="319"/>
      <c r="DHS17" s="319"/>
      <c r="DHT17" s="319"/>
      <c r="DHU17" s="319"/>
      <c r="DHV17" s="319"/>
      <c r="DHW17" s="319"/>
      <c r="DHX17" s="319"/>
      <c r="DHY17" s="319"/>
      <c r="DHZ17" s="319"/>
      <c r="DIA17" s="319"/>
      <c r="DIB17" s="319"/>
      <c r="DIC17" s="319"/>
      <c r="DID17" s="319"/>
      <c r="DIE17" s="319"/>
      <c r="DIF17" s="319"/>
      <c r="DIG17" s="319"/>
      <c r="DIH17" s="319"/>
      <c r="DII17" s="319"/>
      <c r="DIJ17" s="319"/>
      <c r="DIK17" s="319"/>
      <c r="DIL17" s="319"/>
      <c r="DIM17" s="319"/>
      <c r="DIN17" s="319"/>
      <c r="DIO17" s="319"/>
      <c r="DIP17" s="319"/>
      <c r="DIQ17" s="319"/>
      <c r="DIR17" s="319"/>
      <c r="DIS17" s="319"/>
      <c r="DIT17" s="319"/>
      <c r="DIU17" s="319"/>
      <c r="DIV17" s="319"/>
      <c r="DIW17" s="319"/>
      <c r="DIX17" s="319"/>
      <c r="DIY17" s="319"/>
      <c r="DIZ17" s="319"/>
      <c r="DJA17" s="319"/>
      <c r="DJB17" s="319"/>
      <c r="DJC17" s="319"/>
      <c r="DJD17" s="319"/>
      <c r="DJE17" s="319"/>
      <c r="DJF17" s="319"/>
      <c r="DJG17" s="319"/>
      <c r="DJH17" s="319"/>
      <c r="DJI17" s="319"/>
      <c r="DJJ17" s="319"/>
      <c r="DJK17" s="319"/>
      <c r="DJL17" s="319"/>
      <c r="DJM17" s="319"/>
      <c r="DJN17" s="319"/>
      <c r="DJO17" s="319"/>
      <c r="DJP17" s="319"/>
      <c r="DJQ17" s="319"/>
      <c r="DJR17" s="319"/>
      <c r="DJS17" s="319"/>
      <c r="DJT17" s="319"/>
      <c r="DJU17" s="319"/>
      <c r="DJV17" s="319"/>
      <c r="DJW17" s="319"/>
      <c r="DJX17" s="319"/>
      <c r="DJY17" s="319"/>
      <c r="DJZ17" s="319"/>
      <c r="DKA17" s="319"/>
      <c r="DKB17" s="319"/>
      <c r="DKC17" s="319"/>
      <c r="DKD17" s="319"/>
      <c r="DKE17" s="319"/>
      <c r="DKF17" s="319"/>
      <c r="DKG17" s="319"/>
      <c r="DKH17" s="319"/>
      <c r="DKI17" s="319"/>
      <c r="DKJ17" s="319"/>
      <c r="DKK17" s="319"/>
      <c r="DKL17" s="319"/>
      <c r="DKM17" s="319"/>
      <c r="DKN17" s="319"/>
      <c r="DKO17" s="319"/>
      <c r="DKP17" s="319"/>
      <c r="DKQ17" s="319"/>
      <c r="DKR17" s="319"/>
      <c r="DKS17" s="319"/>
      <c r="DKT17" s="319"/>
      <c r="DKU17" s="319"/>
      <c r="DKV17" s="319"/>
      <c r="DKW17" s="319"/>
      <c r="DKX17" s="319"/>
      <c r="DKY17" s="319"/>
      <c r="DKZ17" s="319"/>
      <c r="DLA17" s="319"/>
      <c r="DLB17" s="319"/>
      <c r="DLC17" s="319"/>
      <c r="DLD17" s="319"/>
      <c r="DLE17" s="319"/>
      <c r="DLF17" s="319"/>
      <c r="DLG17" s="319"/>
      <c r="DLH17" s="319"/>
      <c r="DLI17" s="319"/>
      <c r="DLJ17" s="319"/>
      <c r="DLK17" s="319"/>
      <c r="DLL17" s="319"/>
      <c r="DLM17" s="319"/>
      <c r="DLN17" s="319"/>
      <c r="DLO17" s="319"/>
      <c r="DLP17" s="319"/>
      <c r="DLQ17" s="319"/>
      <c r="DLR17" s="319"/>
      <c r="DLS17" s="319"/>
      <c r="DLT17" s="319"/>
      <c r="DLU17" s="319"/>
      <c r="DLV17" s="319"/>
      <c r="DLW17" s="319"/>
      <c r="DLX17" s="319"/>
      <c r="DLY17" s="319"/>
      <c r="DLZ17" s="319"/>
      <c r="DMA17" s="319"/>
      <c r="DMB17" s="319"/>
      <c r="DMC17" s="319"/>
      <c r="DMD17" s="319"/>
      <c r="DME17" s="319"/>
      <c r="DMF17" s="319"/>
      <c r="DMG17" s="319"/>
      <c r="DMH17" s="319"/>
      <c r="DMI17" s="319"/>
      <c r="DMJ17" s="319"/>
      <c r="DMK17" s="319"/>
      <c r="DML17" s="319"/>
      <c r="DMM17" s="319"/>
      <c r="DMN17" s="319"/>
      <c r="DMO17" s="319"/>
      <c r="DMP17" s="319"/>
      <c r="DMQ17" s="319"/>
      <c r="DMR17" s="319"/>
      <c r="DMS17" s="319"/>
      <c r="DMT17" s="319"/>
      <c r="DMU17" s="319"/>
      <c r="DMV17" s="319"/>
      <c r="DMW17" s="319"/>
      <c r="DMX17" s="319"/>
      <c r="DMY17" s="319"/>
      <c r="DMZ17" s="319"/>
      <c r="DNA17" s="319"/>
      <c r="DNB17" s="319"/>
      <c r="DNC17" s="319"/>
      <c r="DND17" s="319"/>
      <c r="DNE17" s="319"/>
      <c r="DNF17" s="319"/>
      <c r="DNG17" s="319"/>
      <c r="DNH17" s="319"/>
      <c r="DNI17" s="319"/>
      <c r="DNJ17" s="319"/>
      <c r="DNK17" s="319"/>
      <c r="DNL17" s="319"/>
      <c r="DNM17" s="319"/>
      <c r="DNN17" s="319"/>
      <c r="DNO17" s="319"/>
      <c r="DNP17" s="319"/>
      <c r="DNQ17" s="319"/>
      <c r="DNR17" s="319"/>
      <c r="DNS17" s="319"/>
      <c r="DNT17" s="319"/>
      <c r="DNU17" s="319"/>
      <c r="DNV17" s="319"/>
      <c r="DNW17" s="319"/>
      <c r="DNX17" s="319"/>
      <c r="DNY17" s="319"/>
      <c r="DNZ17" s="319"/>
      <c r="DOA17" s="319"/>
      <c r="DOB17" s="319"/>
      <c r="DOC17" s="319"/>
      <c r="DOD17" s="319"/>
      <c r="DOE17" s="319"/>
      <c r="DOF17" s="319"/>
      <c r="DOG17" s="319"/>
      <c r="DOH17" s="319"/>
      <c r="DOI17" s="319"/>
      <c r="DOJ17" s="319"/>
      <c r="DOK17" s="319"/>
      <c r="DOL17" s="319"/>
      <c r="DOM17" s="319"/>
      <c r="DON17" s="319"/>
      <c r="DOO17" s="319"/>
      <c r="DOP17" s="319"/>
      <c r="DOQ17" s="319"/>
      <c r="DOR17" s="319"/>
      <c r="DOS17" s="319"/>
      <c r="DOT17" s="319"/>
      <c r="DOU17" s="319"/>
      <c r="DOV17" s="319"/>
      <c r="DOW17" s="319"/>
      <c r="DOX17" s="319"/>
      <c r="DOY17" s="319"/>
      <c r="DOZ17" s="319"/>
      <c r="DPA17" s="319"/>
      <c r="DPB17" s="319"/>
      <c r="DPC17" s="319"/>
      <c r="DPD17" s="319"/>
      <c r="DPE17" s="319"/>
      <c r="DPF17" s="319"/>
      <c r="DPG17" s="319"/>
      <c r="DPH17" s="319"/>
      <c r="DPI17" s="319"/>
      <c r="DPJ17" s="319"/>
      <c r="DPK17" s="319"/>
      <c r="DPL17" s="319"/>
      <c r="DPM17" s="319"/>
      <c r="DPN17" s="319"/>
      <c r="DPO17" s="319"/>
      <c r="DPP17" s="319"/>
      <c r="DPQ17" s="319"/>
      <c r="DPR17" s="319"/>
      <c r="DPS17" s="319"/>
      <c r="DPT17" s="319"/>
      <c r="DPU17" s="319"/>
      <c r="DPV17" s="319"/>
      <c r="DPW17" s="319"/>
      <c r="DPX17" s="319"/>
      <c r="DPY17" s="319"/>
      <c r="DPZ17" s="319"/>
      <c r="DQA17" s="319"/>
      <c r="DQB17" s="319"/>
      <c r="DQC17" s="319"/>
      <c r="DQD17" s="319"/>
      <c r="DQE17" s="319"/>
      <c r="DQF17" s="319"/>
      <c r="DQG17" s="319"/>
      <c r="DQH17" s="319"/>
      <c r="DQI17" s="319"/>
      <c r="DQJ17" s="319"/>
      <c r="DQK17" s="319"/>
      <c r="DQL17" s="319"/>
      <c r="DQM17" s="319"/>
      <c r="DQN17" s="319"/>
      <c r="DQO17" s="319"/>
      <c r="DQP17" s="319"/>
      <c r="DQQ17" s="319"/>
      <c r="DQR17" s="319"/>
      <c r="DQS17" s="319"/>
      <c r="DQT17" s="319"/>
      <c r="DQU17" s="319"/>
      <c r="DQV17" s="319"/>
      <c r="DQW17" s="319"/>
      <c r="DQX17" s="319"/>
      <c r="DQY17" s="319"/>
      <c r="DQZ17" s="319"/>
      <c r="DRA17" s="319"/>
      <c r="DRB17" s="319"/>
      <c r="DRC17" s="319"/>
      <c r="DRD17" s="319"/>
      <c r="DRE17" s="319"/>
      <c r="DRF17" s="319"/>
      <c r="DRG17" s="319"/>
      <c r="DRH17" s="319"/>
      <c r="DRI17" s="319"/>
      <c r="DRJ17" s="319"/>
      <c r="DRK17" s="319"/>
      <c r="DRL17" s="319"/>
      <c r="DRM17" s="319"/>
      <c r="DRN17" s="319"/>
      <c r="DRO17" s="319"/>
      <c r="DRP17" s="319"/>
      <c r="DRQ17" s="319"/>
      <c r="DRR17" s="319"/>
      <c r="DRS17" s="319"/>
      <c r="DRT17" s="319"/>
      <c r="DRU17" s="319"/>
      <c r="DRV17" s="319"/>
      <c r="DRW17" s="319"/>
      <c r="DRX17" s="319"/>
      <c r="DRY17" s="319"/>
      <c r="DRZ17" s="319"/>
      <c r="DSA17" s="319"/>
      <c r="DSB17" s="319"/>
      <c r="DSC17" s="319"/>
      <c r="DSD17" s="319"/>
      <c r="DSE17" s="319"/>
      <c r="DSF17" s="319"/>
      <c r="DSG17" s="319"/>
      <c r="DSH17" s="319"/>
      <c r="DSI17" s="319"/>
      <c r="DSJ17" s="319"/>
      <c r="DSK17" s="319"/>
      <c r="DSL17" s="319"/>
      <c r="DSM17" s="319"/>
      <c r="DSN17" s="319"/>
      <c r="DSO17" s="319"/>
      <c r="DSP17" s="319"/>
      <c r="DSQ17" s="319"/>
      <c r="DSR17" s="319"/>
      <c r="DSS17" s="319"/>
      <c r="DST17" s="319"/>
      <c r="DSU17" s="319"/>
      <c r="DSV17" s="319"/>
      <c r="DSW17" s="319"/>
      <c r="DSX17" s="319"/>
      <c r="DSY17" s="319"/>
      <c r="DSZ17" s="319"/>
      <c r="DTA17" s="319"/>
      <c r="DTB17" s="319"/>
      <c r="DTC17" s="319"/>
      <c r="DTD17" s="319"/>
      <c r="DTE17" s="319"/>
      <c r="DTF17" s="319"/>
      <c r="DTG17" s="319"/>
      <c r="DTH17" s="319"/>
      <c r="DTI17" s="319"/>
      <c r="DTJ17" s="319"/>
      <c r="DTK17" s="319"/>
      <c r="DTL17" s="319"/>
      <c r="DTM17" s="319"/>
      <c r="DTN17" s="319"/>
      <c r="DTO17" s="319"/>
      <c r="DTP17" s="319"/>
      <c r="DTQ17" s="319"/>
      <c r="DTR17" s="319"/>
      <c r="DTS17" s="319"/>
      <c r="DTT17" s="319"/>
      <c r="DTU17" s="319"/>
      <c r="DTV17" s="319"/>
      <c r="DTW17" s="319"/>
      <c r="DTX17" s="319"/>
      <c r="DTY17" s="319"/>
      <c r="DTZ17" s="319"/>
      <c r="DUA17" s="319"/>
      <c r="DUB17" s="319"/>
      <c r="DUC17" s="319"/>
      <c r="DUD17" s="319"/>
      <c r="DUE17" s="319"/>
      <c r="DUF17" s="319"/>
      <c r="DUG17" s="319"/>
      <c r="DUH17" s="319"/>
      <c r="DUI17" s="319"/>
      <c r="DUJ17" s="319"/>
      <c r="DUK17" s="319"/>
      <c r="DUL17" s="319"/>
      <c r="DUM17" s="319"/>
      <c r="DUN17" s="319"/>
      <c r="DUO17" s="319"/>
      <c r="DUP17" s="319"/>
      <c r="DUQ17" s="319"/>
      <c r="DUR17" s="319"/>
      <c r="DUS17" s="319"/>
      <c r="DUT17" s="319"/>
      <c r="DUU17" s="319"/>
      <c r="DUV17" s="319"/>
      <c r="DUW17" s="319"/>
      <c r="DUX17" s="319"/>
      <c r="DUY17" s="319"/>
      <c r="DUZ17" s="319"/>
      <c r="DVA17" s="319"/>
      <c r="DVB17" s="319"/>
      <c r="DVC17" s="319"/>
      <c r="DVD17" s="319"/>
      <c r="DVE17" s="319"/>
      <c r="DVF17" s="319"/>
      <c r="DVG17" s="319"/>
      <c r="DVH17" s="319"/>
      <c r="DVI17" s="319"/>
      <c r="DVJ17" s="319"/>
      <c r="DVK17" s="319"/>
      <c r="DVL17" s="319"/>
      <c r="DVM17" s="319"/>
      <c r="DVN17" s="319"/>
      <c r="DVO17" s="319"/>
      <c r="DVP17" s="319"/>
      <c r="DVQ17" s="319"/>
      <c r="DVR17" s="319"/>
      <c r="DVS17" s="319"/>
      <c r="DVT17" s="319"/>
      <c r="DVU17" s="319"/>
      <c r="DVV17" s="319"/>
      <c r="DVW17" s="319"/>
      <c r="DVX17" s="319"/>
      <c r="DVY17" s="319"/>
      <c r="DVZ17" s="319"/>
      <c r="DWA17" s="319"/>
      <c r="DWB17" s="319"/>
      <c r="DWC17" s="319"/>
      <c r="DWD17" s="319"/>
      <c r="DWE17" s="319"/>
      <c r="DWF17" s="319"/>
      <c r="DWG17" s="319"/>
      <c r="DWH17" s="319"/>
      <c r="DWI17" s="319"/>
      <c r="DWJ17" s="319"/>
      <c r="DWK17" s="319"/>
      <c r="DWL17" s="319"/>
      <c r="DWM17" s="319"/>
      <c r="DWN17" s="319"/>
      <c r="DWO17" s="319"/>
      <c r="DWP17" s="319"/>
      <c r="DWQ17" s="319"/>
      <c r="DWR17" s="319"/>
      <c r="DWS17" s="319"/>
      <c r="DWT17" s="319"/>
      <c r="DWU17" s="319"/>
      <c r="DWV17" s="319"/>
      <c r="DWW17" s="319"/>
      <c r="DWX17" s="319"/>
      <c r="DWY17" s="319"/>
      <c r="DWZ17" s="319"/>
      <c r="DXA17" s="319"/>
      <c r="DXB17" s="319"/>
      <c r="DXC17" s="319"/>
      <c r="DXD17" s="319"/>
      <c r="DXE17" s="319"/>
      <c r="DXF17" s="319"/>
      <c r="DXG17" s="319"/>
      <c r="DXH17" s="319"/>
      <c r="DXI17" s="319"/>
      <c r="DXJ17" s="319"/>
      <c r="DXK17" s="319"/>
      <c r="DXL17" s="319"/>
      <c r="DXM17" s="319"/>
      <c r="DXN17" s="319"/>
      <c r="DXO17" s="319"/>
      <c r="DXP17" s="319"/>
      <c r="DXQ17" s="319"/>
      <c r="DXR17" s="319"/>
      <c r="DXS17" s="319"/>
      <c r="DXT17" s="319"/>
      <c r="DXU17" s="319"/>
      <c r="DXV17" s="319"/>
      <c r="DXW17" s="319"/>
      <c r="DXX17" s="319"/>
      <c r="DXY17" s="319"/>
      <c r="DXZ17" s="319"/>
      <c r="DYA17" s="319"/>
      <c r="DYB17" s="319"/>
      <c r="DYC17" s="319"/>
      <c r="DYD17" s="319"/>
      <c r="DYE17" s="319"/>
      <c r="DYF17" s="319"/>
      <c r="DYG17" s="319"/>
      <c r="DYH17" s="319"/>
      <c r="DYI17" s="319"/>
      <c r="DYJ17" s="319"/>
      <c r="DYK17" s="319"/>
      <c r="DYL17" s="319"/>
      <c r="DYM17" s="319"/>
      <c r="DYN17" s="319"/>
      <c r="DYO17" s="319"/>
      <c r="DYP17" s="319"/>
      <c r="DYQ17" s="319"/>
      <c r="DYR17" s="319"/>
      <c r="DYS17" s="319"/>
      <c r="DYT17" s="319"/>
      <c r="DYU17" s="319"/>
      <c r="DYV17" s="319"/>
      <c r="DYW17" s="319"/>
      <c r="DYX17" s="319"/>
      <c r="DYY17" s="319"/>
      <c r="DYZ17" s="319"/>
      <c r="DZA17" s="319"/>
      <c r="DZB17" s="319"/>
      <c r="DZC17" s="319"/>
      <c r="DZD17" s="319"/>
      <c r="DZE17" s="319"/>
      <c r="DZF17" s="319"/>
      <c r="DZG17" s="319"/>
      <c r="DZH17" s="319"/>
      <c r="DZI17" s="319"/>
      <c r="DZJ17" s="319"/>
      <c r="DZK17" s="319"/>
      <c r="DZL17" s="319"/>
      <c r="DZM17" s="319"/>
      <c r="DZN17" s="319"/>
      <c r="DZO17" s="319"/>
      <c r="DZP17" s="319"/>
      <c r="DZQ17" s="319"/>
      <c r="DZR17" s="319"/>
      <c r="DZS17" s="319"/>
      <c r="DZT17" s="319"/>
      <c r="DZU17" s="319"/>
      <c r="DZV17" s="319"/>
      <c r="DZW17" s="319"/>
      <c r="DZX17" s="319"/>
      <c r="DZY17" s="319"/>
      <c r="DZZ17" s="319"/>
      <c r="EAA17" s="319"/>
      <c r="EAB17" s="319"/>
      <c r="EAC17" s="319"/>
      <c r="EAD17" s="319"/>
      <c r="EAE17" s="319"/>
      <c r="EAF17" s="319"/>
      <c r="EAG17" s="319"/>
      <c r="EAH17" s="319"/>
      <c r="EAI17" s="319"/>
      <c r="EAJ17" s="319"/>
      <c r="EAK17" s="319"/>
      <c r="EAL17" s="319"/>
      <c r="EAM17" s="319"/>
      <c r="EAN17" s="319"/>
      <c r="EAO17" s="319"/>
      <c r="EAP17" s="319"/>
      <c r="EAQ17" s="319"/>
      <c r="EAR17" s="319"/>
      <c r="EAS17" s="319"/>
      <c r="EAT17" s="319"/>
      <c r="EAU17" s="319"/>
      <c r="EAV17" s="319"/>
      <c r="EAW17" s="319"/>
      <c r="EAX17" s="319"/>
      <c r="EAY17" s="319"/>
      <c r="EAZ17" s="319"/>
      <c r="EBA17" s="319"/>
      <c r="EBB17" s="319"/>
      <c r="EBC17" s="319"/>
      <c r="EBD17" s="319"/>
      <c r="EBE17" s="319"/>
      <c r="EBF17" s="319"/>
      <c r="EBG17" s="319"/>
      <c r="EBH17" s="319"/>
      <c r="EBI17" s="319"/>
      <c r="EBJ17" s="319"/>
      <c r="EBK17" s="319"/>
      <c r="EBL17" s="319"/>
      <c r="EBM17" s="319"/>
      <c r="EBN17" s="319"/>
      <c r="EBO17" s="319"/>
      <c r="EBP17" s="319"/>
      <c r="EBQ17" s="319"/>
      <c r="EBR17" s="319"/>
      <c r="EBS17" s="319"/>
      <c r="EBT17" s="319"/>
      <c r="EBU17" s="319"/>
      <c r="EBV17" s="319"/>
      <c r="EBW17" s="319"/>
      <c r="EBX17" s="319"/>
      <c r="EBY17" s="319"/>
      <c r="EBZ17" s="319"/>
      <c r="ECA17" s="319"/>
      <c r="ECB17" s="319"/>
      <c r="ECC17" s="319"/>
      <c r="ECD17" s="319"/>
      <c r="ECE17" s="319"/>
      <c r="ECF17" s="319"/>
      <c r="ECG17" s="319"/>
      <c r="ECH17" s="319"/>
      <c r="ECI17" s="319"/>
      <c r="ECJ17" s="319"/>
      <c r="ECK17" s="319"/>
      <c r="ECL17" s="319"/>
      <c r="ECM17" s="319"/>
      <c r="ECN17" s="319"/>
      <c r="ECO17" s="319"/>
      <c r="ECP17" s="319"/>
      <c r="ECQ17" s="319"/>
      <c r="ECR17" s="319"/>
      <c r="ECS17" s="319"/>
      <c r="ECT17" s="319"/>
      <c r="ECU17" s="319"/>
      <c r="ECV17" s="319"/>
      <c r="ECW17" s="319"/>
      <c r="ECX17" s="319"/>
      <c r="ECY17" s="319"/>
      <c r="ECZ17" s="319"/>
      <c r="EDA17" s="319"/>
      <c r="EDB17" s="319"/>
      <c r="EDC17" s="319"/>
      <c r="EDD17" s="319"/>
      <c r="EDE17" s="319"/>
      <c r="EDF17" s="319"/>
      <c r="EDG17" s="319"/>
      <c r="EDH17" s="319"/>
      <c r="EDI17" s="319"/>
      <c r="EDJ17" s="319"/>
      <c r="EDK17" s="319"/>
      <c r="EDL17" s="319"/>
      <c r="EDM17" s="319"/>
      <c r="EDN17" s="319"/>
      <c r="EDO17" s="319"/>
      <c r="EDP17" s="319"/>
      <c r="EDQ17" s="319"/>
      <c r="EDR17" s="319"/>
      <c r="EDS17" s="319"/>
      <c r="EDT17" s="319"/>
      <c r="EDU17" s="319"/>
      <c r="EDV17" s="319"/>
      <c r="EDW17" s="319"/>
      <c r="EDX17" s="319"/>
      <c r="EDY17" s="319"/>
      <c r="EDZ17" s="319"/>
      <c r="EEA17" s="319"/>
      <c r="EEB17" s="319"/>
      <c r="EEC17" s="319"/>
      <c r="EED17" s="319"/>
      <c r="EEE17" s="319"/>
      <c r="EEF17" s="319"/>
      <c r="EEG17" s="319"/>
      <c r="EEH17" s="319"/>
      <c r="EEI17" s="319"/>
      <c r="EEJ17" s="319"/>
      <c r="EEK17" s="319"/>
      <c r="EEL17" s="319"/>
      <c r="EEM17" s="319"/>
      <c r="EEN17" s="319"/>
      <c r="EEO17" s="319"/>
      <c r="EEP17" s="319"/>
      <c r="EEQ17" s="319"/>
      <c r="EER17" s="319"/>
      <c r="EES17" s="319"/>
      <c r="EET17" s="319"/>
      <c r="EEU17" s="319"/>
      <c r="EEV17" s="319"/>
      <c r="EEW17" s="319"/>
      <c r="EEX17" s="319"/>
      <c r="EEY17" s="319"/>
      <c r="EEZ17" s="319"/>
      <c r="EFA17" s="319"/>
      <c r="EFB17" s="319"/>
      <c r="EFC17" s="319"/>
      <c r="EFD17" s="319"/>
      <c r="EFE17" s="319"/>
      <c r="EFF17" s="319"/>
      <c r="EFG17" s="319"/>
      <c r="EFH17" s="319"/>
      <c r="EFI17" s="319"/>
      <c r="EFJ17" s="319"/>
      <c r="EFK17" s="319"/>
      <c r="EFL17" s="319"/>
      <c r="EFM17" s="319"/>
      <c r="EFN17" s="319"/>
      <c r="EFO17" s="319"/>
      <c r="EFP17" s="319"/>
      <c r="EFQ17" s="319"/>
      <c r="EFR17" s="319"/>
      <c r="EFS17" s="319"/>
      <c r="EFT17" s="319"/>
      <c r="EFU17" s="319"/>
      <c r="EFV17" s="319"/>
      <c r="EFW17" s="319"/>
      <c r="EFX17" s="319"/>
      <c r="EFY17" s="319"/>
      <c r="EFZ17" s="319"/>
      <c r="EGA17" s="319"/>
      <c r="EGB17" s="319"/>
      <c r="EGC17" s="319"/>
      <c r="EGD17" s="319"/>
      <c r="EGE17" s="319"/>
      <c r="EGF17" s="319"/>
      <c r="EGG17" s="319"/>
      <c r="EGH17" s="319"/>
      <c r="EGI17" s="319"/>
      <c r="EGJ17" s="319"/>
      <c r="EGK17" s="319"/>
      <c r="EGL17" s="319"/>
      <c r="EGM17" s="319"/>
      <c r="EGN17" s="319"/>
      <c r="EGO17" s="319"/>
      <c r="EGP17" s="319"/>
      <c r="EGQ17" s="319"/>
      <c r="EGR17" s="319"/>
      <c r="EGS17" s="319"/>
      <c r="EGT17" s="319"/>
      <c r="EGU17" s="319"/>
      <c r="EGV17" s="319"/>
      <c r="EGW17" s="319"/>
      <c r="EGX17" s="319"/>
      <c r="EGY17" s="319"/>
      <c r="EGZ17" s="319"/>
      <c r="EHA17" s="319"/>
      <c r="EHB17" s="319"/>
      <c r="EHC17" s="319"/>
      <c r="EHD17" s="319"/>
      <c r="EHE17" s="319"/>
      <c r="EHF17" s="319"/>
      <c r="EHG17" s="319"/>
      <c r="EHH17" s="319"/>
      <c r="EHI17" s="319"/>
      <c r="EHJ17" s="319"/>
      <c r="EHK17" s="319"/>
      <c r="EHL17" s="319"/>
      <c r="EHM17" s="319"/>
      <c r="EHN17" s="319"/>
      <c r="EHO17" s="319"/>
      <c r="EHP17" s="319"/>
      <c r="EHQ17" s="319"/>
      <c r="EHR17" s="319"/>
      <c r="EHS17" s="319"/>
      <c r="EHT17" s="319"/>
      <c r="EHU17" s="319"/>
      <c r="EHV17" s="319"/>
      <c r="EHW17" s="319"/>
      <c r="EHX17" s="319"/>
      <c r="EHY17" s="319"/>
      <c r="EHZ17" s="319"/>
      <c r="EIA17" s="319"/>
      <c r="EIB17" s="319"/>
      <c r="EIC17" s="319"/>
      <c r="EID17" s="319"/>
      <c r="EIE17" s="319"/>
      <c r="EIF17" s="319"/>
      <c r="EIG17" s="319"/>
      <c r="EIH17" s="319"/>
      <c r="EII17" s="319"/>
      <c r="EIJ17" s="319"/>
      <c r="EIK17" s="319"/>
      <c r="EIL17" s="319"/>
      <c r="EIM17" s="319"/>
      <c r="EIN17" s="319"/>
      <c r="EIO17" s="319"/>
      <c r="EIP17" s="319"/>
      <c r="EIQ17" s="319"/>
      <c r="EIR17" s="319"/>
      <c r="EIS17" s="319"/>
      <c r="EIT17" s="319"/>
      <c r="EIU17" s="319"/>
      <c r="EIV17" s="319"/>
      <c r="EIW17" s="319"/>
      <c r="EIX17" s="319"/>
      <c r="EIY17" s="319"/>
      <c r="EIZ17" s="319"/>
      <c r="EJA17" s="319"/>
      <c r="EJB17" s="319"/>
      <c r="EJC17" s="319"/>
      <c r="EJD17" s="319"/>
      <c r="EJE17" s="319"/>
      <c r="EJF17" s="319"/>
      <c r="EJG17" s="319"/>
      <c r="EJH17" s="319"/>
      <c r="EJI17" s="319"/>
      <c r="EJJ17" s="319"/>
      <c r="EJK17" s="319"/>
      <c r="EJL17" s="319"/>
      <c r="EJM17" s="319"/>
      <c r="EJN17" s="319"/>
      <c r="EJO17" s="319"/>
      <c r="EJP17" s="319"/>
      <c r="EJQ17" s="319"/>
      <c r="EJR17" s="319"/>
      <c r="EJS17" s="319"/>
      <c r="EJT17" s="319"/>
      <c r="EJU17" s="319"/>
      <c r="EJV17" s="319"/>
      <c r="EJW17" s="319"/>
      <c r="EJX17" s="319"/>
      <c r="EJY17" s="319"/>
      <c r="EJZ17" s="319"/>
      <c r="EKA17" s="319"/>
      <c r="EKB17" s="319"/>
      <c r="EKC17" s="319"/>
      <c r="EKD17" s="319"/>
      <c r="EKE17" s="319"/>
      <c r="EKF17" s="319"/>
      <c r="EKG17" s="319"/>
      <c r="EKH17" s="319"/>
      <c r="EKI17" s="319"/>
      <c r="EKJ17" s="319"/>
      <c r="EKK17" s="319"/>
      <c r="EKL17" s="319"/>
      <c r="EKM17" s="319"/>
      <c r="EKN17" s="319"/>
      <c r="EKO17" s="319"/>
      <c r="EKP17" s="319"/>
      <c r="EKQ17" s="319"/>
      <c r="EKR17" s="319"/>
      <c r="EKS17" s="319"/>
      <c r="EKT17" s="319"/>
      <c r="EKU17" s="319"/>
      <c r="EKV17" s="319"/>
      <c r="EKW17" s="319"/>
      <c r="EKX17" s="319"/>
      <c r="EKY17" s="319"/>
      <c r="EKZ17" s="319"/>
      <c r="ELA17" s="319"/>
      <c r="ELB17" s="319"/>
      <c r="ELC17" s="319"/>
      <c r="ELD17" s="319"/>
      <c r="ELE17" s="319"/>
      <c r="ELF17" s="319"/>
      <c r="ELG17" s="319"/>
      <c r="ELH17" s="319"/>
      <c r="ELI17" s="319"/>
      <c r="ELJ17" s="319"/>
      <c r="ELK17" s="319"/>
      <c r="ELL17" s="319"/>
      <c r="ELM17" s="319"/>
      <c r="ELN17" s="319"/>
      <c r="ELO17" s="319"/>
      <c r="ELP17" s="319"/>
      <c r="ELQ17" s="319"/>
      <c r="ELR17" s="319"/>
      <c r="ELS17" s="319"/>
      <c r="ELT17" s="319"/>
      <c r="ELU17" s="319"/>
      <c r="ELV17" s="319"/>
      <c r="ELW17" s="319"/>
      <c r="ELX17" s="319"/>
      <c r="ELY17" s="319"/>
      <c r="ELZ17" s="319"/>
      <c r="EMA17" s="319"/>
      <c r="EMB17" s="319"/>
      <c r="EMC17" s="319"/>
      <c r="EMD17" s="319"/>
      <c r="EME17" s="319"/>
      <c r="EMF17" s="319"/>
      <c r="EMG17" s="319"/>
      <c r="EMH17" s="319"/>
      <c r="EMI17" s="319"/>
      <c r="EMJ17" s="319"/>
      <c r="EMK17" s="319"/>
      <c r="EML17" s="319"/>
      <c r="EMM17" s="319"/>
      <c r="EMN17" s="319"/>
      <c r="EMO17" s="319"/>
      <c r="EMP17" s="319"/>
      <c r="EMQ17" s="319"/>
      <c r="EMR17" s="319"/>
      <c r="EMS17" s="319"/>
      <c r="EMT17" s="319"/>
      <c r="EMU17" s="319"/>
      <c r="EMV17" s="319"/>
      <c r="EMW17" s="319"/>
      <c r="EMX17" s="319"/>
      <c r="EMY17" s="319"/>
      <c r="EMZ17" s="319"/>
      <c r="ENA17" s="319"/>
      <c r="ENB17" s="319"/>
      <c r="ENC17" s="319"/>
      <c r="END17" s="319"/>
      <c r="ENE17" s="319"/>
      <c r="ENF17" s="319"/>
      <c r="ENG17" s="319"/>
      <c r="ENH17" s="319"/>
      <c r="ENI17" s="319"/>
      <c r="ENJ17" s="319"/>
      <c r="ENK17" s="319"/>
      <c r="ENL17" s="319"/>
      <c r="ENM17" s="319"/>
      <c r="ENN17" s="319"/>
      <c r="ENO17" s="319"/>
      <c r="ENP17" s="319"/>
      <c r="ENQ17" s="319"/>
      <c r="ENR17" s="319"/>
      <c r="ENS17" s="319"/>
      <c r="ENT17" s="319"/>
      <c r="ENU17" s="319"/>
      <c r="ENV17" s="319"/>
      <c r="ENW17" s="319"/>
      <c r="ENX17" s="319"/>
      <c r="ENY17" s="319"/>
      <c r="ENZ17" s="319"/>
      <c r="EOA17" s="319"/>
      <c r="EOB17" s="319"/>
      <c r="EOC17" s="319"/>
      <c r="EOD17" s="319"/>
      <c r="EOE17" s="319"/>
      <c r="EOF17" s="319"/>
      <c r="EOG17" s="319"/>
      <c r="EOH17" s="319"/>
      <c r="EOI17" s="319"/>
      <c r="EOJ17" s="319"/>
      <c r="EOK17" s="319"/>
      <c r="EOL17" s="319"/>
      <c r="EOM17" s="319"/>
      <c r="EON17" s="319"/>
      <c r="EOO17" s="319"/>
      <c r="EOP17" s="319"/>
      <c r="EOQ17" s="319"/>
      <c r="EOR17" s="319"/>
      <c r="EOS17" s="319"/>
      <c r="EOT17" s="319"/>
      <c r="EOU17" s="319"/>
      <c r="EOV17" s="319"/>
      <c r="EOW17" s="319"/>
      <c r="EOX17" s="319"/>
      <c r="EOY17" s="319"/>
      <c r="EOZ17" s="319"/>
      <c r="EPA17" s="319"/>
      <c r="EPB17" s="319"/>
      <c r="EPC17" s="319"/>
      <c r="EPD17" s="319"/>
      <c r="EPE17" s="319"/>
      <c r="EPF17" s="319"/>
      <c r="EPG17" s="319"/>
      <c r="EPH17" s="319"/>
      <c r="EPI17" s="319"/>
      <c r="EPJ17" s="319"/>
      <c r="EPK17" s="319"/>
      <c r="EPL17" s="319"/>
      <c r="EPM17" s="319"/>
      <c r="EPN17" s="319"/>
      <c r="EPO17" s="319"/>
      <c r="EPP17" s="319"/>
      <c r="EPQ17" s="319"/>
      <c r="EPR17" s="319"/>
      <c r="EPS17" s="319"/>
      <c r="EPT17" s="319"/>
      <c r="EPU17" s="319"/>
      <c r="EPV17" s="319"/>
      <c r="EPW17" s="319"/>
      <c r="EPX17" s="319"/>
      <c r="EPY17" s="319"/>
      <c r="EPZ17" s="319"/>
      <c r="EQA17" s="319"/>
      <c r="EQB17" s="319"/>
      <c r="EQC17" s="319"/>
      <c r="EQD17" s="319"/>
      <c r="EQE17" s="319"/>
      <c r="EQF17" s="319"/>
      <c r="EQG17" s="319"/>
      <c r="EQH17" s="319"/>
      <c r="EQI17" s="319"/>
      <c r="EQJ17" s="319"/>
      <c r="EQK17" s="319"/>
      <c r="EQL17" s="319"/>
      <c r="EQM17" s="319"/>
      <c r="EQN17" s="319"/>
      <c r="EQO17" s="319"/>
      <c r="EQP17" s="319"/>
      <c r="EQQ17" s="319"/>
      <c r="EQR17" s="319"/>
      <c r="EQS17" s="319"/>
      <c r="EQT17" s="319"/>
      <c r="EQU17" s="319"/>
      <c r="EQV17" s="319"/>
      <c r="EQW17" s="319"/>
      <c r="EQX17" s="319"/>
      <c r="EQY17" s="319"/>
      <c r="EQZ17" s="319"/>
      <c r="ERA17" s="319"/>
      <c r="ERB17" s="319"/>
      <c r="ERC17" s="319"/>
      <c r="ERD17" s="319"/>
      <c r="ERE17" s="319"/>
      <c r="ERF17" s="319"/>
      <c r="ERG17" s="319"/>
      <c r="ERH17" s="319"/>
      <c r="ERI17" s="319"/>
      <c r="ERJ17" s="319"/>
      <c r="ERK17" s="319"/>
      <c r="ERL17" s="319"/>
      <c r="ERM17" s="319"/>
      <c r="ERN17" s="319"/>
      <c r="ERO17" s="319"/>
      <c r="ERP17" s="319"/>
      <c r="ERQ17" s="319"/>
      <c r="ERR17" s="319"/>
      <c r="ERS17" s="319"/>
      <c r="ERT17" s="319"/>
      <c r="ERU17" s="319"/>
      <c r="ERV17" s="319"/>
      <c r="ERW17" s="319"/>
      <c r="ERX17" s="319"/>
      <c r="ERY17" s="319"/>
      <c r="ERZ17" s="319"/>
      <c r="ESA17" s="319"/>
      <c r="ESB17" s="319"/>
      <c r="ESC17" s="319"/>
      <c r="ESD17" s="319"/>
      <c r="ESE17" s="319"/>
      <c r="ESF17" s="319"/>
      <c r="ESG17" s="319"/>
      <c r="ESH17" s="319"/>
      <c r="ESI17" s="319"/>
      <c r="ESJ17" s="319"/>
      <c r="ESK17" s="319"/>
      <c r="ESL17" s="319"/>
      <c r="ESM17" s="319"/>
      <c r="ESN17" s="319"/>
      <c r="ESO17" s="319"/>
      <c r="ESP17" s="319"/>
      <c r="ESQ17" s="319"/>
      <c r="ESR17" s="319"/>
      <c r="ESS17" s="319"/>
      <c r="EST17" s="319"/>
      <c r="ESU17" s="319"/>
      <c r="ESV17" s="319"/>
      <c r="ESW17" s="319"/>
      <c r="ESX17" s="319"/>
      <c r="ESY17" s="319"/>
      <c r="ESZ17" s="319"/>
      <c r="ETA17" s="319"/>
      <c r="ETB17" s="319"/>
      <c r="ETC17" s="319"/>
      <c r="ETD17" s="319"/>
      <c r="ETE17" s="319"/>
      <c r="ETF17" s="319"/>
      <c r="ETG17" s="319"/>
      <c r="ETH17" s="319"/>
      <c r="ETI17" s="319"/>
      <c r="ETJ17" s="319"/>
      <c r="ETK17" s="319"/>
      <c r="ETL17" s="319"/>
      <c r="ETM17" s="319"/>
      <c r="ETN17" s="319"/>
      <c r="ETO17" s="319"/>
      <c r="ETP17" s="319"/>
      <c r="ETQ17" s="319"/>
      <c r="ETR17" s="319"/>
      <c r="ETS17" s="319"/>
      <c r="ETT17" s="319"/>
      <c r="ETU17" s="319"/>
      <c r="ETV17" s="319"/>
      <c r="ETW17" s="319"/>
      <c r="ETX17" s="319"/>
      <c r="ETY17" s="319"/>
      <c r="ETZ17" s="319"/>
      <c r="EUA17" s="319"/>
      <c r="EUB17" s="319"/>
      <c r="EUC17" s="319"/>
      <c r="EUD17" s="319"/>
      <c r="EUE17" s="319"/>
      <c r="EUF17" s="319"/>
      <c r="EUG17" s="319"/>
      <c r="EUH17" s="319"/>
      <c r="EUI17" s="319"/>
      <c r="EUJ17" s="319"/>
      <c r="EUK17" s="319"/>
      <c r="EUL17" s="319"/>
      <c r="EUM17" s="319"/>
      <c r="EUN17" s="319"/>
      <c r="EUO17" s="319"/>
      <c r="EUP17" s="319"/>
      <c r="EUQ17" s="319"/>
      <c r="EUR17" s="319"/>
      <c r="EUS17" s="319"/>
      <c r="EUT17" s="319"/>
      <c r="EUU17" s="319"/>
      <c r="EUV17" s="319"/>
      <c r="EUW17" s="319"/>
      <c r="EUX17" s="319"/>
      <c r="EUY17" s="319"/>
      <c r="EUZ17" s="319"/>
      <c r="EVA17" s="319"/>
      <c r="EVB17" s="319"/>
      <c r="EVC17" s="319"/>
      <c r="EVD17" s="319"/>
      <c r="EVE17" s="319"/>
      <c r="EVF17" s="319"/>
      <c r="EVG17" s="319"/>
      <c r="EVH17" s="319"/>
      <c r="EVI17" s="319"/>
      <c r="EVJ17" s="319"/>
      <c r="EVK17" s="319"/>
      <c r="EVL17" s="319"/>
      <c r="EVM17" s="319"/>
      <c r="EVN17" s="319"/>
      <c r="EVO17" s="319"/>
      <c r="EVP17" s="319"/>
      <c r="EVQ17" s="319"/>
      <c r="EVR17" s="319"/>
      <c r="EVS17" s="319"/>
      <c r="EVT17" s="319"/>
      <c r="EVU17" s="319"/>
      <c r="EVV17" s="319"/>
      <c r="EVW17" s="319"/>
      <c r="EVX17" s="319"/>
      <c r="EVY17" s="319"/>
      <c r="EVZ17" s="319"/>
      <c r="EWA17" s="319"/>
      <c r="EWB17" s="319"/>
      <c r="EWC17" s="319"/>
      <c r="EWD17" s="319"/>
      <c r="EWE17" s="319"/>
      <c r="EWF17" s="319"/>
      <c r="EWG17" s="319"/>
      <c r="EWH17" s="319"/>
      <c r="EWI17" s="319"/>
      <c r="EWJ17" s="319"/>
      <c r="EWK17" s="319"/>
      <c r="EWL17" s="319"/>
      <c r="EWM17" s="319"/>
      <c r="EWN17" s="319"/>
      <c r="EWO17" s="319"/>
      <c r="EWP17" s="319"/>
      <c r="EWQ17" s="319"/>
      <c r="EWR17" s="319"/>
      <c r="EWS17" s="319"/>
      <c r="EWT17" s="319"/>
      <c r="EWU17" s="319"/>
      <c r="EWV17" s="319"/>
      <c r="EWW17" s="319"/>
      <c r="EWX17" s="319"/>
      <c r="EWY17" s="319"/>
      <c r="EWZ17" s="319"/>
      <c r="EXA17" s="319"/>
      <c r="EXB17" s="319"/>
      <c r="EXC17" s="319"/>
      <c r="EXD17" s="319"/>
      <c r="EXE17" s="319"/>
      <c r="EXF17" s="319"/>
      <c r="EXG17" s="319"/>
      <c r="EXH17" s="319"/>
      <c r="EXI17" s="319"/>
      <c r="EXJ17" s="319"/>
      <c r="EXK17" s="319"/>
      <c r="EXL17" s="319"/>
      <c r="EXM17" s="319"/>
      <c r="EXN17" s="319"/>
      <c r="EXO17" s="319"/>
      <c r="EXP17" s="319"/>
      <c r="EXQ17" s="319"/>
      <c r="EXR17" s="319"/>
      <c r="EXS17" s="319"/>
      <c r="EXT17" s="319"/>
      <c r="EXU17" s="319"/>
      <c r="EXV17" s="319"/>
      <c r="EXW17" s="319"/>
      <c r="EXX17" s="319"/>
      <c r="EXY17" s="319"/>
      <c r="EXZ17" s="319"/>
      <c r="EYA17" s="319"/>
      <c r="EYB17" s="319"/>
      <c r="EYC17" s="319"/>
      <c r="EYD17" s="319"/>
      <c r="EYE17" s="319"/>
      <c r="EYF17" s="319"/>
      <c r="EYG17" s="319"/>
      <c r="EYH17" s="319"/>
      <c r="EYI17" s="319"/>
      <c r="EYJ17" s="319"/>
      <c r="EYK17" s="319"/>
      <c r="EYL17" s="319"/>
      <c r="EYM17" s="319"/>
      <c r="EYN17" s="319"/>
      <c r="EYO17" s="319"/>
      <c r="EYP17" s="319"/>
      <c r="EYQ17" s="319"/>
      <c r="EYR17" s="319"/>
      <c r="EYS17" s="319"/>
      <c r="EYT17" s="319"/>
      <c r="EYU17" s="319"/>
      <c r="EYV17" s="319"/>
      <c r="EYW17" s="319"/>
      <c r="EYX17" s="319"/>
      <c r="EYY17" s="319"/>
      <c r="EYZ17" s="319"/>
      <c r="EZA17" s="319"/>
      <c r="EZB17" s="319"/>
      <c r="EZC17" s="319"/>
      <c r="EZD17" s="319"/>
      <c r="EZE17" s="319"/>
      <c r="EZF17" s="319"/>
      <c r="EZG17" s="319"/>
      <c r="EZH17" s="319"/>
      <c r="EZI17" s="319"/>
      <c r="EZJ17" s="319"/>
      <c r="EZK17" s="319"/>
      <c r="EZL17" s="319"/>
      <c r="EZM17" s="319"/>
      <c r="EZN17" s="319"/>
      <c r="EZO17" s="319"/>
      <c r="EZP17" s="319"/>
      <c r="EZQ17" s="319"/>
      <c r="EZR17" s="319"/>
      <c r="EZS17" s="319"/>
      <c r="EZT17" s="319"/>
      <c r="EZU17" s="319"/>
      <c r="EZV17" s="319"/>
      <c r="EZW17" s="319"/>
      <c r="EZX17" s="319"/>
      <c r="EZY17" s="319"/>
      <c r="EZZ17" s="319"/>
      <c r="FAA17" s="319"/>
      <c r="FAB17" s="319"/>
      <c r="FAC17" s="319"/>
      <c r="FAD17" s="319"/>
      <c r="FAE17" s="319"/>
      <c r="FAF17" s="319"/>
      <c r="FAG17" s="319"/>
      <c r="FAH17" s="319"/>
      <c r="FAI17" s="319"/>
      <c r="FAJ17" s="319"/>
      <c r="FAK17" s="319"/>
      <c r="FAL17" s="319"/>
      <c r="FAM17" s="319"/>
      <c r="FAN17" s="319"/>
      <c r="FAO17" s="319"/>
      <c r="FAP17" s="319"/>
      <c r="FAQ17" s="319"/>
      <c r="FAR17" s="319"/>
      <c r="FAS17" s="319"/>
      <c r="FAT17" s="319"/>
      <c r="FAU17" s="319"/>
      <c r="FAV17" s="319"/>
      <c r="FAW17" s="319"/>
      <c r="FAX17" s="319"/>
      <c r="FAY17" s="319"/>
      <c r="FAZ17" s="319"/>
      <c r="FBA17" s="319"/>
      <c r="FBB17" s="319"/>
      <c r="FBC17" s="319"/>
      <c r="FBD17" s="319"/>
      <c r="FBE17" s="319"/>
      <c r="FBF17" s="319"/>
      <c r="FBG17" s="319"/>
      <c r="FBH17" s="319"/>
      <c r="FBI17" s="319"/>
      <c r="FBJ17" s="319"/>
      <c r="FBK17" s="319"/>
      <c r="FBL17" s="319"/>
      <c r="FBM17" s="319"/>
      <c r="FBN17" s="319"/>
      <c r="FBO17" s="319"/>
      <c r="FBP17" s="319"/>
      <c r="FBQ17" s="319"/>
      <c r="FBR17" s="319"/>
      <c r="FBS17" s="319"/>
      <c r="FBT17" s="319"/>
      <c r="FBU17" s="319"/>
      <c r="FBV17" s="319"/>
      <c r="FBW17" s="319"/>
      <c r="FBX17" s="319"/>
      <c r="FBY17" s="319"/>
      <c r="FBZ17" s="319"/>
      <c r="FCA17" s="319"/>
      <c r="FCB17" s="319"/>
      <c r="FCC17" s="319"/>
      <c r="FCD17" s="319"/>
      <c r="FCE17" s="319"/>
      <c r="FCF17" s="319"/>
      <c r="FCG17" s="319"/>
      <c r="FCH17" s="319"/>
      <c r="FCI17" s="319"/>
      <c r="FCJ17" s="319"/>
      <c r="FCK17" s="319"/>
      <c r="FCL17" s="319"/>
      <c r="FCM17" s="319"/>
      <c r="FCN17" s="319"/>
      <c r="FCO17" s="319"/>
      <c r="FCP17" s="319"/>
      <c r="FCQ17" s="319"/>
      <c r="FCR17" s="319"/>
      <c r="FCS17" s="319"/>
      <c r="FCT17" s="319"/>
      <c r="FCU17" s="319"/>
      <c r="FCV17" s="319"/>
      <c r="FCW17" s="319"/>
      <c r="FCX17" s="319"/>
      <c r="FCY17" s="319"/>
      <c r="FCZ17" s="319"/>
      <c r="FDA17" s="319"/>
      <c r="FDB17" s="319"/>
      <c r="FDC17" s="319"/>
      <c r="FDD17" s="319"/>
      <c r="FDE17" s="319"/>
      <c r="FDF17" s="319"/>
      <c r="FDG17" s="319"/>
      <c r="FDH17" s="319"/>
      <c r="FDI17" s="319"/>
      <c r="FDJ17" s="319"/>
      <c r="FDK17" s="319"/>
      <c r="FDL17" s="319"/>
      <c r="FDM17" s="319"/>
      <c r="FDN17" s="319"/>
      <c r="FDO17" s="319"/>
      <c r="FDP17" s="319"/>
      <c r="FDQ17" s="319"/>
      <c r="FDR17" s="319"/>
      <c r="FDS17" s="319"/>
      <c r="FDT17" s="319"/>
      <c r="FDU17" s="319"/>
      <c r="FDV17" s="319"/>
      <c r="FDW17" s="319"/>
      <c r="FDX17" s="319"/>
      <c r="FDY17" s="319"/>
      <c r="FDZ17" s="319"/>
      <c r="FEA17" s="319"/>
      <c r="FEB17" s="319"/>
      <c r="FEC17" s="319"/>
      <c r="FED17" s="319"/>
      <c r="FEE17" s="319"/>
      <c r="FEF17" s="319"/>
      <c r="FEG17" s="319"/>
      <c r="FEH17" s="319"/>
      <c r="FEI17" s="319"/>
      <c r="FEJ17" s="319"/>
      <c r="FEK17" s="319"/>
      <c r="FEL17" s="319"/>
      <c r="FEM17" s="319"/>
      <c r="FEN17" s="319"/>
      <c r="FEO17" s="319"/>
      <c r="FEP17" s="319"/>
      <c r="FEQ17" s="319"/>
      <c r="FER17" s="319"/>
      <c r="FES17" s="319"/>
      <c r="FET17" s="319"/>
      <c r="FEU17" s="319"/>
      <c r="FEV17" s="319"/>
      <c r="FEW17" s="319"/>
      <c r="FEX17" s="319"/>
      <c r="FEY17" s="319"/>
      <c r="FEZ17" s="319"/>
      <c r="FFA17" s="319"/>
      <c r="FFB17" s="319"/>
      <c r="FFC17" s="319"/>
      <c r="FFD17" s="319"/>
      <c r="FFE17" s="319"/>
      <c r="FFF17" s="319"/>
      <c r="FFG17" s="319"/>
      <c r="FFH17" s="319"/>
      <c r="FFI17" s="319"/>
      <c r="FFJ17" s="319"/>
      <c r="FFK17" s="319"/>
      <c r="FFL17" s="319"/>
      <c r="FFM17" s="319"/>
      <c r="FFN17" s="319"/>
      <c r="FFO17" s="319"/>
      <c r="FFP17" s="319"/>
      <c r="FFQ17" s="319"/>
      <c r="FFR17" s="319"/>
      <c r="FFS17" s="319"/>
      <c r="FFT17" s="319"/>
      <c r="FFU17" s="319"/>
      <c r="FFV17" s="319"/>
      <c r="FFW17" s="319"/>
      <c r="FFX17" s="319"/>
      <c r="FFY17" s="319"/>
      <c r="FFZ17" s="319"/>
      <c r="FGA17" s="319"/>
      <c r="FGB17" s="319"/>
      <c r="FGC17" s="319"/>
      <c r="FGD17" s="319"/>
      <c r="FGE17" s="319"/>
      <c r="FGF17" s="319"/>
      <c r="FGG17" s="319"/>
      <c r="FGH17" s="319"/>
      <c r="FGI17" s="319"/>
      <c r="FGJ17" s="319"/>
      <c r="FGK17" s="319"/>
      <c r="FGL17" s="319"/>
      <c r="FGM17" s="319"/>
      <c r="FGN17" s="319"/>
      <c r="FGO17" s="319"/>
      <c r="FGP17" s="319"/>
      <c r="FGQ17" s="319"/>
      <c r="FGR17" s="319"/>
      <c r="FGS17" s="319"/>
      <c r="FGT17" s="319"/>
      <c r="FGU17" s="319"/>
      <c r="FGV17" s="319"/>
      <c r="FGW17" s="319"/>
      <c r="FGX17" s="319"/>
      <c r="FGY17" s="319"/>
      <c r="FGZ17" s="319"/>
      <c r="FHA17" s="319"/>
      <c r="FHB17" s="319"/>
      <c r="FHC17" s="319"/>
      <c r="FHD17" s="319"/>
      <c r="FHE17" s="319"/>
      <c r="FHF17" s="319"/>
      <c r="FHG17" s="319"/>
      <c r="FHH17" s="319"/>
      <c r="FHI17" s="319"/>
      <c r="FHJ17" s="319"/>
      <c r="FHK17" s="319"/>
      <c r="FHL17" s="319"/>
      <c r="FHM17" s="319"/>
      <c r="FHN17" s="319"/>
      <c r="FHO17" s="319"/>
      <c r="FHP17" s="319"/>
      <c r="FHQ17" s="319"/>
      <c r="FHR17" s="319"/>
      <c r="FHS17" s="319"/>
      <c r="FHT17" s="319"/>
      <c r="FHU17" s="319"/>
      <c r="FHV17" s="319"/>
      <c r="FHW17" s="319"/>
      <c r="FHX17" s="319"/>
      <c r="FHY17" s="319"/>
      <c r="FHZ17" s="319"/>
      <c r="FIA17" s="319"/>
      <c r="FIB17" s="319"/>
      <c r="FIC17" s="319"/>
      <c r="FID17" s="319"/>
      <c r="FIE17" s="319"/>
      <c r="FIF17" s="319"/>
      <c r="FIG17" s="319"/>
      <c r="FIH17" s="319"/>
      <c r="FII17" s="319"/>
      <c r="FIJ17" s="319"/>
      <c r="FIK17" s="319"/>
      <c r="FIL17" s="319"/>
      <c r="FIM17" s="319"/>
      <c r="FIN17" s="319"/>
      <c r="FIO17" s="319"/>
      <c r="FIP17" s="319"/>
      <c r="FIQ17" s="319"/>
      <c r="FIR17" s="319"/>
      <c r="FIS17" s="319"/>
      <c r="FIT17" s="319"/>
      <c r="FIU17" s="319"/>
      <c r="FIV17" s="319"/>
      <c r="FIW17" s="319"/>
      <c r="FIX17" s="319"/>
      <c r="FIY17" s="319"/>
      <c r="FIZ17" s="319"/>
      <c r="FJA17" s="319"/>
      <c r="FJB17" s="319"/>
      <c r="FJC17" s="319"/>
      <c r="FJD17" s="319"/>
      <c r="FJE17" s="319"/>
      <c r="FJF17" s="319"/>
      <c r="FJG17" s="319"/>
      <c r="FJH17" s="319"/>
      <c r="FJI17" s="319"/>
      <c r="FJJ17" s="319"/>
      <c r="FJK17" s="319"/>
      <c r="FJL17" s="319"/>
      <c r="FJM17" s="319"/>
      <c r="FJN17" s="319"/>
      <c r="FJO17" s="319"/>
      <c r="FJP17" s="319"/>
      <c r="FJQ17" s="319"/>
      <c r="FJR17" s="319"/>
      <c r="FJS17" s="319"/>
      <c r="FJT17" s="319"/>
      <c r="FJU17" s="319"/>
      <c r="FJV17" s="319"/>
      <c r="FJW17" s="319"/>
      <c r="FJX17" s="319"/>
      <c r="FJY17" s="319"/>
      <c r="FJZ17" s="319"/>
      <c r="FKA17" s="319"/>
      <c r="FKB17" s="319"/>
      <c r="FKC17" s="319"/>
      <c r="FKD17" s="319"/>
      <c r="FKE17" s="319"/>
      <c r="FKF17" s="319"/>
      <c r="FKG17" s="319"/>
      <c r="FKH17" s="319"/>
      <c r="FKI17" s="319"/>
      <c r="FKJ17" s="319"/>
      <c r="FKK17" s="319"/>
      <c r="FKL17" s="319"/>
      <c r="FKM17" s="319"/>
      <c r="FKN17" s="319"/>
      <c r="FKO17" s="319"/>
      <c r="FKP17" s="319"/>
      <c r="FKQ17" s="319"/>
      <c r="FKR17" s="319"/>
      <c r="FKS17" s="319"/>
      <c r="FKT17" s="319"/>
      <c r="FKU17" s="319"/>
      <c r="FKV17" s="319"/>
      <c r="FKW17" s="319"/>
      <c r="FKX17" s="319"/>
      <c r="FKY17" s="319"/>
      <c r="FKZ17" s="319"/>
      <c r="FLA17" s="319"/>
      <c r="FLB17" s="319"/>
      <c r="FLC17" s="319"/>
      <c r="FLD17" s="319"/>
      <c r="FLE17" s="319"/>
      <c r="FLF17" s="319"/>
      <c r="FLG17" s="319"/>
      <c r="FLH17" s="319"/>
      <c r="FLI17" s="319"/>
      <c r="FLJ17" s="319"/>
      <c r="FLK17" s="319"/>
      <c r="FLL17" s="319"/>
      <c r="FLM17" s="319"/>
      <c r="FLN17" s="319"/>
      <c r="FLO17" s="319"/>
      <c r="FLP17" s="319"/>
      <c r="FLQ17" s="319"/>
      <c r="FLR17" s="319"/>
      <c r="FLS17" s="319"/>
      <c r="FLT17" s="319"/>
      <c r="FLU17" s="319"/>
      <c r="FLV17" s="319"/>
      <c r="FLW17" s="319"/>
      <c r="FLX17" s="319"/>
      <c r="FLY17" s="319"/>
      <c r="FLZ17" s="319"/>
      <c r="FMA17" s="319"/>
      <c r="FMB17" s="319"/>
      <c r="FMC17" s="319"/>
      <c r="FMD17" s="319"/>
      <c r="FME17" s="319"/>
      <c r="FMF17" s="319"/>
      <c r="FMG17" s="319"/>
      <c r="FMH17" s="319"/>
      <c r="FMI17" s="319"/>
      <c r="FMJ17" s="319"/>
      <c r="FMK17" s="319"/>
      <c r="FML17" s="319"/>
      <c r="FMM17" s="319"/>
      <c r="FMN17" s="319"/>
      <c r="FMO17" s="319"/>
      <c r="FMP17" s="319"/>
      <c r="FMQ17" s="319"/>
      <c r="FMR17" s="319"/>
      <c r="FMS17" s="319"/>
      <c r="FMT17" s="319"/>
      <c r="FMU17" s="319"/>
      <c r="FMV17" s="319"/>
      <c r="FMW17" s="319"/>
      <c r="FMX17" s="319"/>
      <c r="FMY17" s="319"/>
      <c r="FMZ17" s="319"/>
      <c r="FNA17" s="319"/>
      <c r="FNB17" s="319"/>
      <c r="FNC17" s="319"/>
      <c r="FND17" s="319"/>
      <c r="FNE17" s="319"/>
      <c r="FNF17" s="319"/>
      <c r="FNG17" s="319"/>
      <c r="FNH17" s="319"/>
      <c r="FNI17" s="319"/>
      <c r="FNJ17" s="319"/>
      <c r="FNK17" s="319"/>
      <c r="FNL17" s="319"/>
      <c r="FNM17" s="319"/>
      <c r="FNN17" s="319"/>
      <c r="FNO17" s="319"/>
      <c r="FNP17" s="319"/>
      <c r="FNQ17" s="319"/>
      <c r="FNR17" s="319"/>
      <c r="FNS17" s="319"/>
      <c r="FNT17" s="319"/>
      <c r="FNU17" s="319"/>
      <c r="FNV17" s="319"/>
      <c r="FNW17" s="319"/>
      <c r="FNX17" s="319"/>
      <c r="FNY17" s="319"/>
      <c r="FNZ17" s="319"/>
      <c r="FOA17" s="319"/>
      <c r="FOB17" s="319"/>
      <c r="FOC17" s="319"/>
      <c r="FOD17" s="319"/>
      <c r="FOE17" s="319"/>
      <c r="FOF17" s="319"/>
      <c r="FOG17" s="319"/>
      <c r="FOH17" s="319"/>
      <c r="FOI17" s="319"/>
      <c r="FOJ17" s="319"/>
      <c r="FOK17" s="319"/>
      <c r="FOL17" s="319"/>
      <c r="FOM17" s="319"/>
      <c r="FON17" s="319"/>
      <c r="FOO17" s="319"/>
      <c r="FOP17" s="319"/>
      <c r="FOQ17" s="319"/>
      <c r="FOR17" s="319"/>
      <c r="FOS17" s="319"/>
      <c r="FOT17" s="319"/>
      <c r="FOU17" s="319"/>
      <c r="FOV17" s="319"/>
      <c r="FOW17" s="319"/>
      <c r="FOX17" s="319"/>
      <c r="FOY17" s="319"/>
      <c r="FOZ17" s="319"/>
      <c r="FPA17" s="319"/>
      <c r="FPB17" s="319"/>
      <c r="FPC17" s="319"/>
      <c r="FPD17" s="319"/>
      <c r="FPE17" s="319"/>
      <c r="FPF17" s="319"/>
      <c r="FPG17" s="319"/>
      <c r="FPH17" s="319"/>
      <c r="FPI17" s="319"/>
      <c r="FPJ17" s="319"/>
      <c r="FPK17" s="319"/>
      <c r="FPL17" s="319"/>
      <c r="FPM17" s="319"/>
      <c r="FPN17" s="319"/>
      <c r="FPO17" s="319"/>
      <c r="FPP17" s="319"/>
      <c r="FPQ17" s="319"/>
      <c r="FPR17" s="319"/>
      <c r="FPS17" s="319"/>
      <c r="FPT17" s="319"/>
      <c r="FPU17" s="319"/>
      <c r="FPV17" s="319"/>
      <c r="FPW17" s="319"/>
      <c r="FPX17" s="319"/>
      <c r="FPY17" s="319"/>
      <c r="FPZ17" s="319"/>
      <c r="FQA17" s="319"/>
      <c r="FQB17" s="319"/>
      <c r="FQC17" s="319"/>
      <c r="FQD17" s="319"/>
      <c r="FQE17" s="319"/>
      <c r="FQF17" s="319"/>
      <c r="FQG17" s="319"/>
      <c r="FQH17" s="319"/>
      <c r="FQI17" s="319"/>
      <c r="FQJ17" s="319"/>
      <c r="FQK17" s="319"/>
      <c r="FQL17" s="319"/>
      <c r="FQM17" s="319"/>
      <c r="FQN17" s="319"/>
      <c r="FQO17" s="319"/>
      <c r="FQP17" s="319"/>
      <c r="FQQ17" s="319"/>
      <c r="FQR17" s="319"/>
      <c r="FQS17" s="319"/>
      <c r="FQT17" s="319"/>
      <c r="FQU17" s="319"/>
      <c r="FQV17" s="319"/>
      <c r="FQW17" s="319"/>
      <c r="FQX17" s="319"/>
      <c r="FQY17" s="319"/>
      <c r="FQZ17" s="319"/>
      <c r="FRA17" s="319"/>
      <c r="FRB17" s="319"/>
      <c r="FRC17" s="319"/>
      <c r="FRD17" s="319"/>
      <c r="FRE17" s="319"/>
      <c r="FRF17" s="319"/>
      <c r="FRG17" s="319"/>
      <c r="FRH17" s="319"/>
      <c r="FRI17" s="319"/>
      <c r="FRJ17" s="319"/>
      <c r="FRK17" s="319"/>
      <c r="FRL17" s="319"/>
      <c r="FRM17" s="319"/>
      <c r="FRN17" s="319"/>
      <c r="FRO17" s="319"/>
      <c r="FRP17" s="319"/>
      <c r="FRQ17" s="319"/>
      <c r="FRR17" s="319"/>
      <c r="FRS17" s="319"/>
      <c r="FRT17" s="319"/>
      <c r="FRU17" s="319"/>
      <c r="FRV17" s="319"/>
      <c r="FRW17" s="319"/>
      <c r="FRX17" s="319"/>
      <c r="FRY17" s="319"/>
      <c r="FRZ17" s="319"/>
      <c r="FSA17" s="319"/>
      <c r="FSB17" s="319"/>
      <c r="FSC17" s="319"/>
      <c r="FSD17" s="319"/>
      <c r="FSE17" s="319"/>
      <c r="FSF17" s="319"/>
      <c r="FSG17" s="319"/>
      <c r="FSH17" s="319"/>
      <c r="FSI17" s="319"/>
      <c r="FSJ17" s="319"/>
      <c r="FSK17" s="319"/>
      <c r="FSL17" s="319"/>
      <c r="FSM17" s="319"/>
      <c r="FSN17" s="319"/>
      <c r="FSO17" s="319"/>
      <c r="FSP17" s="319"/>
      <c r="FSQ17" s="319"/>
      <c r="FSR17" s="319"/>
      <c r="FSS17" s="319"/>
      <c r="FST17" s="319"/>
      <c r="FSU17" s="319"/>
      <c r="FSV17" s="319"/>
      <c r="FSW17" s="319"/>
      <c r="FSX17" s="319"/>
      <c r="FSY17" s="319"/>
      <c r="FSZ17" s="319"/>
      <c r="FTA17" s="319"/>
      <c r="FTB17" s="319"/>
      <c r="FTC17" s="319"/>
      <c r="FTD17" s="319"/>
      <c r="FTE17" s="319"/>
      <c r="FTF17" s="319"/>
      <c r="FTG17" s="319"/>
      <c r="FTH17" s="319"/>
      <c r="FTI17" s="319"/>
      <c r="FTJ17" s="319"/>
      <c r="FTK17" s="319"/>
      <c r="FTL17" s="319"/>
      <c r="FTM17" s="319"/>
      <c r="FTN17" s="319"/>
      <c r="FTO17" s="319"/>
      <c r="FTP17" s="319"/>
      <c r="FTQ17" s="319"/>
      <c r="FTR17" s="319"/>
      <c r="FTS17" s="319"/>
      <c r="FTT17" s="319"/>
      <c r="FTU17" s="319"/>
      <c r="FTV17" s="319"/>
      <c r="FTW17" s="319"/>
      <c r="FTX17" s="319"/>
      <c r="FTY17" s="319"/>
      <c r="FTZ17" s="319"/>
      <c r="FUA17" s="319"/>
      <c r="FUB17" s="319"/>
      <c r="FUC17" s="319"/>
      <c r="FUD17" s="319"/>
      <c r="FUE17" s="319"/>
      <c r="FUF17" s="319"/>
      <c r="FUG17" s="319"/>
      <c r="FUH17" s="319"/>
      <c r="FUI17" s="319"/>
      <c r="FUJ17" s="319"/>
      <c r="FUK17" s="319"/>
      <c r="FUL17" s="319"/>
      <c r="FUM17" s="319"/>
      <c r="FUN17" s="319"/>
      <c r="FUO17" s="319"/>
      <c r="FUP17" s="319"/>
      <c r="FUQ17" s="319"/>
      <c r="FUR17" s="319"/>
      <c r="FUS17" s="319"/>
      <c r="FUT17" s="319"/>
      <c r="FUU17" s="319"/>
      <c r="FUV17" s="319"/>
      <c r="FUW17" s="319"/>
      <c r="FUX17" s="319"/>
      <c r="FUY17" s="319"/>
      <c r="FUZ17" s="319"/>
      <c r="FVA17" s="319"/>
      <c r="FVB17" s="319"/>
      <c r="FVC17" s="319"/>
      <c r="FVD17" s="319"/>
      <c r="FVE17" s="319"/>
      <c r="FVF17" s="319"/>
      <c r="FVG17" s="319"/>
      <c r="FVH17" s="319"/>
      <c r="FVI17" s="319"/>
      <c r="FVJ17" s="319"/>
      <c r="FVK17" s="319"/>
      <c r="FVL17" s="319"/>
      <c r="FVM17" s="319"/>
      <c r="FVN17" s="319"/>
      <c r="FVO17" s="319"/>
      <c r="FVP17" s="319"/>
      <c r="FVQ17" s="319"/>
      <c r="FVR17" s="319"/>
      <c r="FVS17" s="319"/>
      <c r="FVT17" s="319"/>
      <c r="FVU17" s="319"/>
      <c r="FVV17" s="319"/>
      <c r="FVW17" s="319"/>
      <c r="FVX17" s="319"/>
      <c r="FVY17" s="319"/>
      <c r="FVZ17" s="319"/>
      <c r="FWA17" s="319"/>
      <c r="FWB17" s="319"/>
      <c r="FWC17" s="319"/>
      <c r="FWD17" s="319"/>
      <c r="FWE17" s="319"/>
      <c r="FWF17" s="319"/>
      <c r="FWG17" s="319"/>
      <c r="FWH17" s="319"/>
      <c r="FWI17" s="319"/>
      <c r="FWJ17" s="319"/>
      <c r="FWK17" s="319"/>
      <c r="FWL17" s="319"/>
      <c r="FWM17" s="319"/>
      <c r="FWN17" s="319"/>
      <c r="FWO17" s="319"/>
      <c r="FWP17" s="319"/>
      <c r="FWQ17" s="319"/>
      <c r="FWR17" s="319"/>
      <c r="FWS17" s="319"/>
      <c r="FWT17" s="319"/>
      <c r="FWU17" s="319"/>
      <c r="FWV17" s="319"/>
      <c r="FWW17" s="319"/>
      <c r="FWX17" s="319"/>
      <c r="FWY17" s="319"/>
      <c r="FWZ17" s="319"/>
      <c r="FXA17" s="319"/>
      <c r="FXB17" s="319"/>
      <c r="FXC17" s="319"/>
      <c r="FXD17" s="319"/>
      <c r="FXE17" s="319"/>
      <c r="FXF17" s="319"/>
      <c r="FXG17" s="319"/>
      <c r="FXH17" s="319"/>
      <c r="FXI17" s="319"/>
      <c r="FXJ17" s="319"/>
      <c r="FXK17" s="319"/>
      <c r="FXL17" s="319"/>
      <c r="FXM17" s="319"/>
      <c r="FXN17" s="319"/>
      <c r="FXO17" s="319"/>
      <c r="FXP17" s="319"/>
      <c r="FXQ17" s="319"/>
      <c r="FXR17" s="319"/>
      <c r="FXS17" s="319"/>
      <c r="FXT17" s="319"/>
      <c r="FXU17" s="319"/>
      <c r="FXV17" s="319"/>
      <c r="FXW17" s="319"/>
      <c r="FXX17" s="319"/>
      <c r="FXY17" s="319"/>
      <c r="FXZ17" s="319"/>
      <c r="FYA17" s="319"/>
      <c r="FYB17" s="319"/>
      <c r="FYC17" s="319"/>
      <c r="FYD17" s="319"/>
      <c r="FYE17" s="319"/>
      <c r="FYF17" s="319"/>
      <c r="FYG17" s="319"/>
      <c r="FYH17" s="319"/>
      <c r="FYI17" s="319"/>
      <c r="FYJ17" s="319"/>
      <c r="FYK17" s="319"/>
      <c r="FYL17" s="319"/>
      <c r="FYM17" s="319"/>
      <c r="FYN17" s="319"/>
      <c r="FYO17" s="319"/>
      <c r="FYP17" s="319"/>
      <c r="FYQ17" s="319"/>
      <c r="FYR17" s="319"/>
      <c r="FYS17" s="319"/>
      <c r="FYT17" s="319"/>
      <c r="FYU17" s="319"/>
      <c r="FYV17" s="319"/>
      <c r="FYW17" s="319"/>
      <c r="FYX17" s="319"/>
      <c r="FYY17" s="319"/>
      <c r="FYZ17" s="319"/>
      <c r="FZA17" s="319"/>
      <c r="FZB17" s="319"/>
      <c r="FZC17" s="319"/>
      <c r="FZD17" s="319"/>
      <c r="FZE17" s="319"/>
      <c r="FZF17" s="319"/>
      <c r="FZG17" s="319"/>
      <c r="FZH17" s="319"/>
      <c r="FZI17" s="319"/>
      <c r="FZJ17" s="319"/>
      <c r="FZK17" s="319"/>
      <c r="FZL17" s="319"/>
      <c r="FZM17" s="319"/>
      <c r="FZN17" s="319"/>
      <c r="FZO17" s="319"/>
      <c r="FZP17" s="319"/>
      <c r="FZQ17" s="319"/>
      <c r="FZR17" s="319"/>
      <c r="FZS17" s="319"/>
      <c r="FZT17" s="319"/>
      <c r="FZU17" s="319"/>
      <c r="FZV17" s="319"/>
      <c r="FZW17" s="319"/>
      <c r="FZX17" s="319"/>
      <c r="FZY17" s="319"/>
      <c r="FZZ17" s="319"/>
      <c r="GAA17" s="319"/>
      <c r="GAB17" s="319"/>
      <c r="GAC17" s="319"/>
      <c r="GAD17" s="319"/>
      <c r="GAE17" s="319"/>
      <c r="GAF17" s="319"/>
      <c r="GAG17" s="319"/>
      <c r="GAH17" s="319"/>
      <c r="GAI17" s="319"/>
      <c r="GAJ17" s="319"/>
      <c r="GAK17" s="319"/>
      <c r="GAL17" s="319"/>
      <c r="GAM17" s="319"/>
      <c r="GAN17" s="319"/>
      <c r="GAO17" s="319"/>
      <c r="GAP17" s="319"/>
      <c r="GAQ17" s="319"/>
      <c r="GAR17" s="319"/>
      <c r="GAS17" s="319"/>
      <c r="GAT17" s="319"/>
      <c r="GAU17" s="319"/>
      <c r="GAV17" s="319"/>
      <c r="GAW17" s="319"/>
      <c r="GAX17" s="319"/>
      <c r="GAY17" s="319"/>
      <c r="GAZ17" s="319"/>
      <c r="GBA17" s="319"/>
      <c r="GBB17" s="319"/>
      <c r="GBC17" s="319"/>
      <c r="GBD17" s="319"/>
      <c r="GBE17" s="319"/>
      <c r="GBF17" s="319"/>
      <c r="GBG17" s="319"/>
      <c r="GBH17" s="319"/>
      <c r="GBI17" s="319"/>
      <c r="GBJ17" s="319"/>
      <c r="GBK17" s="319"/>
      <c r="GBL17" s="319"/>
      <c r="GBM17" s="319"/>
      <c r="GBN17" s="319"/>
      <c r="GBO17" s="319"/>
      <c r="GBP17" s="319"/>
      <c r="GBQ17" s="319"/>
      <c r="GBR17" s="319"/>
      <c r="GBS17" s="319"/>
      <c r="GBT17" s="319"/>
      <c r="GBU17" s="319"/>
      <c r="GBV17" s="319"/>
      <c r="GBW17" s="319"/>
      <c r="GBX17" s="319"/>
      <c r="GBY17" s="319"/>
      <c r="GBZ17" s="319"/>
      <c r="GCA17" s="319"/>
      <c r="GCB17" s="319"/>
      <c r="GCC17" s="319"/>
      <c r="GCD17" s="319"/>
      <c r="GCE17" s="319"/>
      <c r="GCF17" s="319"/>
      <c r="GCG17" s="319"/>
      <c r="GCH17" s="319"/>
      <c r="GCI17" s="319"/>
      <c r="GCJ17" s="319"/>
      <c r="GCK17" s="319"/>
      <c r="GCL17" s="319"/>
      <c r="GCM17" s="319"/>
      <c r="GCN17" s="319"/>
      <c r="GCO17" s="319"/>
      <c r="GCP17" s="319"/>
      <c r="GCQ17" s="319"/>
      <c r="GCR17" s="319"/>
      <c r="GCS17" s="319"/>
      <c r="GCT17" s="319"/>
      <c r="GCU17" s="319"/>
      <c r="GCV17" s="319"/>
      <c r="GCW17" s="319"/>
      <c r="GCX17" s="319"/>
      <c r="GCY17" s="319"/>
      <c r="GCZ17" s="319"/>
      <c r="GDA17" s="319"/>
      <c r="GDB17" s="319"/>
      <c r="GDC17" s="319"/>
      <c r="GDD17" s="319"/>
      <c r="GDE17" s="319"/>
      <c r="GDF17" s="319"/>
      <c r="GDG17" s="319"/>
      <c r="GDH17" s="319"/>
      <c r="GDI17" s="319"/>
      <c r="GDJ17" s="319"/>
      <c r="GDK17" s="319"/>
      <c r="GDL17" s="319"/>
      <c r="GDM17" s="319"/>
      <c r="GDN17" s="319"/>
      <c r="GDO17" s="319"/>
      <c r="GDP17" s="319"/>
      <c r="GDQ17" s="319"/>
      <c r="GDR17" s="319"/>
      <c r="GDS17" s="319"/>
      <c r="GDT17" s="319"/>
      <c r="GDU17" s="319"/>
      <c r="GDV17" s="319"/>
      <c r="GDW17" s="319"/>
      <c r="GDX17" s="319"/>
      <c r="GDY17" s="319"/>
      <c r="GDZ17" s="319"/>
      <c r="GEA17" s="319"/>
      <c r="GEB17" s="319"/>
      <c r="GEC17" s="319"/>
      <c r="GED17" s="319"/>
      <c r="GEE17" s="319"/>
      <c r="GEF17" s="319"/>
      <c r="GEG17" s="319"/>
      <c r="GEH17" s="319"/>
      <c r="GEI17" s="319"/>
      <c r="GEJ17" s="319"/>
      <c r="GEK17" s="319"/>
      <c r="GEL17" s="319"/>
      <c r="GEM17" s="319"/>
      <c r="GEN17" s="319"/>
      <c r="GEO17" s="319"/>
      <c r="GEP17" s="319"/>
      <c r="GEQ17" s="319"/>
      <c r="GER17" s="319"/>
      <c r="GES17" s="319"/>
      <c r="GET17" s="319"/>
      <c r="GEU17" s="319"/>
      <c r="GEV17" s="319"/>
      <c r="GEW17" s="319"/>
      <c r="GEX17" s="319"/>
      <c r="GEY17" s="319"/>
      <c r="GEZ17" s="319"/>
      <c r="GFA17" s="319"/>
      <c r="GFB17" s="319"/>
      <c r="GFC17" s="319"/>
      <c r="GFD17" s="319"/>
      <c r="GFE17" s="319"/>
      <c r="GFF17" s="319"/>
      <c r="GFG17" s="319"/>
      <c r="GFH17" s="319"/>
      <c r="GFI17" s="319"/>
      <c r="GFJ17" s="319"/>
      <c r="GFK17" s="319"/>
      <c r="GFL17" s="319"/>
      <c r="GFM17" s="319"/>
      <c r="GFN17" s="319"/>
      <c r="GFO17" s="319"/>
      <c r="GFP17" s="319"/>
      <c r="GFQ17" s="319"/>
      <c r="GFR17" s="319"/>
      <c r="GFS17" s="319"/>
      <c r="GFT17" s="319"/>
      <c r="GFU17" s="319"/>
      <c r="GFV17" s="319"/>
      <c r="GFW17" s="319"/>
      <c r="GFX17" s="319"/>
      <c r="GFY17" s="319"/>
      <c r="GFZ17" s="319"/>
      <c r="GGA17" s="319"/>
      <c r="GGB17" s="319"/>
      <c r="GGC17" s="319"/>
      <c r="GGD17" s="319"/>
      <c r="GGE17" s="319"/>
      <c r="GGF17" s="319"/>
      <c r="GGG17" s="319"/>
      <c r="GGH17" s="319"/>
      <c r="GGI17" s="319"/>
      <c r="GGJ17" s="319"/>
      <c r="GGK17" s="319"/>
      <c r="GGL17" s="319"/>
      <c r="GGM17" s="319"/>
      <c r="GGN17" s="319"/>
      <c r="GGO17" s="319"/>
      <c r="GGP17" s="319"/>
      <c r="GGQ17" s="319"/>
      <c r="GGR17" s="319"/>
      <c r="GGS17" s="319"/>
      <c r="GGT17" s="319"/>
      <c r="GGU17" s="319"/>
      <c r="GGV17" s="319"/>
      <c r="GGW17" s="319"/>
      <c r="GGX17" s="319"/>
      <c r="GGY17" s="319"/>
      <c r="GGZ17" s="319"/>
      <c r="GHA17" s="319"/>
      <c r="GHB17" s="319"/>
      <c r="GHC17" s="319"/>
      <c r="GHD17" s="319"/>
      <c r="GHE17" s="319"/>
      <c r="GHF17" s="319"/>
      <c r="GHG17" s="319"/>
      <c r="GHH17" s="319"/>
      <c r="GHI17" s="319"/>
      <c r="GHJ17" s="319"/>
      <c r="GHK17" s="319"/>
      <c r="GHL17" s="319"/>
      <c r="GHM17" s="319"/>
      <c r="GHN17" s="319"/>
      <c r="GHO17" s="319"/>
      <c r="GHP17" s="319"/>
      <c r="GHQ17" s="319"/>
      <c r="GHR17" s="319"/>
      <c r="GHS17" s="319"/>
      <c r="GHT17" s="319"/>
      <c r="GHU17" s="319"/>
      <c r="GHV17" s="319"/>
      <c r="GHW17" s="319"/>
      <c r="GHX17" s="319"/>
      <c r="GHY17" s="319"/>
      <c r="GHZ17" s="319"/>
      <c r="GIA17" s="319"/>
      <c r="GIB17" s="319"/>
      <c r="GIC17" s="319"/>
      <c r="GID17" s="319"/>
      <c r="GIE17" s="319"/>
      <c r="GIF17" s="319"/>
      <c r="GIG17" s="319"/>
      <c r="GIH17" s="319"/>
      <c r="GII17" s="319"/>
      <c r="GIJ17" s="319"/>
      <c r="GIK17" s="319"/>
      <c r="GIL17" s="319"/>
      <c r="GIM17" s="319"/>
      <c r="GIN17" s="319"/>
      <c r="GIO17" s="319"/>
      <c r="GIP17" s="319"/>
      <c r="GIQ17" s="319"/>
      <c r="GIR17" s="319"/>
      <c r="GIS17" s="319"/>
      <c r="GIT17" s="319"/>
      <c r="GIU17" s="319"/>
      <c r="GIV17" s="319"/>
      <c r="GIW17" s="319"/>
      <c r="GIX17" s="319"/>
      <c r="GIY17" s="319"/>
      <c r="GIZ17" s="319"/>
      <c r="GJA17" s="319"/>
      <c r="GJB17" s="319"/>
      <c r="GJC17" s="319"/>
      <c r="GJD17" s="319"/>
      <c r="GJE17" s="319"/>
      <c r="GJF17" s="319"/>
      <c r="GJG17" s="319"/>
      <c r="GJH17" s="319"/>
      <c r="GJI17" s="319"/>
      <c r="GJJ17" s="319"/>
      <c r="GJK17" s="319"/>
      <c r="GJL17" s="319"/>
      <c r="GJM17" s="319"/>
      <c r="GJN17" s="319"/>
      <c r="GJO17" s="319"/>
      <c r="GJP17" s="319"/>
      <c r="GJQ17" s="319"/>
      <c r="GJR17" s="319"/>
      <c r="GJS17" s="319"/>
      <c r="GJT17" s="319"/>
      <c r="GJU17" s="319"/>
      <c r="GJV17" s="319"/>
      <c r="GJW17" s="319"/>
      <c r="GJX17" s="319"/>
      <c r="GJY17" s="319"/>
      <c r="GJZ17" s="319"/>
      <c r="GKA17" s="319"/>
      <c r="GKB17" s="319"/>
      <c r="GKC17" s="319"/>
      <c r="GKD17" s="319"/>
      <c r="GKE17" s="319"/>
      <c r="GKF17" s="319"/>
      <c r="GKG17" s="319"/>
      <c r="GKH17" s="319"/>
      <c r="GKI17" s="319"/>
      <c r="GKJ17" s="319"/>
      <c r="GKK17" s="319"/>
      <c r="GKL17" s="319"/>
      <c r="GKM17" s="319"/>
      <c r="GKN17" s="319"/>
      <c r="GKO17" s="319"/>
      <c r="GKP17" s="319"/>
      <c r="GKQ17" s="319"/>
      <c r="GKR17" s="319"/>
      <c r="GKS17" s="319"/>
      <c r="GKT17" s="319"/>
      <c r="GKU17" s="319"/>
      <c r="GKV17" s="319"/>
      <c r="GKW17" s="319"/>
      <c r="GKX17" s="319"/>
      <c r="GKY17" s="319"/>
      <c r="GKZ17" s="319"/>
      <c r="GLA17" s="319"/>
      <c r="GLB17" s="319"/>
      <c r="GLC17" s="319"/>
      <c r="GLD17" s="319"/>
      <c r="GLE17" s="319"/>
      <c r="GLF17" s="319"/>
      <c r="GLG17" s="319"/>
      <c r="GLH17" s="319"/>
      <c r="GLI17" s="319"/>
      <c r="GLJ17" s="319"/>
      <c r="GLK17" s="319"/>
      <c r="GLL17" s="319"/>
      <c r="GLM17" s="319"/>
      <c r="GLN17" s="319"/>
      <c r="GLO17" s="319"/>
      <c r="GLP17" s="319"/>
      <c r="GLQ17" s="319"/>
      <c r="GLR17" s="319"/>
      <c r="GLS17" s="319"/>
      <c r="GLT17" s="319"/>
      <c r="GLU17" s="319"/>
      <c r="GLV17" s="319"/>
      <c r="GLW17" s="319"/>
      <c r="GLX17" s="319"/>
      <c r="GLY17" s="319"/>
      <c r="GLZ17" s="319"/>
      <c r="GMA17" s="319"/>
      <c r="GMB17" s="319"/>
      <c r="GMC17" s="319"/>
      <c r="GMD17" s="319"/>
      <c r="GME17" s="319"/>
      <c r="GMF17" s="319"/>
      <c r="GMG17" s="319"/>
      <c r="GMH17" s="319"/>
      <c r="GMI17" s="319"/>
      <c r="GMJ17" s="319"/>
      <c r="GMK17" s="319"/>
      <c r="GML17" s="319"/>
      <c r="GMM17" s="319"/>
      <c r="GMN17" s="319"/>
      <c r="GMO17" s="319"/>
      <c r="GMP17" s="319"/>
      <c r="GMQ17" s="319"/>
      <c r="GMR17" s="319"/>
      <c r="GMS17" s="319"/>
      <c r="GMT17" s="319"/>
      <c r="GMU17" s="319"/>
      <c r="GMV17" s="319"/>
      <c r="GMW17" s="319"/>
      <c r="GMX17" s="319"/>
      <c r="GMY17" s="319"/>
      <c r="GMZ17" s="319"/>
      <c r="GNA17" s="319"/>
      <c r="GNB17" s="319"/>
      <c r="GNC17" s="319"/>
      <c r="GND17" s="319"/>
      <c r="GNE17" s="319"/>
      <c r="GNF17" s="319"/>
      <c r="GNG17" s="319"/>
      <c r="GNH17" s="319"/>
      <c r="GNI17" s="319"/>
      <c r="GNJ17" s="319"/>
      <c r="GNK17" s="319"/>
      <c r="GNL17" s="319"/>
      <c r="GNM17" s="319"/>
      <c r="GNN17" s="319"/>
      <c r="GNO17" s="319"/>
      <c r="GNP17" s="319"/>
      <c r="GNQ17" s="319"/>
      <c r="GNR17" s="319"/>
      <c r="GNS17" s="319"/>
      <c r="GNT17" s="319"/>
      <c r="GNU17" s="319"/>
      <c r="GNV17" s="319"/>
      <c r="GNW17" s="319"/>
      <c r="GNX17" s="319"/>
      <c r="GNY17" s="319"/>
      <c r="GNZ17" s="319"/>
      <c r="GOA17" s="319"/>
      <c r="GOB17" s="319"/>
      <c r="GOC17" s="319"/>
      <c r="GOD17" s="319"/>
      <c r="GOE17" s="319"/>
      <c r="GOF17" s="319"/>
      <c r="GOG17" s="319"/>
      <c r="GOH17" s="319"/>
      <c r="GOI17" s="319"/>
      <c r="GOJ17" s="319"/>
      <c r="GOK17" s="319"/>
      <c r="GOL17" s="319"/>
      <c r="GOM17" s="319"/>
      <c r="GON17" s="319"/>
      <c r="GOO17" s="319"/>
      <c r="GOP17" s="319"/>
      <c r="GOQ17" s="319"/>
      <c r="GOR17" s="319"/>
      <c r="GOS17" s="319"/>
      <c r="GOT17" s="319"/>
      <c r="GOU17" s="319"/>
      <c r="GOV17" s="319"/>
      <c r="GOW17" s="319"/>
      <c r="GOX17" s="319"/>
      <c r="GOY17" s="319"/>
      <c r="GOZ17" s="319"/>
      <c r="GPA17" s="319"/>
      <c r="GPB17" s="319"/>
      <c r="GPC17" s="319"/>
      <c r="GPD17" s="319"/>
      <c r="GPE17" s="319"/>
      <c r="GPF17" s="319"/>
      <c r="GPG17" s="319"/>
      <c r="GPH17" s="319"/>
      <c r="GPI17" s="319"/>
      <c r="GPJ17" s="319"/>
      <c r="GPK17" s="319"/>
      <c r="GPL17" s="319"/>
      <c r="GPM17" s="319"/>
      <c r="GPN17" s="319"/>
      <c r="GPO17" s="319"/>
      <c r="GPP17" s="319"/>
      <c r="GPQ17" s="319"/>
      <c r="GPR17" s="319"/>
      <c r="GPS17" s="319"/>
      <c r="GPT17" s="319"/>
      <c r="GPU17" s="319"/>
      <c r="GPV17" s="319"/>
      <c r="GPW17" s="319"/>
      <c r="GPX17" s="319"/>
      <c r="GPY17" s="319"/>
      <c r="GPZ17" s="319"/>
      <c r="GQA17" s="319"/>
      <c r="GQB17" s="319"/>
      <c r="GQC17" s="319"/>
      <c r="GQD17" s="319"/>
      <c r="GQE17" s="319"/>
      <c r="GQF17" s="319"/>
      <c r="GQG17" s="319"/>
      <c r="GQH17" s="319"/>
      <c r="GQI17" s="319"/>
      <c r="GQJ17" s="319"/>
      <c r="GQK17" s="319"/>
      <c r="GQL17" s="319"/>
      <c r="GQM17" s="319"/>
      <c r="GQN17" s="319"/>
      <c r="GQO17" s="319"/>
      <c r="GQP17" s="319"/>
      <c r="GQQ17" s="319"/>
      <c r="GQR17" s="319"/>
      <c r="GQS17" s="319"/>
      <c r="GQT17" s="319"/>
      <c r="GQU17" s="319"/>
      <c r="GQV17" s="319"/>
      <c r="GQW17" s="319"/>
      <c r="GQX17" s="319"/>
      <c r="GQY17" s="319"/>
      <c r="GQZ17" s="319"/>
      <c r="GRA17" s="319"/>
      <c r="GRB17" s="319"/>
      <c r="GRC17" s="319"/>
      <c r="GRD17" s="319"/>
      <c r="GRE17" s="319"/>
      <c r="GRF17" s="319"/>
      <c r="GRG17" s="319"/>
      <c r="GRH17" s="319"/>
      <c r="GRI17" s="319"/>
      <c r="GRJ17" s="319"/>
      <c r="GRK17" s="319"/>
      <c r="GRL17" s="319"/>
      <c r="GRM17" s="319"/>
      <c r="GRN17" s="319"/>
      <c r="GRO17" s="319"/>
      <c r="GRP17" s="319"/>
      <c r="GRQ17" s="319"/>
      <c r="GRR17" s="319"/>
      <c r="GRS17" s="319"/>
      <c r="GRT17" s="319"/>
      <c r="GRU17" s="319"/>
      <c r="GRV17" s="319"/>
      <c r="GRW17" s="319"/>
      <c r="GRX17" s="319"/>
      <c r="GRY17" s="319"/>
      <c r="GRZ17" s="319"/>
      <c r="GSA17" s="319"/>
      <c r="GSB17" s="319"/>
      <c r="GSC17" s="319"/>
      <c r="GSD17" s="319"/>
      <c r="GSE17" s="319"/>
      <c r="GSF17" s="319"/>
      <c r="GSG17" s="319"/>
      <c r="GSH17" s="319"/>
      <c r="GSI17" s="319"/>
      <c r="GSJ17" s="319"/>
      <c r="GSK17" s="319"/>
      <c r="GSL17" s="319"/>
      <c r="GSM17" s="319"/>
      <c r="GSN17" s="319"/>
      <c r="GSO17" s="319"/>
      <c r="GSP17" s="319"/>
      <c r="GSQ17" s="319"/>
      <c r="GSR17" s="319"/>
      <c r="GSS17" s="319"/>
      <c r="GST17" s="319"/>
      <c r="GSU17" s="319"/>
      <c r="GSV17" s="319"/>
      <c r="GSW17" s="319"/>
      <c r="GSX17" s="319"/>
      <c r="GSY17" s="319"/>
      <c r="GSZ17" s="319"/>
      <c r="GTA17" s="319"/>
      <c r="GTB17" s="319"/>
      <c r="GTC17" s="319"/>
      <c r="GTD17" s="319"/>
      <c r="GTE17" s="319"/>
      <c r="GTF17" s="319"/>
      <c r="GTG17" s="319"/>
      <c r="GTH17" s="319"/>
      <c r="GTI17" s="319"/>
      <c r="GTJ17" s="319"/>
      <c r="GTK17" s="319"/>
      <c r="GTL17" s="319"/>
      <c r="GTM17" s="319"/>
      <c r="GTN17" s="319"/>
      <c r="GTO17" s="319"/>
      <c r="GTP17" s="319"/>
      <c r="GTQ17" s="319"/>
      <c r="GTR17" s="319"/>
      <c r="GTS17" s="319"/>
      <c r="GTT17" s="319"/>
      <c r="GTU17" s="319"/>
      <c r="GTV17" s="319"/>
      <c r="GTW17" s="319"/>
      <c r="GTX17" s="319"/>
      <c r="GTY17" s="319"/>
      <c r="GTZ17" s="319"/>
      <c r="GUA17" s="319"/>
      <c r="GUB17" s="319"/>
      <c r="GUC17" s="319"/>
      <c r="GUD17" s="319"/>
      <c r="GUE17" s="319"/>
      <c r="GUF17" s="319"/>
      <c r="GUG17" s="319"/>
      <c r="GUH17" s="319"/>
      <c r="GUI17" s="319"/>
      <c r="GUJ17" s="319"/>
      <c r="GUK17" s="319"/>
      <c r="GUL17" s="319"/>
      <c r="GUM17" s="319"/>
      <c r="GUN17" s="319"/>
      <c r="GUO17" s="319"/>
      <c r="GUP17" s="319"/>
      <c r="GUQ17" s="319"/>
      <c r="GUR17" s="319"/>
      <c r="GUS17" s="319"/>
      <c r="GUT17" s="319"/>
      <c r="GUU17" s="319"/>
      <c r="GUV17" s="319"/>
      <c r="GUW17" s="319"/>
      <c r="GUX17" s="319"/>
      <c r="GUY17" s="319"/>
      <c r="GUZ17" s="319"/>
      <c r="GVA17" s="319"/>
      <c r="GVB17" s="319"/>
      <c r="GVC17" s="319"/>
      <c r="GVD17" s="319"/>
      <c r="GVE17" s="319"/>
      <c r="GVF17" s="319"/>
      <c r="GVG17" s="319"/>
      <c r="GVH17" s="319"/>
      <c r="GVI17" s="319"/>
      <c r="GVJ17" s="319"/>
      <c r="GVK17" s="319"/>
      <c r="GVL17" s="319"/>
      <c r="GVM17" s="319"/>
      <c r="GVN17" s="319"/>
      <c r="GVO17" s="319"/>
      <c r="GVP17" s="319"/>
      <c r="GVQ17" s="319"/>
      <c r="GVR17" s="319"/>
      <c r="GVS17" s="319"/>
      <c r="GVT17" s="319"/>
      <c r="GVU17" s="319"/>
      <c r="GVV17" s="319"/>
      <c r="GVW17" s="319"/>
      <c r="GVX17" s="319"/>
      <c r="GVY17" s="319"/>
      <c r="GVZ17" s="319"/>
      <c r="GWA17" s="319"/>
      <c r="GWB17" s="319"/>
      <c r="GWC17" s="319"/>
      <c r="GWD17" s="319"/>
      <c r="GWE17" s="319"/>
      <c r="GWF17" s="319"/>
      <c r="GWG17" s="319"/>
      <c r="GWH17" s="319"/>
      <c r="GWI17" s="319"/>
      <c r="GWJ17" s="319"/>
      <c r="GWK17" s="319"/>
      <c r="GWL17" s="319"/>
      <c r="GWM17" s="319"/>
      <c r="GWN17" s="319"/>
      <c r="GWO17" s="319"/>
      <c r="GWP17" s="319"/>
      <c r="GWQ17" s="319"/>
      <c r="GWR17" s="319"/>
      <c r="GWS17" s="319"/>
      <c r="GWT17" s="319"/>
      <c r="GWU17" s="319"/>
      <c r="GWV17" s="319"/>
      <c r="GWW17" s="319"/>
      <c r="GWX17" s="319"/>
      <c r="GWY17" s="319"/>
      <c r="GWZ17" s="319"/>
      <c r="GXA17" s="319"/>
      <c r="GXB17" s="319"/>
      <c r="GXC17" s="319"/>
      <c r="GXD17" s="319"/>
      <c r="GXE17" s="319"/>
      <c r="GXF17" s="319"/>
      <c r="GXG17" s="319"/>
      <c r="GXH17" s="319"/>
      <c r="GXI17" s="319"/>
      <c r="GXJ17" s="319"/>
      <c r="GXK17" s="319"/>
      <c r="GXL17" s="319"/>
      <c r="GXM17" s="319"/>
      <c r="GXN17" s="319"/>
      <c r="GXO17" s="319"/>
      <c r="GXP17" s="319"/>
      <c r="GXQ17" s="319"/>
      <c r="GXR17" s="319"/>
      <c r="GXS17" s="319"/>
      <c r="GXT17" s="319"/>
      <c r="GXU17" s="319"/>
      <c r="GXV17" s="319"/>
      <c r="GXW17" s="319"/>
      <c r="GXX17" s="319"/>
      <c r="GXY17" s="319"/>
      <c r="GXZ17" s="319"/>
      <c r="GYA17" s="319"/>
      <c r="GYB17" s="319"/>
      <c r="GYC17" s="319"/>
      <c r="GYD17" s="319"/>
      <c r="GYE17" s="319"/>
      <c r="GYF17" s="319"/>
      <c r="GYG17" s="319"/>
      <c r="GYH17" s="319"/>
      <c r="GYI17" s="319"/>
      <c r="GYJ17" s="319"/>
      <c r="GYK17" s="319"/>
      <c r="GYL17" s="319"/>
      <c r="GYM17" s="319"/>
      <c r="GYN17" s="319"/>
      <c r="GYO17" s="319"/>
      <c r="GYP17" s="319"/>
      <c r="GYQ17" s="319"/>
      <c r="GYR17" s="319"/>
      <c r="GYS17" s="319"/>
      <c r="GYT17" s="319"/>
      <c r="GYU17" s="319"/>
      <c r="GYV17" s="319"/>
      <c r="GYW17" s="319"/>
      <c r="GYX17" s="319"/>
      <c r="GYY17" s="319"/>
      <c r="GYZ17" s="319"/>
      <c r="GZA17" s="319"/>
      <c r="GZB17" s="319"/>
      <c r="GZC17" s="319"/>
      <c r="GZD17" s="319"/>
      <c r="GZE17" s="319"/>
      <c r="GZF17" s="319"/>
      <c r="GZG17" s="319"/>
      <c r="GZH17" s="319"/>
      <c r="GZI17" s="319"/>
      <c r="GZJ17" s="319"/>
      <c r="GZK17" s="319"/>
      <c r="GZL17" s="319"/>
      <c r="GZM17" s="319"/>
      <c r="GZN17" s="319"/>
      <c r="GZO17" s="319"/>
      <c r="GZP17" s="319"/>
      <c r="GZQ17" s="319"/>
      <c r="GZR17" s="319"/>
      <c r="GZS17" s="319"/>
      <c r="GZT17" s="319"/>
      <c r="GZU17" s="319"/>
      <c r="GZV17" s="319"/>
      <c r="GZW17" s="319"/>
      <c r="GZX17" s="319"/>
      <c r="GZY17" s="319"/>
      <c r="GZZ17" s="319"/>
      <c r="HAA17" s="319"/>
      <c r="HAB17" s="319"/>
      <c r="HAC17" s="319"/>
      <c r="HAD17" s="319"/>
      <c r="HAE17" s="319"/>
      <c r="HAF17" s="319"/>
      <c r="HAG17" s="319"/>
      <c r="HAH17" s="319"/>
      <c r="HAI17" s="319"/>
      <c r="HAJ17" s="319"/>
      <c r="HAK17" s="319"/>
      <c r="HAL17" s="319"/>
      <c r="HAM17" s="319"/>
      <c r="HAN17" s="319"/>
      <c r="HAO17" s="319"/>
      <c r="HAP17" s="319"/>
      <c r="HAQ17" s="319"/>
      <c r="HAR17" s="319"/>
      <c r="HAS17" s="319"/>
      <c r="HAT17" s="319"/>
      <c r="HAU17" s="319"/>
      <c r="HAV17" s="319"/>
      <c r="HAW17" s="319"/>
      <c r="HAX17" s="319"/>
      <c r="HAY17" s="319"/>
      <c r="HAZ17" s="319"/>
      <c r="HBA17" s="319"/>
      <c r="HBB17" s="319"/>
      <c r="HBC17" s="319"/>
      <c r="HBD17" s="319"/>
      <c r="HBE17" s="319"/>
      <c r="HBF17" s="319"/>
      <c r="HBG17" s="319"/>
      <c r="HBH17" s="319"/>
      <c r="HBI17" s="319"/>
      <c r="HBJ17" s="319"/>
      <c r="HBK17" s="319"/>
      <c r="HBL17" s="319"/>
      <c r="HBM17" s="319"/>
      <c r="HBN17" s="319"/>
      <c r="HBO17" s="319"/>
      <c r="HBP17" s="319"/>
      <c r="HBQ17" s="319"/>
      <c r="HBR17" s="319"/>
      <c r="HBS17" s="319"/>
      <c r="HBT17" s="319"/>
      <c r="HBU17" s="319"/>
      <c r="HBV17" s="319"/>
      <c r="HBW17" s="319"/>
      <c r="HBX17" s="319"/>
      <c r="HBY17" s="319"/>
      <c r="HBZ17" s="319"/>
      <c r="HCA17" s="319"/>
      <c r="HCB17" s="319"/>
      <c r="HCC17" s="319"/>
      <c r="HCD17" s="319"/>
      <c r="HCE17" s="319"/>
      <c r="HCF17" s="319"/>
      <c r="HCG17" s="319"/>
      <c r="HCH17" s="319"/>
      <c r="HCI17" s="319"/>
      <c r="HCJ17" s="319"/>
      <c r="HCK17" s="319"/>
      <c r="HCL17" s="319"/>
      <c r="HCM17" s="319"/>
      <c r="HCN17" s="319"/>
      <c r="HCO17" s="319"/>
      <c r="HCP17" s="319"/>
      <c r="HCQ17" s="319"/>
      <c r="HCR17" s="319"/>
      <c r="HCS17" s="319"/>
      <c r="HCT17" s="319"/>
      <c r="HCU17" s="319"/>
      <c r="HCV17" s="319"/>
      <c r="HCW17" s="319"/>
      <c r="HCX17" s="319"/>
      <c r="HCY17" s="319"/>
      <c r="HCZ17" s="319"/>
      <c r="HDA17" s="319"/>
      <c r="HDB17" s="319"/>
      <c r="HDC17" s="319"/>
      <c r="HDD17" s="319"/>
      <c r="HDE17" s="319"/>
      <c r="HDF17" s="319"/>
      <c r="HDG17" s="319"/>
      <c r="HDH17" s="319"/>
      <c r="HDI17" s="319"/>
      <c r="HDJ17" s="319"/>
      <c r="HDK17" s="319"/>
      <c r="HDL17" s="319"/>
      <c r="HDM17" s="319"/>
      <c r="HDN17" s="319"/>
      <c r="HDO17" s="319"/>
      <c r="HDP17" s="319"/>
      <c r="HDQ17" s="319"/>
      <c r="HDR17" s="319"/>
      <c r="HDS17" s="319"/>
      <c r="HDT17" s="319"/>
      <c r="HDU17" s="319"/>
      <c r="HDV17" s="319"/>
      <c r="HDW17" s="319"/>
      <c r="HDX17" s="319"/>
      <c r="HDY17" s="319"/>
      <c r="HDZ17" s="319"/>
      <c r="HEA17" s="319"/>
      <c r="HEB17" s="319"/>
      <c r="HEC17" s="319"/>
      <c r="HED17" s="319"/>
      <c r="HEE17" s="319"/>
      <c r="HEF17" s="319"/>
      <c r="HEG17" s="319"/>
      <c r="HEH17" s="319"/>
      <c r="HEI17" s="319"/>
      <c r="HEJ17" s="319"/>
      <c r="HEK17" s="319"/>
      <c r="HEL17" s="319"/>
      <c r="HEM17" s="319"/>
      <c r="HEN17" s="319"/>
      <c r="HEO17" s="319"/>
      <c r="HEP17" s="319"/>
      <c r="HEQ17" s="319"/>
      <c r="HER17" s="319"/>
      <c r="HES17" s="319"/>
      <c r="HET17" s="319"/>
      <c r="HEU17" s="319"/>
      <c r="HEV17" s="319"/>
      <c r="HEW17" s="319"/>
      <c r="HEX17" s="319"/>
      <c r="HEY17" s="319"/>
      <c r="HEZ17" s="319"/>
      <c r="HFA17" s="319"/>
      <c r="HFB17" s="319"/>
      <c r="HFC17" s="319"/>
      <c r="HFD17" s="319"/>
      <c r="HFE17" s="319"/>
      <c r="HFF17" s="319"/>
      <c r="HFG17" s="319"/>
      <c r="HFH17" s="319"/>
      <c r="HFI17" s="319"/>
      <c r="HFJ17" s="319"/>
      <c r="HFK17" s="319"/>
      <c r="HFL17" s="319"/>
      <c r="HFM17" s="319"/>
      <c r="HFN17" s="319"/>
      <c r="HFO17" s="319"/>
      <c r="HFP17" s="319"/>
      <c r="HFQ17" s="319"/>
      <c r="HFR17" s="319"/>
      <c r="HFS17" s="319"/>
      <c r="HFT17" s="319"/>
      <c r="HFU17" s="319"/>
      <c r="HFV17" s="319"/>
      <c r="HFW17" s="319"/>
      <c r="HFX17" s="319"/>
      <c r="HFY17" s="319"/>
      <c r="HFZ17" s="319"/>
      <c r="HGA17" s="319"/>
      <c r="HGB17" s="319"/>
      <c r="HGC17" s="319"/>
      <c r="HGD17" s="319"/>
      <c r="HGE17" s="319"/>
      <c r="HGF17" s="319"/>
      <c r="HGG17" s="319"/>
      <c r="HGH17" s="319"/>
      <c r="HGI17" s="319"/>
      <c r="HGJ17" s="319"/>
      <c r="HGK17" s="319"/>
      <c r="HGL17" s="319"/>
      <c r="HGM17" s="319"/>
      <c r="HGN17" s="319"/>
      <c r="HGO17" s="319"/>
      <c r="HGP17" s="319"/>
      <c r="HGQ17" s="319"/>
      <c r="HGR17" s="319"/>
      <c r="HGS17" s="319"/>
      <c r="HGT17" s="319"/>
      <c r="HGU17" s="319"/>
      <c r="HGV17" s="319"/>
      <c r="HGW17" s="319"/>
      <c r="HGX17" s="319"/>
      <c r="HGY17" s="319"/>
      <c r="HGZ17" s="319"/>
      <c r="HHA17" s="319"/>
      <c r="HHB17" s="319"/>
      <c r="HHC17" s="319"/>
      <c r="HHD17" s="319"/>
      <c r="HHE17" s="319"/>
      <c r="HHF17" s="319"/>
      <c r="HHG17" s="319"/>
      <c r="HHH17" s="319"/>
      <c r="HHI17" s="319"/>
      <c r="HHJ17" s="319"/>
      <c r="HHK17" s="319"/>
      <c r="HHL17" s="319"/>
      <c r="HHM17" s="319"/>
      <c r="HHN17" s="319"/>
      <c r="HHO17" s="319"/>
      <c r="HHP17" s="319"/>
      <c r="HHQ17" s="319"/>
      <c r="HHR17" s="319"/>
      <c r="HHS17" s="319"/>
      <c r="HHT17" s="319"/>
      <c r="HHU17" s="319"/>
      <c r="HHV17" s="319"/>
      <c r="HHW17" s="319"/>
      <c r="HHX17" s="319"/>
      <c r="HHY17" s="319"/>
      <c r="HHZ17" s="319"/>
      <c r="HIA17" s="319"/>
      <c r="HIB17" s="319"/>
      <c r="HIC17" s="319"/>
      <c r="HID17" s="319"/>
      <c r="HIE17" s="319"/>
      <c r="HIF17" s="319"/>
      <c r="HIG17" s="319"/>
      <c r="HIH17" s="319"/>
      <c r="HII17" s="319"/>
      <c r="HIJ17" s="319"/>
      <c r="HIK17" s="319"/>
      <c r="HIL17" s="319"/>
      <c r="HIM17" s="319"/>
      <c r="HIN17" s="319"/>
      <c r="HIO17" s="319"/>
      <c r="HIP17" s="319"/>
      <c r="HIQ17" s="319"/>
      <c r="HIR17" s="319"/>
      <c r="HIS17" s="319"/>
      <c r="HIT17" s="319"/>
      <c r="HIU17" s="319"/>
      <c r="HIV17" s="319"/>
      <c r="HIW17" s="319"/>
      <c r="HIX17" s="319"/>
      <c r="HIY17" s="319"/>
      <c r="HIZ17" s="319"/>
      <c r="HJA17" s="319"/>
      <c r="HJB17" s="319"/>
      <c r="HJC17" s="319"/>
      <c r="HJD17" s="319"/>
      <c r="HJE17" s="319"/>
      <c r="HJF17" s="319"/>
      <c r="HJG17" s="319"/>
      <c r="HJH17" s="319"/>
      <c r="HJI17" s="319"/>
      <c r="HJJ17" s="319"/>
      <c r="HJK17" s="319"/>
      <c r="HJL17" s="319"/>
      <c r="HJM17" s="319"/>
      <c r="HJN17" s="319"/>
      <c r="HJO17" s="319"/>
      <c r="HJP17" s="319"/>
      <c r="HJQ17" s="319"/>
      <c r="HJR17" s="319"/>
      <c r="HJS17" s="319"/>
      <c r="HJT17" s="319"/>
      <c r="HJU17" s="319"/>
      <c r="HJV17" s="319"/>
      <c r="HJW17" s="319"/>
      <c r="HJX17" s="319"/>
      <c r="HJY17" s="319"/>
      <c r="HJZ17" s="319"/>
      <c r="HKA17" s="319"/>
      <c r="HKB17" s="319"/>
      <c r="HKC17" s="319"/>
      <c r="HKD17" s="319"/>
      <c r="HKE17" s="319"/>
      <c r="HKF17" s="319"/>
      <c r="HKG17" s="319"/>
      <c r="HKH17" s="319"/>
      <c r="HKI17" s="319"/>
      <c r="HKJ17" s="319"/>
      <c r="HKK17" s="319"/>
      <c r="HKL17" s="319"/>
      <c r="HKM17" s="319"/>
      <c r="HKN17" s="319"/>
      <c r="HKO17" s="319"/>
      <c r="HKP17" s="319"/>
      <c r="HKQ17" s="319"/>
      <c r="HKR17" s="319"/>
      <c r="HKS17" s="319"/>
      <c r="HKT17" s="319"/>
      <c r="HKU17" s="319"/>
      <c r="HKV17" s="319"/>
      <c r="HKW17" s="319"/>
      <c r="HKX17" s="319"/>
      <c r="HKY17" s="319"/>
      <c r="HKZ17" s="319"/>
      <c r="HLA17" s="319"/>
      <c r="HLB17" s="319"/>
      <c r="HLC17" s="319"/>
      <c r="HLD17" s="319"/>
      <c r="HLE17" s="319"/>
      <c r="HLF17" s="319"/>
      <c r="HLG17" s="319"/>
      <c r="HLH17" s="319"/>
      <c r="HLI17" s="319"/>
      <c r="HLJ17" s="319"/>
      <c r="HLK17" s="319"/>
      <c r="HLL17" s="319"/>
      <c r="HLM17" s="319"/>
      <c r="HLN17" s="319"/>
      <c r="HLO17" s="319"/>
      <c r="HLP17" s="319"/>
      <c r="HLQ17" s="319"/>
      <c r="HLR17" s="319"/>
      <c r="HLS17" s="319"/>
      <c r="HLT17" s="319"/>
      <c r="HLU17" s="319"/>
      <c r="HLV17" s="319"/>
      <c r="HLW17" s="319"/>
      <c r="HLX17" s="319"/>
      <c r="HLY17" s="319"/>
      <c r="HLZ17" s="319"/>
      <c r="HMA17" s="319"/>
      <c r="HMB17" s="319"/>
      <c r="HMC17" s="319"/>
      <c r="HMD17" s="319"/>
      <c r="HME17" s="319"/>
      <c r="HMF17" s="319"/>
      <c r="HMG17" s="319"/>
      <c r="HMH17" s="319"/>
      <c r="HMI17" s="319"/>
      <c r="HMJ17" s="319"/>
      <c r="HMK17" s="319"/>
      <c r="HML17" s="319"/>
      <c r="HMM17" s="319"/>
      <c r="HMN17" s="319"/>
      <c r="HMO17" s="319"/>
      <c r="HMP17" s="319"/>
      <c r="HMQ17" s="319"/>
      <c r="HMR17" s="319"/>
      <c r="HMS17" s="319"/>
      <c r="HMT17" s="319"/>
      <c r="HMU17" s="319"/>
      <c r="HMV17" s="319"/>
      <c r="HMW17" s="319"/>
      <c r="HMX17" s="319"/>
      <c r="HMY17" s="319"/>
      <c r="HMZ17" s="319"/>
      <c r="HNA17" s="319"/>
      <c r="HNB17" s="319"/>
      <c r="HNC17" s="319"/>
      <c r="HND17" s="319"/>
      <c r="HNE17" s="319"/>
      <c r="HNF17" s="319"/>
      <c r="HNG17" s="319"/>
      <c r="HNH17" s="319"/>
      <c r="HNI17" s="319"/>
      <c r="HNJ17" s="319"/>
      <c r="HNK17" s="319"/>
      <c r="HNL17" s="319"/>
      <c r="HNM17" s="319"/>
      <c r="HNN17" s="319"/>
      <c r="HNO17" s="319"/>
      <c r="HNP17" s="319"/>
      <c r="HNQ17" s="319"/>
      <c r="HNR17" s="319"/>
      <c r="HNS17" s="319"/>
      <c r="HNT17" s="319"/>
      <c r="HNU17" s="319"/>
      <c r="HNV17" s="319"/>
      <c r="HNW17" s="319"/>
      <c r="HNX17" s="319"/>
      <c r="HNY17" s="319"/>
      <c r="HNZ17" s="319"/>
      <c r="HOA17" s="319"/>
      <c r="HOB17" s="319"/>
      <c r="HOC17" s="319"/>
      <c r="HOD17" s="319"/>
      <c r="HOE17" s="319"/>
      <c r="HOF17" s="319"/>
      <c r="HOG17" s="319"/>
      <c r="HOH17" s="319"/>
      <c r="HOI17" s="319"/>
      <c r="HOJ17" s="319"/>
      <c r="HOK17" s="319"/>
      <c r="HOL17" s="319"/>
      <c r="HOM17" s="319"/>
      <c r="HON17" s="319"/>
      <c r="HOO17" s="319"/>
      <c r="HOP17" s="319"/>
      <c r="HOQ17" s="319"/>
      <c r="HOR17" s="319"/>
      <c r="HOS17" s="319"/>
      <c r="HOT17" s="319"/>
      <c r="HOU17" s="319"/>
      <c r="HOV17" s="319"/>
      <c r="HOW17" s="319"/>
      <c r="HOX17" s="319"/>
      <c r="HOY17" s="319"/>
      <c r="HOZ17" s="319"/>
      <c r="HPA17" s="319"/>
      <c r="HPB17" s="319"/>
      <c r="HPC17" s="319"/>
      <c r="HPD17" s="319"/>
      <c r="HPE17" s="319"/>
      <c r="HPF17" s="319"/>
      <c r="HPG17" s="319"/>
      <c r="HPH17" s="319"/>
      <c r="HPI17" s="319"/>
      <c r="HPJ17" s="319"/>
      <c r="HPK17" s="319"/>
      <c r="HPL17" s="319"/>
      <c r="HPM17" s="319"/>
      <c r="HPN17" s="319"/>
      <c r="HPO17" s="319"/>
      <c r="HPP17" s="319"/>
      <c r="HPQ17" s="319"/>
      <c r="HPR17" s="319"/>
      <c r="HPS17" s="319"/>
      <c r="HPT17" s="319"/>
      <c r="HPU17" s="319"/>
      <c r="HPV17" s="319"/>
      <c r="HPW17" s="319"/>
      <c r="HPX17" s="319"/>
      <c r="HPY17" s="319"/>
      <c r="HPZ17" s="319"/>
      <c r="HQA17" s="319"/>
      <c r="HQB17" s="319"/>
      <c r="HQC17" s="319"/>
      <c r="HQD17" s="319"/>
      <c r="HQE17" s="319"/>
      <c r="HQF17" s="319"/>
      <c r="HQG17" s="319"/>
      <c r="HQH17" s="319"/>
      <c r="HQI17" s="319"/>
      <c r="HQJ17" s="319"/>
      <c r="HQK17" s="319"/>
      <c r="HQL17" s="319"/>
      <c r="HQM17" s="319"/>
      <c r="HQN17" s="319"/>
      <c r="HQO17" s="319"/>
      <c r="HQP17" s="319"/>
      <c r="HQQ17" s="319"/>
      <c r="HQR17" s="319"/>
      <c r="HQS17" s="319"/>
      <c r="HQT17" s="319"/>
      <c r="HQU17" s="319"/>
      <c r="HQV17" s="319"/>
      <c r="HQW17" s="319"/>
      <c r="HQX17" s="319"/>
      <c r="HQY17" s="319"/>
      <c r="HQZ17" s="319"/>
      <c r="HRA17" s="319"/>
      <c r="HRB17" s="319"/>
      <c r="HRC17" s="319"/>
      <c r="HRD17" s="319"/>
      <c r="HRE17" s="319"/>
      <c r="HRF17" s="319"/>
      <c r="HRG17" s="319"/>
      <c r="HRH17" s="319"/>
      <c r="HRI17" s="319"/>
      <c r="HRJ17" s="319"/>
      <c r="HRK17" s="319"/>
      <c r="HRL17" s="319"/>
      <c r="HRM17" s="319"/>
      <c r="HRN17" s="319"/>
      <c r="HRO17" s="319"/>
      <c r="HRP17" s="319"/>
      <c r="HRQ17" s="319"/>
      <c r="HRR17" s="319"/>
      <c r="HRS17" s="319"/>
      <c r="HRT17" s="319"/>
      <c r="HRU17" s="319"/>
      <c r="HRV17" s="319"/>
      <c r="HRW17" s="319"/>
      <c r="HRX17" s="319"/>
      <c r="HRY17" s="319"/>
      <c r="HRZ17" s="319"/>
      <c r="HSA17" s="319"/>
      <c r="HSB17" s="319"/>
      <c r="HSC17" s="319"/>
      <c r="HSD17" s="319"/>
      <c r="HSE17" s="319"/>
      <c r="HSF17" s="319"/>
      <c r="HSG17" s="319"/>
      <c r="HSH17" s="319"/>
      <c r="HSI17" s="319"/>
      <c r="HSJ17" s="319"/>
      <c r="HSK17" s="319"/>
      <c r="HSL17" s="319"/>
      <c r="HSM17" s="319"/>
      <c r="HSN17" s="319"/>
      <c r="HSO17" s="319"/>
      <c r="HSP17" s="319"/>
      <c r="HSQ17" s="319"/>
      <c r="HSR17" s="319"/>
      <c r="HSS17" s="319"/>
      <c r="HST17" s="319"/>
      <c r="HSU17" s="319"/>
      <c r="HSV17" s="319"/>
      <c r="HSW17" s="319"/>
      <c r="HSX17" s="319"/>
      <c r="HSY17" s="319"/>
      <c r="HSZ17" s="319"/>
      <c r="HTA17" s="319"/>
      <c r="HTB17" s="319"/>
      <c r="HTC17" s="319"/>
      <c r="HTD17" s="319"/>
      <c r="HTE17" s="319"/>
      <c r="HTF17" s="319"/>
      <c r="HTG17" s="319"/>
      <c r="HTH17" s="319"/>
      <c r="HTI17" s="319"/>
      <c r="HTJ17" s="319"/>
      <c r="HTK17" s="319"/>
      <c r="HTL17" s="319"/>
      <c r="HTM17" s="319"/>
      <c r="HTN17" s="319"/>
      <c r="HTO17" s="319"/>
      <c r="HTP17" s="319"/>
      <c r="HTQ17" s="319"/>
      <c r="HTR17" s="319"/>
      <c r="HTS17" s="319"/>
      <c r="HTT17" s="319"/>
      <c r="HTU17" s="319"/>
      <c r="HTV17" s="319"/>
      <c r="HTW17" s="319"/>
      <c r="HTX17" s="319"/>
      <c r="HTY17" s="319"/>
      <c r="HTZ17" s="319"/>
      <c r="HUA17" s="319"/>
      <c r="HUB17" s="319"/>
      <c r="HUC17" s="319"/>
      <c r="HUD17" s="319"/>
      <c r="HUE17" s="319"/>
      <c r="HUF17" s="319"/>
      <c r="HUG17" s="319"/>
      <c r="HUH17" s="319"/>
      <c r="HUI17" s="319"/>
      <c r="HUJ17" s="319"/>
      <c r="HUK17" s="319"/>
      <c r="HUL17" s="319"/>
      <c r="HUM17" s="319"/>
      <c r="HUN17" s="319"/>
      <c r="HUO17" s="319"/>
      <c r="HUP17" s="319"/>
      <c r="HUQ17" s="319"/>
      <c r="HUR17" s="319"/>
      <c r="HUS17" s="319"/>
      <c r="HUT17" s="319"/>
      <c r="HUU17" s="319"/>
      <c r="HUV17" s="319"/>
      <c r="HUW17" s="319"/>
      <c r="HUX17" s="319"/>
      <c r="HUY17" s="319"/>
      <c r="HUZ17" s="319"/>
      <c r="HVA17" s="319"/>
      <c r="HVB17" s="319"/>
      <c r="HVC17" s="319"/>
      <c r="HVD17" s="319"/>
      <c r="HVE17" s="319"/>
      <c r="HVF17" s="319"/>
      <c r="HVG17" s="319"/>
      <c r="HVH17" s="319"/>
      <c r="HVI17" s="319"/>
      <c r="HVJ17" s="319"/>
      <c r="HVK17" s="319"/>
      <c r="HVL17" s="319"/>
      <c r="HVM17" s="319"/>
      <c r="HVN17" s="319"/>
      <c r="HVO17" s="319"/>
      <c r="HVP17" s="319"/>
      <c r="HVQ17" s="319"/>
      <c r="HVR17" s="319"/>
      <c r="HVS17" s="319"/>
      <c r="HVT17" s="319"/>
      <c r="HVU17" s="319"/>
      <c r="HVV17" s="319"/>
      <c r="HVW17" s="319"/>
      <c r="HVX17" s="319"/>
      <c r="HVY17" s="319"/>
      <c r="HVZ17" s="319"/>
      <c r="HWA17" s="319"/>
      <c r="HWB17" s="319"/>
      <c r="HWC17" s="319"/>
      <c r="HWD17" s="319"/>
      <c r="HWE17" s="319"/>
      <c r="HWF17" s="319"/>
      <c r="HWG17" s="319"/>
      <c r="HWH17" s="319"/>
      <c r="HWI17" s="319"/>
      <c r="HWJ17" s="319"/>
      <c r="HWK17" s="319"/>
      <c r="HWL17" s="319"/>
      <c r="HWM17" s="319"/>
      <c r="HWN17" s="319"/>
      <c r="HWO17" s="319"/>
      <c r="HWP17" s="319"/>
      <c r="HWQ17" s="319"/>
      <c r="HWR17" s="319"/>
      <c r="HWS17" s="319"/>
      <c r="HWT17" s="319"/>
      <c r="HWU17" s="319"/>
      <c r="HWV17" s="319"/>
      <c r="HWW17" s="319"/>
      <c r="HWX17" s="319"/>
      <c r="HWY17" s="319"/>
      <c r="HWZ17" s="319"/>
      <c r="HXA17" s="319"/>
      <c r="HXB17" s="319"/>
      <c r="HXC17" s="319"/>
      <c r="HXD17" s="319"/>
      <c r="HXE17" s="319"/>
      <c r="HXF17" s="319"/>
      <c r="HXG17" s="319"/>
      <c r="HXH17" s="319"/>
      <c r="HXI17" s="319"/>
      <c r="HXJ17" s="319"/>
      <c r="HXK17" s="319"/>
      <c r="HXL17" s="319"/>
      <c r="HXM17" s="319"/>
      <c r="HXN17" s="319"/>
      <c r="HXO17" s="319"/>
      <c r="HXP17" s="319"/>
      <c r="HXQ17" s="319"/>
      <c r="HXR17" s="319"/>
      <c r="HXS17" s="319"/>
      <c r="HXT17" s="319"/>
      <c r="HXU17" s="319"/>
      <c r="HXV17" s="319"/>
      <c r="HXW17" s="319"/>
      <c r="HXX17" s="319"/>
      <c r="HXY17" s="319"/>
      <c r="HXZ17" s="319"/>
      <c r="HYA17" s="319"/>
      <c r="HYB17" s="319"/>
      <c r="HYC17" s="319"/>
      <c r="HYD17" s="319"/>
      <c r="HYE17" s="319"/>
      <c r="HYF17" s="319"/>
      <c r="HYG17" s="319"/>
      <c r="HYH17" s="319"/>
      <c r="HYI17" s="319"/>
      <c r="HYJ17" s="319"/>
      <c r="HYK17" s="319"/>
      <c r="HYL17" s="319"/>
      <c r="HYM17" s="319"/>
      <c r="HYN17" s="319"/>
      <c r="HYO17" s="319"/>
      <c r="HYP17" s="319"/>
      <c r="HYQ17" s="319"/>
      <c r="HYR17" s="319"/>
      <c r="HYS17" s="319"/>
      <c r="HYT17" s="319"/>
      <c r="HYU17" s="319"/>
      <c r="HYV17" s="319"/>
      <c r="HYW17" s="319"/>
      <c r="HYX17" s="319"/>
      <c r="HYY17" s="319"/>
      <c r="HYZ17" s="319"/>
      <c r="HZA17" s="319"/>
      <c r="HZB17" s="319"/>
      <c r="HZC17" s="319"/>
      <c r="HZD17" s="319"/>
      <c r="HZE17" s="319"/>
      <c r="HZF17" s="319"/>
      <c r="HZG17" s="319"/>
      <c r="HZH17" s="319"/>
      <c r="HZI17" s="319"/>
      <c r="HZJ17" s="319"/>
      <c r="HZK17" s="319"/>
      <c r="HZL17" s="319"/>
      <c r="HZM17" s="319"/>
      <c r="HZN17" s="319"/>
      <c r="HZO17" s="319"/>
      <c r="HZP17" s="319"/>
      <c r="HZQ17" s="319"/>
      <c r="HZR17" s="319"/>
      <c r="HZS17" s="319"/>
      <c r="HZT17" s="319"/>
      <c r="HZU17" s="319"/>
      <c r="HZV17" s="319"/>
      <c r="HZW17" s="319"/>
      <c r="HZX17" s="319"/>
      <c r="HZY17" s="319"/>
      <c r="HZZ17" s="319"/>
      <c r="IAA17" s="319"/>
      <c r="IAB17" s="319"/>
      <c r="IAC17" s="319"/>
      <c r="IAD17" s="319"/>
      <c r="IAE17" s="319"/>
      <c r="IAF17" s="319"/>
      <c r="IAG17" s="319"/>
      <c r="IAH17" s="319"/>
      <c r="IAI17" s="319"/>
      <c r="IAJ17" s="319"/>
      <c r="IAK17" s="319"/>
      <c r="IAL17" s="319"/>
      <c r="IAM17" s="319"/>
      <c r="IAN17" s="319"/>
      <c r="IAO17" s="319"/>
      <c r="IAP17" s="319"/>
      <c r="IAQ17" s="319"/>
      <c r="IAR17" s="319"/>
      <c r="IAS17" s="319"/>
      <c r="IAT17" s="319"/>
      <c r="IAU17" s="319"/>
      <c r="IAV17" s="319"/>
      <c r="IAW17" s="319"/>
      <c r="IAX17" s="319"/>
      <c r="IAY17" s="319"/>
      <c r="IAZ17" s="319"/>
      <c r="IBA17" s="319"/>
      <c r="IBB17" s="319"/>
      <c r="IBC17" s="319"/>
      <c r="IBD17" s="319"/>
      <c r="IBE17" s="319"/>
      <c r="IBF17" s="319"/>
      <c r="IBG17" s="319"/>
      <c r="IBH17" s="319"/>
      <c r="IBI17" s="319"/>
      <c r="IBJ17" s="319"/>
      <c r="IBK17" s="319"/>
      <c r="IBL17" s="319"/>
      <c r="IBM17" s="319"/>
      <c r="IBN17" s="319"/>
      <c r="IBO17" s="319"/>
      <c r="IBP17" s="319"/>
      <c r="IBQ17" s="319"/>
      <c r="IBR17" s="319"/>
      <c r="IBS17" s="319"/>
      <c r="IBT17" s="319"/>
      <c r="IBU17" s="319"/>
      <c r="IBV17" s="319"/>
      <c r="IBW17" s="319"/>
      <c r="IBX17" s="319"/>
      <c r="IBY17" s="319"/>
      <c r="IBZ17" s="319"/>
      <c r="ICA17" s="319"/>
      <c r="ICB17" s="319"/>
      <c r="ICC17" s="319"/>
      <c r="ICD17" s="319"/>
      <c r="ICE17" s="319"/>
      <c r="ICF17" s="319"/>
      <c r="ICG17" s="319"/>
      <c r="ICH17" s="319"/>
      <c r="ICI17" s="319"/>
      <c r="ICJ17" s="319"/>
      <c r="ICK17" s="319"/>
      <c r="ICL17" s="319"/>
      <c r="ICM17" s="319"/>
      <c r="ICN17" s="319"/>
      <c r="ICO17" s="319"/>
      <c r="ICP17" s="319"/>
      <c r="ICQ17" s="319"/>
      <c r="ICR17" s="319"/>
      <c r="ICS17" s="319"/>
      <c r="ICT17" s="319"/>
      <c r="ICU17" s="319"/>
      <c r="ICV17" s="319"/>
      <c r="ICW17" s="319"/>
      <c r="ICX17" s="319"/>
      <c r="ICY17" s="319"/>
      <c r="ICZ17" s="319"/>
      <c r="IDA17" s="319"/>
      <c r="IDB17" s="319"/>
      <c r="IDC17" s="319"/>
      <c r="IDD17" s="319"/>
      <c r="IDE17" s="319"/>
      <c r="IDF17" s="319"/>
      <c r="IDG17" s="319"/>
      <c r="IDH17" s="319"/>
      <c r="IDI17" s="319"/>
      <c r="IDJ17" s="319"/>
      <c r="IDK17" s="319"/>
      <c r="IDL17" s="319"/>
      <c r="IDM17" s="319"/>
      <c r="IDN17" s="319"/>
      <c r="IDO17" s="319"/>
      <c r="IDP17" s="319"/>
      <c r="IDQ17" s="319"/>
      <c r="IDR17" s="319"/>
      <c r="IDS17" s="319"/>
      <c r="IDT17" s="319"/>
      <c r="IDU17" s="319"/>
      <c r="IDV17" s="319"/>
      <c r="IDW17" s="319"/>
      <c r="IDX17" s="319"/>
      <c r="IDY17" s="319"/>
      <c r="IDZ17" s="319"/>
      <c r="IEA17" s="319"/>
      <c r="IEB17" s="319"/>
      <c r="IEC17" s="319"/>
      <c r="IED17" s="319"/>
      <c r="IEE17" s="319"/>
      <c r="IEF17" s="319"/>
      <c r="IEG17" s="319"/>
      <c r="IEH17" s="319"/>
      <c r="IEI17" s="319"/>
      <c r="IEJ17" s="319"/>
      <c r="IEK17" s="319"/>
      <c r="IEL17" s="319"/>
      <c r="IEM17" s="319"/>
      <c r="IEN17" s="319"/>
      <c r="IEO17" s="319"/>
      <c r="IEP17" s="319"/>
      <c r="IEQ17" s="319"/>
      <c r="IER17" s="319"/>
      <c r="IES17" s="319"/>
      <c r="IET17" s="319"/>
      <c r="IEU17" s="319"/>
      <c r="IEV17" s="319"/>
      <c r="IEW17" s="319"/>
      <c r="IEX17" s="319"/>
      <c r="IEY17" s="319"/>
      <c r="IEZ17" s="319"/>
      <c r="IFA17" s="319"/>
      <c r="IFB17" s="319"/>
      <c r="IFC17" s="319"/>
      <c r="IFD17" s="319"/>
      <c r="IFE17" s="319"/>
      <c r="IFF17" s="319"/>
      <c r="IFG17" s="319"/>
      <c r="IFH17" s="319"/>
      <c r="IFI17" s="319"/>
      <c r="IFJ17" s="319"/>
      <c r="IFK17" s="319"/>
      <c r="IFL17" s="319"/>
      <c r="IFM17" s="319"/>
      <c r="IFN17" s="319"/>
      <c r="IFO17" s="319"/>
      <c r="IFP17" s="319"/>
      <c r="IFQ17" s="319"/>
      <c r="IFR17" s="319"/>
      <c r="IFS17" s="319"/>
      <c r="IFT17" s="319"/>
      <c r="IFU17" s="319"/>
      <c r="IFV17" s="319"/>
      <c r="IFW17" s="319"/>
      <c r="IFX17" s="319"/>
      <c r="IFY17" s="319"/>
      <c r="IFZ17" s="319"/>
      <c r="IGA17" s="319"/>
      <c r="IGB17" s="319"/>
      <c r="IGC17" s="319"/>
      <c r="IGD17" s="319"/>
      <c r="IGE17" s="319"/>
      <c r="IGF17" s="319"/>
      <c r="IGG17" s="319"/>
      <c r="IGH17" s="319"/>
      <c r="IGI17" s="319"/>
      <c r="IGJ17" s="319"/>
      <c r="IGK17" s="319"/>
      <c r="IGL17" s="319"/>
      <c r="IGM17" s="319"/>
      <c r="IGN17" s="319"/>
      <c r="IGO17" s="319"/>
      <c r="IGP17" s="319"/>
      <c r="IGQ17" s="319"/>
      <c r="IGR17" s="319"/>
      <c r="IGS17" s="319"/>
      <c r="IGT17" s="319"/>
      <c r="IGU17" s="319"/>
      <c r="IGV17" s="319"/>
      <c r="IGW17" s="319"/>
      <c r="IGX17" s="319"/>
      <c r="IGY17" s="319"/>
      <c r="IGZ17" s="319"/>
      <c r="IHA17" s="319"/>
      <c r="IHB17" s="319"/>
      <c r="IHC17" s="319"/>
      <c r="IHD17" s="319"/>
      <c r="IHE17" s="319"/>
      <c r="IHF17" s="319"/>
      <c r="IHG17" s="319"/>
      <c r="IHH17" s="319"/>
      <c r="IHI17" s="319"/>
      <c r="IHJ17" s="319"/>
      <c r="IHK17" s="319"/>
      <c r="IHL17" s="319"/>
      <c r="IHM17" s="319"/>
      <c r="IHN17" s="319"/>
      <c r="IHO17" s="319"/>
      <c r="IHP17" s="319"/>
      <c r="IHQ17" s="319"/>
      <c r="IHR17" s="319"/>
      <c r="IHS17" s="319"/>
      <c r="IHT17" s="319"/>
      <c r="IHU17" s="319"/>
      <c r="IHV17" s="319"/>
      <c r="IHW17" s="319"/>
      <c r="IHX17" s="319"/>
      <c r="IHY17" s="319"/>
      <c r="IHZ17" s="319"/>
      <c r="IIA17" s="319"/>
      <c r="IIB17" s="319"/>
      <c r="IIC17" s="319"/>
      <c r="IID17" s="319"/>
      <c r="IIE17" s="319"/>
      <c r="IIF17" s="319"/>
      <c r="IIG17" s="319"/>
      <c r="IIH17" s="319"/>
      <c r="III17" s="319"/>
      <c r="IIJ17" s="319"/>
      <c r="IIK17" s="319"/>
      <c r="IIL17" s="319"/>
      <c r="IIM17" s="319"/>
      <c r="IIN17" s="319"/>
      <c r="IIO17" s="319"/>
      <c r="IIP17" s="319"/>
      <c r="IIQ17" s="319"/>
      <c r="IIR17" s="319"/>
      <c r="IIS17" s="319"/>
      <c r="IIT17" s="319"/>
      <c r="IIU17" s="319"/>
      <c r="IIV17" s="319"/>
      <c r="IIW17" s="319"/>
      <c r="IIX17" s="319"/>
      <c r="IIY17" s="319"/>
      <c r="IIZ17" s="319"/>
      <c r="IJA17" s="319"/>
      <c r="IJB17" s="319"/>
      <c r="IJC17" s="319"/>
      <c r="IJD17" s="319"/>
      <c r="IJE17" s="319"/>
      <c r="IJF17" s="319"/>
      <c r="IJG17" s="319"/>
      <c r="IJH17" s="319"/>
      <c r="IJI17" s="319"/>
      <c r="IJJ17" s="319"/>
      <c r="IJK17" s="319"/>
      <c r="IJL17" s="319"/>
      <c r="IJM17" s="319"/>
      <c r="IJN17" s="319"/>
      <c r="IJO17" s="319"/>
      <c r="IJP17" s="319"/>
      <c r="IJQ17" s="319"/>
      <c r="IJR17" s="319"/>
      <c r="IJS17" s="319"/>
      <c r="IJT17" s="319"/>
      <c r="IJU17" s="319"/>
      <c r="IJV17" s="319"/>
      <c r="IJW17" s="319"/>
      <c r="IJX17" s="319"/>
      <c r="IJY17" s="319"/>
      <c r="IJZ17" s="319"/>
      <c r="IKA17" s="319"/>
      <c r="IKB17" s="319"/>
      <c r="IKC17" s="319"/>
      <c r="IKD17" s="319"/>
      <c r="IKE17" s="319"/>
      <c r="IKF17" s="319"/>
      <c r="IKG17" s="319"/>
      <c r="IKH17" s="319"/>
      <c r="IKI17" s="319"/>
      <c r="IKJ17" s="319"/>
      <c r="IKK17" s="319"/>
      <c r="IKL17" s="319"/>
      <c r="IKM17" s="319"/>
      <c r="IKN17" s="319"/>
      <c r="IKO17" s="319"/>
      <c r="IKP17" s="319"/>
      <c r="IKQ17" s="319"/>
      <c r="IKR17" s="319"/>
      <c r="IKS17" s="319"/>
      <c r="IKT17" s="319"/>
      <c r="IKU17" s="319"/>
      <c r="IKV17" s="319"/>
      <c r="IKW17" s="319"/>
      <c r="IKX17" s="319"/>
      <c r="IKY17" s="319"/>
      <c r="IKZ17" s="319"/>
      <c r="ILA17" s="319"/>
      <c r="ILB17" s="319"/>
      <c r="ILC17" s="319"/>
      <c r="ILD17" s="319"/>
      <c r="ILE17" s="319"/>
      <c r="ILF17" s="319"/>
      <c r="ILG17" s="319"/>
      <c r="ILH17" s="319"/>
      <c r="ILI17" s="319"/>
      <c r="ILJ17" s="319"/>
      <c r="ILK17" s="319"/>
      <c r="ILL17" s="319"/>
      <c r="ILM17" s="319"/>
      <c r="ILN17" s="319"/>
      <c r="ILO17" s="319"/>
      <c r="ILP17" s="319"/>
      <c r="ILQ17" s="319"/>
      <c r="ILR17" s="319"/>
      <c r="ILS17" s="319"/>
      <c r="ILT17" s="319"/>
      <c r="ILU17" s="319"/>
      <c r="ILV17" s="319"/>
      <c r="ILW17" s="319"/>
      <c r="ILX17" s="319"/>
      <c r="ILY17" s="319"/>
      <c r="ILZ17" s="319"/>
      <c r="IMA17" s="319"/>
      <c r="IMB17" s="319"/>
      <c r="IMC17" s="319"/>
      <c r="IMD17" s="319"/>
      <c r="IME17" s="319"/>
      <c r="IMF17" s="319"/>
      <c r="IMG17" s="319"/>
      <c r="IMH17" s="319"/>
      <c r="IMI17" s="319"/>
      <c r="IMJ17" s="319"/>
      <c r="IMK17" s="319"/>
      <c r="IML17" s="319"/>
      <c r="IMM17" s="319"/>
      <c r="IMN17" s="319"/>
      <c r="IMO17" s="319"/>
      <c r="IMP17" s="319"/>
      <c r="IMQ17" s="319"/>
      <c r="IMR17" s="319"/>
      <c r="IMS17" s="319"/>
      <c r="IMT17" s="319"/>
      <c r="IMU17" s="319"/>
      <c r="IMV17" s="319"/>
      <c r="IMW17" s="319"/>
      <c r="IMX17" s="319"/>
      <c r="IMY17" s="319"/>
      <c r="IMZ17" s="319"/>
      <c r="INA17" s="319"/>
      <c r="INB17" s="319"/>
      <c r="INC17" s="319"/>
      <c r="IND17" s="319"/>
      <c r="INE17" s="319"/>
      <c r="INF17" s="319"/>
      <c r="ING17" s="319"/>
      <c r="INH17" s="319"/>
      <c r="INI17" s="319"/>
      <c r="INJ17" s="319"/>
      <c r="INK17" s="319"/>
      <c r="INL17" s="319"/>
      <c r="INM17" s="319"/>
      <c r="INN17" s="319"/>
      <c r="INO17" s="319"/>
      <c r="INP17" s="319"/>
      <c r="INQ17" s="319"/>
      <c r="INR17" s="319"/>
      <c r="INS17" s="319"/>
      <c r="INT17" s="319"/>
      <c r="INU17" s="319"/>
      <c r="INV17" s="319"/>
      <c r="INW17" s="319"/>
      <c r="INX17" s="319"/>
      <c r="INY17" s="319"/>
      <c r="INZ17" s="319"/>
      <c r="IOA17" s="319"/>
      <c r="IOB17" s="319"/>
      <c r="IOC17" s="319"/>
      <c r="IOD17" s="319"/>
      <c r="IOE17" s="319"/>
      <c r="IOF17" s="319"/>
      <c r="IOG17" s="319"/>
      <c r="IOH17" s="319"/>
      <c r="IOI17" s="319"/>
      <c r="IOJ17" s="319"/>
      <c r="IOK17" s="319"/>
      <c r="IOL17" s="319"/>
      <c r="IOM17" s="319"/>
      <c r="ION17" s="319"/>
      <c r="IOO17" s="319"/>
      <c r="IOP17" s="319"/>
      <c r="IOQ17" s="319"/>
      <c r="IOR17" s="319"/>
      <c r="IOS17" s="319"/>
      <c r="IOT17" s="319"/>
      <c r="IOU17" s="319"/>
      <c r="IOV17" s="319"/>
      <c r="IOW17" s="319"/>
      <c r="IOX17" s="319"/>
      <c r="IOY17" s="319"/>
      <c r="IOZ17" s="319"/>
      <c r="IPA17" s="319"/>
      <c r="IPB17" s="319"/>
      <c r="IPC17" s="319"/>
      <c r="IPD17" s="319"/>
      <c r="IPE17" s="319"/>
      <c r="IPF17" s="319"/>
      <c r="IPG17" s="319"/>
      <c r="IPH17" s="319"/>
      <c r="IPI17" s="319"/>
      <c r="IPJ17" s="319"/>
      <c r="IPK17" s="319"/>
      <c r="IPL17" s="319"/>
      <c r="IPM17" s="319"/>
      <c r="IPN17" s="319"/>
      <c r="IPO17" s="319"/>
      <c r="IPP17" s="319"/>
      <c r="IPQ17" s="319"/>
      <c r="IPR17" s="319"/>
      <c r="IPS17" s="319"/>
      <c r="IPT17" s="319"/>
      <c r="IPU17" s="319"/>
      <c r="IPV17" s="319"/>
      <c r="IPW17" s="319"/>
      <c r="IPX17" s="319"/>
      <c r="IPY17" s="319"/>
      <c r="IPZ17" s="319"/>
      <c r="IQA17" s="319"/>
      <c r="IQB17" s="319"/>
      <c r="IQC17" s="319"/>
      <c r="IQD17" s="319"/>
      <c r="IQE17" s="319"/>
      <c r="IQF17" s="319"/>
      <c r="IQG17" s="319"/>
      <c r="IQH17" s="319"/>
      <c r="IQI17" s="319"/>
      <c r="IQJ17" s="319"/>
      <c r="IQK17" s="319"/>
      <c r="IQL17" s="319"/>
      <c r="IQM17" s="319"/>
      <c r="IQN17" s="319"/>
      <c r="IQO17" s="319"/>
      <c r="IQP17" s="319"/>
      <c r="IQQ17" s="319"/>
      <c r="IQR17" s="319"/>
      <c r="IQS17" s="319"/>
      <c r="IQT17" s="319"/>
      <c r="IQU17" s="319"/>
      <c r="IQV17" s="319"/>
      <c r="IQW17" s="319"/>
      <c r="IQX17" s="319"/>
      <c r="IQY17" s="319"/>
      <c r="IQZ17" s="319"/>
      <c r="IRA17" s="319"/>
      <c r="IRB17" s="319"/>
      <c r="IRC17" s="319"/>
      <c r="IRD17" s="319"/>
      <c r="IRE17" s="319"/>
      <c r="IRF17" s="319"/>
      <c r="IRG17" s="319"/>
      <c r="IRH17" s="319"/>
      <c r="IRI17" s="319"/>
      <c r="IRJ17" s="319"/>
      <c r="IRK17" s="319"/>
      <c r="IRL17" s="319"/>
      <c r="IRM17" s="319"/>
      <c r="IRN17" s="319"/>
      <c r="IRO17" s="319"/>
      <c r="IRP17" s="319"/>
      <c r="IRQ17" s="319"/>
      <c r="IRR17" s="319"/>
      <c r="IRS17" s="319"/>
      <c r="IRT17" s="319"/>
      <c r="IRU17" s="319"/>
      <c r="IRV17" s="319"/>
      <c r="IRW17" s="319"/>
      <c r="IRX17" s="319"/>
      <c r="IRY17" s="319"/>
      <c r="IRZ17" s="319"/>
      <c r="ISA17" s="319"/>
      <c r="ISB17" s="319"/>
      <c r="ISC17" s="319"/>
      <c r="ISD17" s="319"/>
      <c r="ISE17" s="319"/>
      <c r="ISF17" s="319"/>
      <c r="ISG17" s="319"/>
      <c r="ISH17" s="319"/>
      <c r="ISI17" s="319"/>
      <c r="ISJ17" s="319"/>
      <c r="ISK17" s="319"/>
      <c r="ISL17" s="319"/>
      <c r="ISM17" s="319"/>
      <c r="ISN17" s="319"/>
      <c r="ISO17" s="319"/>
      <c r="ISP17" s="319"/>
      <c r="ISQ17" s="319"/>
      <c r="ISR17" s="319"/>
      <c r="ISS17" s="319"/>
      <c r="IST17" s="319"/>
      <c r="ISU17" s="319"/>
      <c r="ISV17" s="319"/>
      <c r="ISW17" s="319"/>
      <c r="ISX17" s="319"/>
      <c r="ISY17" s="319"/>
      <c r="ISZ17" s="319"/>
      <c r="ITA17" s="319"/>
      <c r="ITB17" s="319"/>
      <c r="ITC17" s="319"/>
      <c r="ITD17" s="319"/>
      <c r="ITE17" s="319"/>
      <c r="ITF17" s="319"/>
      <c r="ITG17" s="319"/>
      <c r="ITH17" s="319"/>
      <c r="ITI17" s="319"/>
      <c r="ITJ17" s="319"/>
      <c r="ITK17" s="319"/>
      <c r="ITL17" s="319"/>
      <c r="ITM17" s="319"/>
      <c r="ITN17" s="319"/>
      <c r="ITO17" s="319"/>
      <c r="ITP17" s="319"/>
      <c r="ITQ17" s="319"/>
      <c r="ITR17" s="319"/>
      <c r="ITS17" s="319"/>
      <c r="ITT17" s="319"/>
      <c r="ITU17" s="319"/>
      <c r="ITV17" s="319"/>
      <c r="ITW17" s="319"/>
      <c r="ITX17" s="319"/>
      <c r="ITY17" s="319"/>
      <c r="ITZ17" s="319"/>
      <c r="IUA17" s="319"/>
      <c r="IUB17" s="319"/>
      <c r="IUC17" s="319"/>
      <c r="IUD17" s="319"/>
      <c r="IUE17" s="319"/>
      <c r="IUF17" s="319"/>
      <c r="IUG17" s="319"/>
      <c r="IUH17" s="319"/>
      <c r="IUI17" s="319"/>
      <c r="IUJ17" s="319"/>
      <c r="IUK17" s="319"/>
      <c r="IUL17" s="319"/>
      <c r="IUM17" s="319"/>
      <c r="IUN17" s="319"/>
      <c r="IUO17" s="319"/>
      <c r="IUP17" s="319"/>
      <c r="IUQ17" s="319"/>
      <c r="IUR17" s="319"/>
      <c r="IUS17" s="319"/>
      <c r="IUT17" s="319"/>
      <c r="IUU17" s="319"/>
      <c r="IUV17" s="319"/>
      <c r="IUW17" s="319"/>
      <c r="IUX17" s="319"/>
      <c r="IUY17" s="319"/>
      <c r="IUZ17" s="319"/>
      <c r="IVA17" s="319"/>
      <c r="IVB17" s="319"/>
      <c r="IVC17" s="319"/>
      <c r="IVD17" s="319"/>
      <c r="IVE17" s="319"/>
      <c r="IVF17" s="319"/>
      <c r="IVG17" s="319"/>
      <c r="IVH17" s="319"/>
      <c r="IVI17" s="319"/>
      <c r="IVJ17" s="319"/>
      <c r="IVK17" s="319"/>
      <c r="IVL17" s="319"/>
      <c r="IVM17" s="319"/>
      <c r="IVN17" s="319"/>
      <c r="IVO17" s="319"/>
      <c r="IVP17" s="319"/>
      <c r="IVQ17" s="319"/>
      <c r="IVR17" s="319"/>
      <c r="IVS17" s="319"/>
      <c r="IVT17" s="319"/>
      <c r="IVU17" s="319"/>
      <c r="IVV17" s="319"/>
      <c r="IVW17" s="319"/>
      <c r="IVX17" s="319"/>
      <c r="IVY17" s="319"/>
      <c r="IVZ17" s="319"/>
      <c r="IWA17" s="319"/>
      <c r="IWB17" s="319"/>
      <c r="IWC17" s="319"/>
      <c r="IWD17" s="319"/>
      <c r="IWE17" s="319"/>
      <c r="IWF17" s="319"/>
      <c r="IWG17" s="319"/>
      <c r="IWH17" s="319"/>
      <c r="IWI17" s="319"/>
      <c r="IWJ17" s="319"/>
      <c r="IWK17" s="319"/>
      <c r="IWL17" s="319"/>
      <c r="IWM17" s="319"/>
      <c r="IWN17" s="319"/>
      <c r="IWO17" s="319"/>
      <c r="IWP17" s="319"/>
      <c r="IWQ17" s="319"/>
      <c r="IWR17" s="319"/>
      <c r="IWS17" s="319"/>
      <c r="IWT17" s="319"/>
      <c r="IWU17" s="319"/>
      <c r="IWV17" s="319"/>
      <c r="IWW17" s="319"/>
      <c r="IWX17" s="319"/>
      <c r="IWY17" s="319"/>
      <c r="IWZ17" s="319"/>
      <c r="IXA17" s="319"/>
      <c r="IXB17" s="319"/>
      <c r="IXC17" s="319"/>
      <c r="IXD17" s="319"/>
      <c r="IXE17" s="319"/>
      <c r="IXF17" s="319"/>
      <c r="IXG17" s="319"/>
      <c r="IXH17" s="319"/>
      <c r="IXI17" s="319"/>
      <c r="IXJ17" s="319"/>
      <c r="IXK17" s="319"/>
      <c r="IXL17" s="319"/>
      <c r="IXM17" s="319"/>
      <c r="IXN17" s="319"/>
      <c r="IXO17" s="319"/>
      <c r="IXP17" s="319"/>
      <c r="IXQ17" s="319"/>
      <c r="IXR17" s="319"/>
      <c r="IXS17" s="319"/>
      <c r="IXT17" s="319"/>
      <c r="IXU17" s="319"/>
      <c r="IXV17" s="319"/>
      <c r="IXW17" s="319"/>
      <c r="IXX17" s="319"/>
      <c r="IXY17" s="319"/>
      <c r="IXZ17" s="319"/>
      <c r="IYA17" s="319"/>
      <c r="IYB17" s="319"/>
      <c r="IYC17" s="319"/>
      <c r="IYD17" s="319"/>
      <c r="IYE17" s="319"/>
      <c r="IYF17" s="319"/>
      <c r="IYG17" s="319"/>
      <c r="IYH17" s="319"/>
      <c r="IYI17" s="319"/>
      <c r="IYJ17" s="319"/>
      <c r="IYK17" s="319"/>
      <c r="IYL17" s="319"/>
      <c r="IYM17" s="319"/>
      <c r="IYN17" s="319"/>
      <c r="IYO17" s="319"/>
      <c r="IYP17" s="319"/>
      <c r="IYQ17" s="319"/>
      <c r="IYR17" s="319"/>
      <c r="IYS17" s="319"/>
      <c r="IYT17" s="319"/>
      <c r="IYU17" s="319"/>
      <c r="IYV17" s="319"/>
      <c r="IYW17" s="319"/>
      <c r="IYX17" s="319"/>
      <c r="IYY17" s="319"/>
      <c r="IYZ17" s="319"/>
      <c r="IZA17" s="319"/>
      <c r="IZB17" s="319"/>
      <c r="IZC17" s="319"/>
      <c r="IZD17" s="319"/>
      <c r="IZE17" s="319"/>
      <c r="IZF17" s="319"/>
      <c r="IZG17" s="319"/>
      <c r="IZH17" s="319"/>
      <c r="IZI17" s="319"/>
      <c r="IZJ17" s="319"/>
      <c r="IZK17" s="319"/>
      <c r="IZL17" s="319"/>
      <c r="IZM17" s="319"/>
      <c r="IZN17" s="319"/>
      <c r="IZO17" s="319"/>
      <c r="IZP17" s="319"/>
      <c r="IZQ17" s="319"/>
      <c r="IZR17" s="319"/>
      <c r="IZS17" s="319"/>
      <c r="IZT17" s="319"/>
      <c r="IZU17" s="319"/>
      <c r="IZV17" s="319"/>
      <c r="IZW17" s="319"/>
      <c r="IZX17" s="319"/>
      <c r="IZY17" s="319"/>
      <c r="IZZ17" s="319"/>
      <c r="JAA17" s="319"/>
      <c r="JAB17" s="319"/>
      <c r="JAC17" s="319"/>
      <c r="JAD17" s="319"/>
      <c r="JAE17" s="319"/>
      <c r="JAF17" s="319"/>
      <c r="JAG17" s="319"/>
      <c r="JAH17" s="319"/>
      <c r="JAI17" s="319"/>
      <c r="JAJ17" s="319"/>
      <c r="JAK17" s="319"/>
      <c r="JAL17" s="319"/>
      <c r="JAM17" s="319"/>
      <c r="JAN17" s="319"/>
      <c r="JAO17" s="319"/>
      <c r="JAP17" s="319"/>
      <c r="JAQ17" s="319"/>
      <c r="JAR17" s="319"/>
      <c r="JAS17" s="319"/>
      <c r="JAT17" s="319"/>
      <c r="JAU17" s="319"/>
      <c r="JAV17" s="319"/>
      <c r="JAW17" s="319"/>
      <c r="JAX17" s="319"/>
      <c r="JAY17" s="319"/>
      <c r="JAZ17" s="319"/>
      <c r="JBA17" s="319"/>
      <c r="JBB17" s="319"/>
      <c r="JBC17" s="319"/>
      <c r="JBD17" s="319"/>
      <c r="JBE17" s="319"/>
      <c r="JBF17" s="319"/>
      <c r="JBG17" s="319"/>
      <c r="JBH17" s="319"/>
      <c r="JBI17" s="319"/>
      <c r="JBJ17" s="319"/>
      <c r="JBK17" s="319"/>
      <c r="JBL17" s="319"/>
      <c r="JBM17" s="319"/>
      <c r="JBN17" s="319"/>
      <c r="JBO17" s="319"/>
      <c r="JBP17" s="319"/>
      <c r="JBQ17" s="319"/>
      <c r="JBR17" s="319"/>
      <c r="JBS17" s="319"/>
      <c r="JBT17" s="319"/>
      <c r="JBU17" s="319"/>
      <c r="JBV17" s="319"/>
      <c r="JBW17" s="319"/>
      <c r="JBX17" s="319"/>
      <c r="JBY17" s="319"/>
      <c r="JBZ17" s="319"/>
      <c r="JCA17" s="319"/>
      <c r="JCB17" s="319"/>
      <c r="JCC17" s="319"/>
      <c r="JCD17" s="319"/>
      <c r="JCE17" s="319"/>
      <c r="JCF17" s="319"/>
      <c r="JCG17" s="319"/>
      <c r="JCH17" s="319"/>
      <c r="JCI17" s="319"/>
      <c r="JCJ17" s="319"/>
      <c r="JCK17" s="319"/>
      <c r="JCL17" s="319"/>
      <c r="JCM17" s="319"/>
      <c r="JCN17" s="319"/>
      <c r="JCO17" s="319"/>
      <c r="JCP17" s="319"/>
      <c r="JCQ17" s="319"/>
      <c r="JCR17" s="319"/>
      <c r="JCS17" s="319"/>
      <c r="JCT17" s="319"/>
      <c r="JCU17" s="319"/>
      <c r="JCV17" s="319"/>
      <c r="JCW17" s="319"/>
      <c r="JCX17" s="319"/>
      <c r="JCY17" s="319"/>
      <c r="JCZ17" s="319"/>
      <c r="JDA17" s="319"/>
      <c r="JDB17" s="319"/>
      <c r="JDC17" s="319"/>
      <c r="JDD17" s="319"/>
      <c r="JDE17" s="319"/>
      <c r="JDF17" s="319"/>
      <c r="JDG17" s="319"/>
      <c r="JDH17" s="319"/>
      <c r="JDI17" s="319"/>
      <c r="JDJ17" s="319"/>
      <c r="JDK17" s="319"/>
      <c r="JDL17" s="319"/>
      <c r="JDM17" s="319"/>
      <c r="JDN17" s="319"/>
      <c r="JDO17" s="319"/>
      <c r="JDP17" s="319"/>
      <c r="JDQ17" s="319"/>
      <c r="JDR17" s="319"/>
      <c r="JDS17" s="319"/>
      <c r="JDT17" s="319"/>
      <c r="JDU17" s="319"/>
      <c r="JDV17" s="319"/>
      <c r="JDW17" s="319"/>
      <c r="JDX17" s="319"/>
      <c r="JDY17" s="319"/>
      <c r="JDZ17" s="319"/>
      <c r="JEA17" s="319"/>
      <c r="JEB17" s="319"/>
      <c r="JEC17" s="319"/>
      <c r="JED17" s="319"/>
      <c r="JEE17" s="319"/>
      <c r="JEF17" s="319"/>
      <c r="JEG17" s="319"/>
      <c r="JEH17" s="319"/>
      <c r="JEI17" s="319"/>
      <c r="JEJ17" s="319"/>
      <c r="JEK17" s="319"/>
      <c r="JEL17" s="319"/>
      <c r="JEM17" s="319"/>
      <c r="JEN17" s="319"/>
      <c r="JEO17" s="319"/>
      <c r="JEP17" s="319"/>
      <c r="JEQ17" s="319"/>
      <c r="JER17" s="319"/>
      <c r="JES17" s="319"/>
      <c r="JET17" s="319"/>
      <c r="JEU17" s="319"/>
      <c r="JEV17" s="319"/>
      <c r="JEW17" s="319"/>
      <c r="JEX17" s="319"/>
      <c r="JEY17" s="319"/>
      <c r="JEZ17" s="319"/>
      <c r="JFA17" s="319"/>
      <c r="JFB17" s="319"/>
      <c r="JFC17" s="319"/>
      <c r="JFD17" s="319"/>
      <c r="JFE17" s="319"/>
      <c r="JFF17" s="319"/>
      <c r="JFG17" s="319"/>
      <c r="JFH17" s="319"/>
      <c r="JFI17" s="319"/>
      <c r="JFJ17" s="319"/>
      <c r="JFK17" s="319"/>
      <c r="JFL17" s="319"/>
      <c r="JFM17" s="319"/>
      <c r="JFN17" s="319"/>
      <c r="JFO17" s="319"/>
      <c r="JFP17" s="319"/>
      <c r="JFQ17" s="319"/>
      <c r="JFR17" s="319"/>
      <c r="JFS17" s="319"/>
      <c r="JFT17" s="319"/>
      <c r="JFU17" s="319"/>
      <c r="JFV17" s="319"/>
      <c r="JFW17" s="319"/>
      <c r="JFX17" s="319"/>
      <c r="JFY17" s="319"/>
      <c r="JFZ17" s="319"/>
      <c r="JGA17" s="319"/>
      <c r="JGB17" s="319"/>
      <c r="JGC17" s="319"/>
      <c r="JGD17" s="319"/>
      <c r="JGE17" s="319"/>
      <c r="JGF17" s="319"/>
      <c r="JGG17" s="319"/>
      <c r="JGH17" s="319"/>
      <c r="JGI17" s="319"/>
      <c r="JGJ17" s="319"/>
      <c r="JGK17" s="319"/>
      <c r="JGL17" s="319"/>
      <c r="JGM17" s="319"/>
      <c r="JGN17" s="319"/>
      <c r="JGO17" s="319"/>
      <c r="JGP17" s="319"/>
      <c r="JGQ17" s="319"/>
      <c r="JGR17" s="319"/>
      <c r="JGS17" s="319"/>
      <c r="JGT17" s="319"/>
      <c r="JGU17" s="319"/>
      <c r="JGV17" s="319"/>
      <c r="JGW17" s="319"/>
      <c r="JGX17" s="319"/>
      <c r="JGY17" s="319"/>
      <c r="JGZ17" s="319"/>
      <c r="JHA17" s="319"/>
      <c r="JHB17" s="319"/>
      <c r="JHC17" s="319"/>
      <c r="JHD17" s="319"/>
      <c r="JHE17" s="319"/>
      <c r="JHF17" s="319"/>
      <c r="JHG17" s="319"/>
      <c r="JHH17" s="319"/>
      <c r="JHI17" s="319"/>
      <c r="JHJ17" s="319"/>
      <c r="JHK17" s="319"/>
      <c r="JHL17" s="319"/>
      <c r="JHM17" s="319"/>
      <c r="JHN17" s="319"/>
      <c r="JHO17" s="319"/>
      <c r="JHP17" s="319"/>
      <c r="JHQ17" s="319"/>
      <c r="JHR17" s="319"/>
      <c r="JHS17" s="319"/>
      <c r="JHT17" s="319"/>
      <c r="JHU17" s="319"/>
      <c r="JHV17" s="319"/>
      <c r="JHW17" s="319"/>
      <c r="JHX17" s="319"/>
      <c r="JHY17" s="319"/>
      <c r="JHZ17" s="319"/>
      <c r="JIA17" s="319"/>
      <c r="JIB17" s="319"/>
      <c r="JIC17" s="319"/>
      <c r="JID17" s="319"/>
      <c r="JIE17" s="319"/>
      <c r="JIF17" s="319"/>
      <c r="JIG17" s="319"/>
      <c r="JIH17" s="319"/>
      <c r="JII17" s="319"/>
      <c r="JIJ17" s="319"/>
      <c r="JIK17" s="319"/>
      <c r="JIL17" s="319"/>
      <c r="JIM17" s="319"/>
      <c r="JIN17" s="319"/>
      <c r="JIO17" s="319"/>
      <c r="JIP17" s="319"/>
      <c r="JIQ17" s="319"/>
      <c r="JIR17" s="319"/>
      <c r="JIS17" s="319"/>
      <c r="JIT17" s="319"/>
      <c r="JIU17" s="319"/>
      <c r="JIV17" s="319"/>
      <c r="JIW17" s="319"/>
      <c r="JIX17" s="319"/>
      <c r="JIY17" s="319"/>
      <c r="JIZ17" s="319"/>
      <c r="JJA17" s="319"/>
      <c r="JJB17" s="319"/>
      <c r="JJC17" s="319"/>
      <c r="JJD17" s="319"/>
      <c r="JJE17" s="319"/>
      <c r="JJF17" s="319"/>
      <c r="JJG17" s="319"/>
      <c r="JJH17" s="319"/>
      <c r="JJI17" s="319"/>
      <c r="JJJ17" s="319"/>
      <c r="JJK17" s="319"/>
      <c r="JJL17" s="319"/>
      <c r="JJM17" s="319"/>
      <c r="JJN17" s="319"/>
      <c r="JJO17" s="319"/>
      <c r="JJP17" s="319"/>
      <c r="JJQ17" s="319"/>
      <c r="JJR17" s="319"/>
      <c r="JJS17" s="319"/>
      <c r="JJT17" s="319"/>
      <c r="JJU17" s="319"/>
      <c r="JJV17" s="319"/>
      <c r="JJW17" s="319"/>
      <c r="JJX17" s="319"/>
      <c r="JJY17" s="319"/>
      <c r="JJZ17" s="319"/>
      <c r="JKA17" s="319"/>
      <c r="JKB17" s="319"/>
      <c r="JKC17" s="319"/>
      <c r="JKD17" s="319"/>
      <c r="JKE17" s="319"/>
      <c r="JKF17" s="319"/>
      <c r="JKG17" s="319"/>
      <c r="JKH17" s="319"/>
      <c r="JKI17" s="319"/>
      <c r="JKJ17" s="319"/>
      <c r="JKK17" s="319"/>
      <c r="JKL17" s="319"/>
      <c r="JKM17" s="319"/>
      <c r="JKN17" s="319"/>
      <c r="JKO17" s="319"/>
      <c r="JKP17" s="319"/>
      <c r="JKQ17" s="319"/>
      <c r="JKR17" s="319"/>
      <c r="JKS17" s="319"/>
      <c r="JKT17" s="319"/>
      <c r="JKU17" s="319"/>
      <c r="JKV17" s="319"/>
      <c r="JKW17" s="319"/>
      <c r="JKX17" s="319"/>
      <c r="JKY17" s="319"/>
      <c r="JKZ17" s="319"/>
      <c r="JLA17" s="319"/>
      <c r="JLB17" s="319"/>
      <c r="JLC17" s="319"/>
      <c r="JLD17" s="319"/>
      <c r="JLE17" s="319"/>
      <c r="JLF17" s="319"/>
      <c r="JLG17" s="319"/>
      <c r="JLH17" s="319"/>
      <c r="JLI17" s="319"/>
      <c r="JLJ17" s="319"/>
      <c r="JLK17" s="319"/>
      <c r="JLL17" s="319"/>
      <c r="JLM17" s="319"/>
      <c r="JLN17" s="319"/>
      <c r="JLO17" s="319"/>
      <c r="JLP17" s="319"/>
      <c r="JLQ17" s="319"/>
      <c r="JLR17" s="319"/>
      <c r="JLS17" s="319"/>
      <c r="JLT17" s="319"/>
      <c r="JLU17" s="319"/>
      <c r="JLV17" s="319"/>
      <c r="JLW17" s="319"/>
      <c r="JLX17" s="319"/>
      <c r="JLY17" s="319"/>
      <c r="JLZ17" s="319"/>
      <c r="JMA17" s="319"/>
      <c r="JMB17" s="319"/>
      <c r="JMC17" s="319"/>
      <c r="JMD17" s="319"/>
      <c r="JME17" s="319"/>
      <c r="JMF17" s="319"/>
      <c r="JMG17" s="319"/>
      <c r="JMH17" s="319"/>
      <c r="JMI17" s="319"/>
      <c r="JMJ17" s="319"/>
      <c r="JMK17" s="319"/>
      <c r="JML17" s="319"/>
      <c r="JMM17" s="319"/>
      <c r="JMN17" s="319"/>
      <c r="JMO17" s="319"/>
      <c r="JMP17" s="319"/>
      <c r="JMQ17" s="319"/>
      <c r="JMR17" s="319"/>
      <c r="JMS17" s="319"/>
      <c r="JMT17" s="319"/>
      <c r="JMU17" s="319"/>
      <c r="JMV17" s="319"/>
      <c r="JMW17" s="319"/>
      <c r="JMX17" s="319"/>
      <c r="JMY17" s="319"/>
      <c r="JMZ17" s="319"/>
      <c r="JNA17" s="319"/>
      <c r="JNB17" s="319"/>
      <c r="JNC17" s="319"/>
      <c r="JND17" s="319"/>
      <c r="JNE17" s="319"/>
      <c r="JNF17" s="319"/>
      <c r="JNG17" s="319"/>
      <c r="JNH17" s="319"/>
      <c r="JNI17" s="319"/>
      <c r="JNJ17" s="319"/>
      <c r="JNK17" s="319"/>
      <c r="JNL17" s="319"/>
      <c r="JNM17" s="319"/>
      <c r="JNN17" s="319"/>
      <c r="JNO17" s="319"/>
      <c r="JNP17" s="319"/>
      <c r="JNQ17" s="319"/>
      <c r="JNR17" s="319"/>
      <c r="JNS17" s="319"/>
      <c r="JNT17" s="319"/>
      <c r="JNU17" s="319"/>
      <c r="JNV17" s="319"/>
      <c r="JNW17" s="319"/>
      <c r="JNX17" s="319"/>
      <c r="JNY17" s="319"/>
      <c r="JNZ17" s="319"/>
      <c r="JOA17" s="319"/>
      <c r="JOB17" s="319"/>
      <c r="JOC17" s="319"/>
      <c r="JOD17" s="319"/>
      <c r="JOE17" s="319"/>
      <c r="JOF17" s="319"/>
      <c r="JOG17" s="319"/>
      <c r="JOH17" s="319"/>
      <c r="JOI17" s="319"/>
      <c r="JOJ17" s="319"/>
      <c r="JOK17" s="319"/>
      <c r="JOL17" s="319"/>
      <c r="JOM17" s="319"/>
      <c r="JON17" s="319"/>
      <c r="JOO17" s="319"/>
      <c r="JOP17" s="319"/>
      <c r="JOQ17" s="319"/>
      <c r="JOR17" s="319"/>
      <c r="JOS17" s="319"/>
      <c r="JOT17" s="319"/>
      <c r="JOU17" s="319"/>
      <c r="JOV17" s="319"/>
      <c r="JOW17" s="319"/>
      <c r="JOX17" s="319"/>
      <c r="JOY17" s="319"/>
      <c r="JOZ17" s="319"/>
      <c r="JPA17" s="319"/>
      <c r="JPB17" s="319"/>
      <c r="JPC17" s="319"/>
      <c r="JPD17" s="319"/>
      <c r="JPE17" s="319"/>
      <c r="JPF17" s="319"/>
      <c r="JPG17" s="319"/>
      <c r="JPH17" s="319"/>
      <c r="JPI17" s="319"/>
      <c r="JPJ17" s="319"/>
      <c r="JPK17" s="319"/>
      <c r="JPL17" s="319"/>
      <c r="JPM17" s="319"/>
      <c r="JPN17" s="319"/>
      <c r="JPO17" s="319"/>
      <c r="JPP17" s="319"/>
      <c r="JPQ17" s="319"/>
      <c r="JPR17" s="319"/>
      <c r="JPS17" s="319"/>
      <c r="JPT17" s="319"/>
      <c r="JPU17" s="319"/>
      <c r="JPV17" s="319"/>
      <c r="JPW17" s="319"/>
      <c r="JPX17" s="319"/>
      <c r="JPY17" s="319"/>
      <c r="JPZ17" s="319"/>
      <c r="JQA17" s="319"/>
      <c r="JQB17" s="319"/>
      <c r="JQC17" s="319"/>
      <c r="JQD17" s="319"/>
      <c r="JQE17" s="319"/>
      <c r="JQF17" s="319"/>
      <c r="JQG17" s="319"/>
      <c r="JQH17" s="319"/>
      <c r="JQI17" s="319"/>
      <c r="JQJ17" s="319"/>
      <c r="JQK17" s="319"/>
      <c r="JQL17" s="319"/>
      <c r="JQM17" s="319"/>
      <c r="JQN17" s="319"/>
      <c r="JQO17" s="319"/>
      <c r="JQP17" s="319"/>
      <c r="JQQ17" s="319"/>
      <c r="JQR17" s="319"/>
      <c r="JQS17" s="319"/>
      <c r="JQT17" s="319"/>
      <c r="JQU17" s="319"/>
      <c r="JQV17" s="319"/>
      <c r="JQW17" s="319"/>
      <c r="JQX17" s="319"/>
      <c r="JQY17" s="319"/>
      <c r="JQZ17" s="319"/>
      <c r="JRA17" s="319"/>
      <c r="JRB17" s="319"/>
      <c r="JRC17" s="319"/>
      <c r="JRD17" s="319"/>
      <c r="JRE17" s="319"/>
      <c r="JRF17" s="319"/>
      <c r="JRG17" s="319"/>
      <c r="JRH17" s="319"/>
      <c r="JRI17" s="319"/>
      <c r="JRJ17" s="319"/>
      <c r="JRK17" s="319"/>
      <c r="JRL17" s="319"/>
      <c r="JRM17" s="319"/>
      <c r="JRN17" s="319"/>
      <c r="JRO17" s="319"/>
      <c r="JRP17" s="319"/>
      <c r="JRQ17" s="319"/>
      <c r="JRR17" s="319"/>
      <c r="JRS17" s="319"/>
      <c r="JRT17" s="319"/>
      <c r="JRU17" s="319"/>
      <c r="JRV17" s="319"/>
      <c r="JRW17" s="319"/>
      <c r="JRX17" s="319"/>
      <c r="JRY17" s="319"/>
      <c r="JRZ17" s="319"/>
      <c r="JSA17" s="319"/>
      <c r="JSB17" s="319"/>
      <c r="JSC17" s="319"/>
      <c r="JSD17" s="319"/>
      <c r="JSE17" s="319"/>
      <c r="JSF17" s="319"/>
      <c r="JSG17" s="319"/>
      <c r="JSH17" s="319"/>
      <c r="JSI17" s="319"/>
      <c r="JSJ17" s="319"/>
      <c r="JSK17" s="319"/>
      <c r="JSL17" s="319"/>
      <c r="JSM17" s="319"/>
      <c r="JSN17" s="319"/>
      <c r="JSO17" s="319"/>
      <c r="JSP17" s="319"/>
      <c r="JSQ17" s="319"/>
      <c r="JSR17" s="319"/>
      <c r="JSS17" s="319"/>
      <c r="JST17" s="319"/>
      <c r="JSU17" s="319"/>
      <c r="JSV17" s="319"/>
      <c r="JSW17" s="319"/>
      <c r="JSX17" s="319"/>
      <c r="JSY17" s="319"/>
      <c r="JSZ17" s="319"/>
      <c r="JTA17" s="319"/>
      <c r="JTB17" s="319"/>
      <c r="JTC17" s="319"/>
      <c r="JTD17" s="319"/>
      <c r="JTE17" s="319"/>
      <c r="JTF17" s="319"/>
      <c r="JTG17" s="319"/>
      <c r="JTH17" s="319"/>
      <c r="JTI17" s="319"/>
      <c r="JTJ17" s="319"/>
      <c r="JTK17" s="319"/>
      <c r="JTL17" s="319"/>
      <c r="JTM17" s="319"/>
      <c r="JTN17" s="319"/>
      <c r="JTO17" s="319"/>
      <c r="JTP17" s="319"/>
      <c r="JTQ17" s="319"/>
      <c r="JTR17" s="319"/>
      <c r="JTS17" s="319"/>
      <c r="JTT17" s="319"/>
      <c r="JTU17" s="319"/>
      <c r="JTV17" s="319"/>
      <c r="JTW17" s="319"/>
      <c r="JTX17" s="319"/>
      <c r="JTY17" s="319"/>
      <c r="JTZ17" s="319"/>
      <c r="JUA17" s="319"/>
      <c r="JUB17" s="319"/>
      <c r="JUC17" s="319"/>
      <c r="JUD17" s="319"/>
      <c r="JUE17" s="319"/>
      <c r="JUF17" s="319"/>
      <c r="JUG17" s="319"/>
      <c r="JUH17" s="319"/>
      <c r="JUI17" s="319"/>
      <c r="JUJ17" s="319"/>
      <c r="JUK17" s="319"/>
      <c r="JUL17" s="319"/>
      <c r="JUM17" s="319"/>
      <c r="JUN17" s="319"/>
      <c r="JUO17" s="319"/>
      <c r="JUP17" s="319"/>
      <c r="JUQ17" s="319"/>
      <c r="JUR17" s="319"/>
      <c r="JUS17" s="319"/>
      <c r="JUT17" s="319"/>
      <c r="JUU17" s="319"/>
      <c r="JUV17" s="319"/>
      <c r="JUW17" s="319"/>
      <c r="JUX17" s="319"/>
      <c r="JUY17" s="319"/>
      <c r="JUZ17" s="319"/>
      <c r="JVA17" s="319"/>
      <c r="JVB17" s="319"/>
      <c r="JVC17" s="319"/>
      <c r="JVD17" s="319"/>
      <c r="JVE17" s="319"/>
      <c r="JVF17" s="319"/>
      <c r="JVG17" s="319"/>
      <c r="JVH17" s="319"/>
      <c r="JVI17" s="319"/>
      <c r="JVJ17" s="319"/>
      <c r="JVK17" s="319"/>
      <c r="JVL17" s="319"/>
      <c r="JVM17" s="319"/>
      <c r="JVN17" s="319"/>
      <c r="JVO17" s="319"/>
      <c r="JVP17" s="319"/>
      <c r="JVQ17" s="319"/>
      <c r="JVR17" s="319"/>
      <c r="JVS17" s="319"/>
      <c r="JVT17" s="319"/>
      <c r="JVU17" s="319"/>
      <c r="JVV17" s="319"/>
      <c r="JVW17" s="319"/>
      <c r="JVX17" s="319"/>
      <c r="JVY17" s="319"/>
      <c r="JVZ17" s="319"/>
      <c r="JWA17" s="319"/>
      <c r="JWB17" s="319"/>
      <c r="JWC17" s="319"/>
      <c r="JWD17" s="319"/>
      <c r="JWE17" s="319"/>
      <c r="JWF17" s="319"/>
      <c r="JWG17" s="319"/>
      <c r="JWH17" s="319"/>
      <c r="JWI17" s="319"/>
      <c r="JWJ17" s="319"/>
      <c r="JWK17" s="319"/>
      <c r="JWL17" s="319"/>
      <c r="JWM17" s="319"/>
      <c r="JWN17" s="319"/>
      <c r="JWO17" s="319"/>
      <c r="JWP17" s="319"/>
      <c r="JWQ17" s="319"/>
      <c r="JWR17" s="319"/>
      <c r="JWS17" s="319"/>
      <c r="JWT17" s="319"/>
      <c r="JWU17" s="319"/>
      <c r="JWV17" s="319"/>
      <c r="JWW17" s="319"/>
      <c r="JWX17" s="319"/>
      <c r="JWY17" s="319"/>
      <c r="JWZ17" s="319"/>
      <c r="JXA17" s="319"/>
      <c r="JXB17" s="319"/>
      <c r="JXC17" s="319"/>
      <c r="JXD17" s="319"/>
      <c r="JXE17" s="319"/>
      <c r="JXF17" s="319"/>
      <c r="JXG17" s="319"/>
      <c r="JXH17" s="319"/>
      <c r="JXI17" s="319"/>
      <c r="JXJ17" s="319"/>
      <c r="JXK17" s="319"/>
      <c r="JXL17" s="319"/>
      <c r="JXM17" s="319"/>
      <c r="JXN17" s="319"/>
      <c r="JXO17" s="319"/>
      <c r="JXP17" s="319"/>
      <c r="JXQ17" s="319"/>
      <c r="JXR17" s="319"/>
      <c r="JXS17" s="319"/>
      <c r="JXT17" s="319"/>
      <c r="JXU17" s="319"/>
      <c r="JXV17" s="319"/>
      <c r="JXW17" s="319"/>
      <c r="JXX17" s="319"/>
      <c r="JXY17" s="319"/>
      <c r="JXZ17" s="319"/>
      <c r="JYA17" s="319"/>
      <c r="JYB17" s="319"/>
      <c r="JYC17" s="319"/>
      <c r="JYD17" s="319"/>
      <c r="JYE17" s="319"/>
      <c r="JYF17" s="319"/>
      <c r="JYG17" s="319"/>
      <c r="JYH17" s="319"/>
      <c r="JYI17" s="319"/>
      <c r="JYJ17" s="319"/>
      <c r="JYK17" s="319"/>
      <c r="JYL17" s="319"/>
      <c r="JYM17" s="319"/>
      <c r="JYN17" s="319"/>
      <c r="JYO17" s="319"/>
      <c r="JYP17" s="319"/>
      <c r="JYQ17" s="319"/>
      <c r="JYR17" s="319"/>
      <c r="JYS17" s="319"/>
      <c r="JYT17" s="319"/>
      <c r="JYU17" s="319"/>
      <c r="JYV17" s="319"/>
      <c r="JYW17" s="319"/>
      <c r="JYX17" s="319"/>
      <c r="JYY17" s="319"/>
      <c r="JYZ17" s="319"/>
      <c r="JZA17" s="319"/>
      <c r="JZB17" s="319"/>
      <c r="JZC17" s="319"/>
      <c r="JZD17" s="319"/>
      <c r="JZE17" s="319"/>
      <c r="JZF17" s="319"/>
      <c r="JZG17" s="319"/>
      <c r="JZH17" s="319"/>
      <c r="JZI17" s="319"/>
      <c r="JZJ17" s="319"/>
      <c r="JZK17" s="319"/>
      <c r="JZL17" s="319"/>
      <c r="JZM17" s="319"/>
      <c r="JZN17" s="319"/>
      <c r="JZO17" s="319"/>
      <c r="JZP17" s="319"/>
      <c r="JZQ17" s="319"/>
      <c r="JZR17" s="319"/>
      <c r="JZS17" s="319"/>
      <c r="JZT17" s="319"/>
      <c r="JZU17" s="319"/>
      <c r="JZV17" s="319"/>
      <c r="JZW17" s="319"/>
      <c r="JZX17" s="319"/>
      <c r="JZY17" s="319"/>
      <c r="JZZ17" s="319"/>
      <c r="KAA17" s="319"/>
      <c r="KAB17" s="319"/>
      <c r="KAC17" s="319"/>
      <c r="KAD17" s="319"/>
      <c r="KAE17" s="319"/>
      <c r="KAF17" s="319"/>
      <c r="KAG17" s="319"/>
      <c r="KAH17" s="319"/>
      <c r="KAI17" s="319"/>
      <c r="KAJ17" s="319"/>
      <c r="KAK17" s="319"/>
      <c r="KAL17" s="319"/>
      <c r="KAM17" s="319"/>
      <c r="KAN17" s="319"/>
      <c r="KAO17" s="319"/>
      <c r="KAP17" s="319"/>
      <c r="KAQ17" s="319"/>
      <c r="KAR17" s="319"/>
      <c r="KAS17" s="319"/>
      <c r="KAT17" s="319"/>
      <c r="KAU17" s="319"/>
      <c r="KAV17" s="319"/>
      <c r="KAW17" s="319"/>
      <c r="KAX17" s="319"/>
      <c r="KAY17" s="319"/>
      <c r="KAZ17" s="319"/>
      <c r="KBA17" s="319"/>
      <c r="KBB17" s="319"/>
      <c r="KBC17" s="319"/>
      <c r="KBD17" s="319"/>
      <c r="KBE17" s="319"/>
      <c r="KBF17" s="319"/>
      <c r="KBG17" s="319"/>
      <c r="KBH17" s="319"/>
      <c r="KBI17" s="319"/>
      <c r="KBJ17" s="319"/>
      <c r="KBK17" s="319"/>
      <c r="KBL17" s="319"/>
      <c r="KBM17" s="319"/>
      <c r="KBN17" s="319"/>
      <c r="KBO17" s="319"/>
      <c r="KBP17" s="319"/>
      <c r="KBQ17" s="319"/>
      <c r="KBR17" s="319"/>
      <c r="KBS17" s="319"/>
      <c r="KBT17" s="319"/>
      <c r="KBU17" s="319"/>
      <c r="KBV17" s="319"/>
      <c r="KBW17" s="319"/>
      <c r="KBX17" s="319"/>
      <c r="KBY17" s="319"/>
      <c r="KBZ17" s="319"/>
      <c r="KCA17" s="319"/>
      <c r="KCB17" s="319"/>
      <c r="KCC17" s="319"/>
      <c r="KCD17" s="319"/>
      <c r="KCE17" s="319"/>
      <c r="KCF17" s="319"/>
      <c r="KCG17" s="319"/>
      <c r="KCH17" s="319"/>
      <c r="KCI17" s="319"/>
      <c r="KCJ17" s="319"/>
      <c r="KCK17" s="319"/>
      <c r="KCL17" s="319"/>
      <c r="KCM17" s="319"/>
      <c r="KCN17" s="319"/>
      <c r="KCO17" s="319"/>
      <c r="KCP17" s="319"/>
      <c r="KCQ17" s="319"/>
      <c r="KCR17" s="319"/>
      <c r="KCS17" s="319"/>
      <c r="KCT17" s="319"/>
      <c r="KCU17" s="319"/>
      <c r="KCV17" s="319"/>
      <c r="KCW17" s="319"/>
      <c r="KCX17" s="319"/>
      <c r="KCY17" s="319"/>
      <c r="KCZ17" s="319"/>
      <c r="KDA17" s="319"/>
      <c r="KDB17" s="319"/>
      <c r="KDC17" s="319"/>
      <c r="KDD17" s="319"/>
      <c r="KDE17" s="319"/>
      <c r="KDF17" s="319"/>
      <c r="KDG17" s="319"/>
      <c r="KDH17" s="319"/>
      <c r="KDI17" s="319"/>
      <c r="KDJ17" s="319"/>
      <c r="KDK17" s="319"/>
      <c r="KDL17" s="319"/>
      <c r="KDM17" s="319"/>
      <c r="KDN17" s="319"/>
      <c r="KDO17" s="319"/>
      <c r="KDP17" s="319"/>
      <c r="KDQ17" s="319"/>
      <c r="KDR17" s="319"/>
      <c r="KDS17" s="319"/>
      <c r="KDT17" s="319"/>
      <c r="KDU17" s="319"/>
      <c r="KDV17" s="319"/>
      <c r="KDW17" s="319"/>
      <c r="KDX17" s="319"/>
      <c r="KDY17" s="319"/>
      <c r="KDZ17" s="319"/>
      <c r="KEA17" s="319"/>
      <c r="KEB17" s="319"/>
      <c r="KEC17" s="319"/>
      <c r="KED17" s="319"/>
      <c r="KEE17" s="319"/>
      <c r="KEF17" s="319"/>
      <c r="KEG17" s="319"/>
      <c r="KEH17" s="319"/>
      <c r="KEI17" s="319"/>
      <c r="KEJ17" s="319"/>
      <c r="KEK17" s="319"/>
      <c r="KEL17" s="319"/>
      <c r="KEM17" s="319"/>
      <c r="KEN17" s="319"/>
      <c r="KEO17" s="319"/>
      <c r="KEP17" s="319"/>
      <c r="KEQ17" s="319"/>
      <c r="KER17" s="319"/>
      <c r="KES17" s="319"/>
      <c r="KET17" s="319"/>
      <c r="KEU17" s="319"/>
      <c r="KEV17" s="319"/>
      <c r="KEW17" s="319"/>
      <c r="KEX17" s="319"/>
      <c r="KEY17" s="319"/>
      <c r="KEZ17" s="319"/>
      <c r="KFA17" s="319"/>
      <c r="KFB17" s="319"/>
      <c r="KFC17" s="319"/>
      <c r="KFD17" s="319"/>
      <c r="KFE17" s="319"/>
      <c r="KFF17" s="319"/>
      <c r="KFG17" s="319"/>
      <c r="KFH17" s="319"/>
      <c r="KFI17" s="319"/>
      <c r="KFJ17" s="319"/>
      <c r="KFK17" s="319"/>
      <c r="KFL17" s="319"/>
      <c r="KFM17" s="319"/>
      <c r="KFN17" s="319"/>
      <c r="KFO17" s="319"/>
      <c r="KFP17" s="319"/>
      <c r="KFQ17" s="319"/>
      <c r="KFR17" s="319"/>
      <c r="KFS17" s="319"/>
      <c r="KFT17" s="319"/>
      <c r="KFU17" s="319"/>
      <c r="KFV17" s="319"/>
      <c r="KFW17" s="319"/>
      <c r="KFX17" s="319"/>
      <c r="KFY17" s="319"/>
      <c r="KFZ17" s="319"/>
      <c r="KGA17" s="319"/>
      <c r="KGB17" s="319"/>
      <c r="KGC17" s="319"/>
      <c r="KGD17" s="319"/>
      <c r="KGE17" s="319"/>
      <c r="KGF17" s="319"/>
      <c r="KGG17" s="319"/>
      <c r="KGH17" s="319"/>
      <c r="KGI17" s="319"/>
      <c r="KGJ17" s="319"/>
      <c r="KGK17" s="319"/>
      <c r="KGL17" s="319"/>
      <c r="KGM17" s="319"/>
      <c r="KGN17" s="319"/>
      <c r="KGO17" s="319"/>
      <c r="KGP17" s="319"/>
      <c r="KGQ17" s="319"/>
      <c r="KGR17" s="319"/>
      <c r="KGS17" s="319"/>
      <c r="KGT17" s="319"/>
      <c r="KGU17" s="319"/>
      <c r="KGV17" s="319"/>
      <c r="KGW17" s="319"/>
      <c r="KGX17" s="319"/>
      <c r="KGY17" s="319"/>
      <c r="KGZ17" s="319"/>
      <c r="KHA17" s="319"/>
      <c r="KHB17" s="319"/>
      <c r="KHC17" s="319"/>
      <c r="KHD17" s="319"/>
      <c r="KHE17" s="319"/>
      <c r="KHF17" s="319"/>
      <c r="KHG17" s="319"/>
      <c r="KHH17" s="319"/>
      <c r="KHI17" s="319"/>
      <c r="KHJ17" s="319"/>
      <c r="KHK17" s="319"/>
      <c r="KHL17" s="319"/>
      <c r="KHM17" s="319"/>
      <c r="KHN17" s="319"/>
      <c r="KHO17" s="319"/>
      <c r="KHP17" s="319"/>
      <c r="KHQ17" s="319"/>
      <c r="KHR17" s="319"/>
      <c r="KHS17" s="319"/>
      <c r="KHT17" s="319"/>
      <c r="KHU17" s="319"/>
      <c r="KHV17" s="319"/>
      <c r="KHW17" s="319"/>
      <c r="KHX17" s="319"/>
      <c r="KHY17" s="319"/>
      <c r="KHZ17" s="319"/>
      <c r="KIA17" s="319"/>
      <c r="KIB17" s="319"/>
      <c r="KIC17" s="319"/>
      <c r="KID17" s="319"/>
      <c r="KIE17" s="319"/>
      <c r="KIF17" s="319"/>
      <c r="KIG17" s="319"/>
      <c r="KIH17" s="319"/>
      <c r="KII17" s="319"/>
      <c r="KIJ17" s="319"/>
      <c r="KIK17" s="319"/>
      <c r="KIL17" s="319"/>
      <c r="KIM17" s="319"/>
      <c r="KIN17" s="319"/>
      <c r="KIO17" s="319"/>
      <c r="KIP17" s="319"/>
      <c r="KIQ17" s="319"/>
      <c r="KIR17" s="319"/>
      <c r="KIS17" s="319"/>
      <c r="KIT17" s="319"/>
      <c r="KIU17" s="319"/>
      <c r="KIV17" s="319"/>
      <c r="KIW17" s="319"/>
      <c r="KIX17" s="319"/>
      <c r="KIY17" s="319"/>
      <c r="KIZ17" s="319"/>
      <c r="KJA17" s="319"/>
      <c r="KJB17" s="319"/>
      <c r="KJC17" s="319"/>
      <c r="KJD17" s="319"/>
      <c r="KJE17" s="319"/>
      <c r="KJF17" s="319"/>
      <c r="KJG17" s="319"/>
      <c r="KJH17" s="319"/>
      <c r="KJI17" s="319"/>
      <c r="KJJ17" s="319"/>
      <c r="KJK17" s="319"/>
      <c r="KJL17" s="319"/>
      <c r="KJM17" s="319"/>
      <c r="KJN17" s="319"/>
      <c r="KJO17" s="319"/>
      <c r="KJP17" s="319"/>
      <c r="KJQ17" s="319"/>
      <c r="KJR17" s="319"/>
      <c r="KJS17" s="319"/>
      <c r="KJT17" s="319"/>
      <c r="KJU17" s="319"/>
      <c r="KJV17" s="319"/>
      <c r="KJW17" s="319"/>
      <c r="KJX17" s="319"/>
      <c r="KJY17" s="319"/>
      <c r="KJZ17" s="319"/>
      <c r="KKA17" s="319"/>
      <c r="KKB17" s="319"/>
      <c r="KKC17" s="319"/>
      <c r="KKD17" s="319"/>
      <c r="KKE17" s="319"/>
      <c r="KKF17" s="319"/>
      <c r="KKG17" s="319"/>
      <c r="KKH17" s="319"/>
      <c r="KKI17" s="319"/>
      <c r="KKJ17" s="319"/>
      <c r="KKK17" s="319"/>
      <c r="KKL17" s="319"/>
      <c r="KKM17" s="319"/>
      <c r="KKN17" s="319"/>
      <c r="KKO17" s="319"/>
      <c r="KKP17" s="319"/>
      <c r="KKQ17" s="319"/>
      <c r="KKR17" s="319"/>
      <c r="KKS17" s="319"/>
      <c r="KKT17" s="319"/>
      <c r="KKU17" s="319"/>
      <c r="KKV17" s="319"/>
      <c r="KKW17" s="319"/>
      <c r="KKX17" s="319"/>
      <c r="KKY17" s="319"/>
      <c r="KKZ17" s="319"/>
      <c r="KLA17" s="319"/>
      <c r="KLB17" s="319"/>
      <c r="KLC17" s="319"/>
      <c r="KLD17" s="319"/>
      <c r="KLE17" s="319"/>
      <c r="KLF17" s="319"/>
      <c r="KLG17" s="319"/>
      <c r="KLH17" s="319"/>
      <c r="KLI17" s="319"/>
      <c r="KLJ17" s="319"/>
      <c r="KLK17" s="319"/>
      <c r="KLL17" s="319"/>
      <c r="KLM17" s="319"/>
      <c r="KLN17" s="319"/>
      <c r="KLO17" s="319"/>
      <c r="KLP17" s="319"/>
      <c r="KLQ17" s="319"/>
      <c r="KLR17" s="319"/>
      <c r="KLS17" s="319"/>
      <c r="KLT17" s="319"/>
      <c r="KLU17" s="319"/>
      <c r="KLV17" s="319"/>
      <c r="KLW17" s="319"/>
      <c r="KLX17" s="319"/>
      <c r="KLY17" s="319"/>
      <c r="KLZ17" s="319"/>
      <c r="KMA17" s="319"/>
      <c r="KMB17" s="319"/>
      <c r="KMC17" s="319"/>
      <c r="KMD17" s="319"/>
      <c r="KME17" s="319"/>
      <c r="KMF17" s="319"/>
      <c r="KMG17" s="319"/>
      <c r="KMH17" s="319"/>
      <c r="KMI17" s="319"/>
      <c r="KMJ17" s="319"/>
      <c r="KMK17" s="319"/>
      <c r="KML17" s="319"/>
      <c r="KMM17" s="319"/>
      <c r="KMN17" s="319"/>
      <c r="KMO17" s="319"/>
      <c r="KMP17" s="319"/>
      <c r="KMQ17" s="319"/>
      <c r="KMR17" s="319"/>
      <c r="KMS17" s="319"/>
      <c r="KMT17" s="319"/>
      <c r="KMU17" s="319"/>
      <c r="KMV17" s="319"/>
      <c r="KMW17" s="319"/>
      <c r="KMX17" s="319"/>
      <c r="KMY17" s="319"/>
      <c r="KMZ17" s="319"/>
      <c r="KNA17" s="319"/>
      <c r="KNB17" s="319"/>
      <c r="KNC17" s="319"/>
      <c r="KND17" s="319"/>
      <c r="KNE17" s="319"/>
      <c r="KNF17" s="319"/>
      <c r="KNG17" s="319"/>
      <c r="KNH17" s="319"/>
      <c r="KNI17" s="319"/>
      <c r="KNJ17" s="319"/>
      <c r="KNK17" s="319"/>
      <c r="KNL17" s="319"/>
      <c r="KNM17" s="319"/>
      <c r="KNN17" s="319"/>
      <c r="KNO17" s="319"/>
      <c r="KNP17" s="319"/>
      <c r="KNQ17" s="319"/>
      <c r="KNR17" s="319"/>
      <c r="KNS17" s="319"/>
      <c r="KNT17" s="319"/>
      <c r="KNU17" s="319"/>
      <c r="KNV17" s="319"/>
      <c r="KNW17" s="319"/>
      <c r="KNX17" s="319"/>
      <c r="KNY17" s="319"/>
      <c r="KNZ17" s="319"/>
      <c r="KOA17" s="319"/>
      <c r="KOB17" s="319"/>
      <c r="KOC17" s="319"/>
      <c r="KOD17" s="319"/>
      <c r="KOE17" s="319"/>
      <c r="KOF17" s="319"/>
      <c r="KOG17" s="319"/>
      <c r="KOH17" s="319"/>
      <c r="KOI17" s="319"/>
      <c r="KOJ17" s="319"/>
      <c r="KOK17" s="319"/>
      <c r="KOL17" s="319"/>
      <c r="KOM17" s="319"/>
      <c r="KON17" s="319"/>
      <c r="KOO17" s="319"/>
      <c r="KOP17" s="319"/>
      <c r="KOQ17" s="319"/>
      <c r="KOR17" s="319"/>
      <c r="KOS17" s="319"/>
      <c r="KOT17" s="319"/>
      <c r="KOU17" s="319"/>
      <c r="KOV17" s="319"/>
      <c r="KOW17" s="319"/>
      <c r="KOX17" s="319"/>
      <c r="KOY17" s="319"/>
      <c r="KOZ17" s="319"/>
      <c r="KPA17" s="319"/>
      <c r="KPB17" s="319"/>
      <c r="KPC17" s="319"/>
      <c r="KPD17" s="319"/>
      <c r="KPE17" s="319"/>
      <c r="KPF17" s="319"/>
      <c r="KPG17" s="319"/>
      <c r="KPH17" s="319"/>
      <c r="KPI17" s="319"/>
      <c r="KPJ17" s="319"/>
      <c r="KPK17" s="319"/>
      <c r="KPL17" s="319"/>
      <c r="KPM17" s="319"/>
      <c r="KPN17" s="319"/>
      <c r="KPO17" s="319"/>
      <c r="KPP17" s="319"/>
      <c r="KPQ17" s="319"/>
      <c r="KPR17" s="319"/>
      <c r="KPS17" s="319"/>
      <c r="KPT17" s="319"/>
      <c r="KPU17" s="319"/>
      <c r="KPV17" s="319"/>
      <c r="KPW17" s="319"/>
      <c r="KPX17" s="319"/>
      <c r="KPY17" s="319"/>
      <c r="KPZ17" s="319"/>
      <c r="KQA17" s="319"/>
      <c r="KQB17" s="319"/>
      <c r="KQC17" s="319"/>
      <c r="KQD17" s="319"/>
      <c r="KQE17" s="319"/>
      <c r="KQF17" s="319"/>
      <c r="KQG17" s="319"/>
      <c r="KQH17" s="319"/>
      <c r="KQI17" s="319"/>
      <c r="KQJ17" s="319"/>
      <c r="KQK17" s="319"/>
      <c r="KQL17" s="319"/>
      <c r="KQM17" s="319"/>
      <c r="KQN17" s="319"/>
      <c r="KQO17" s="319"/>
      <c r="KQP17" s="319"/>
      <c r="KQQ17" s="319"/>
      <c r="KQR17" s="319"/>
      <c r="KQS17" s="319"/>
      <c r="KQT17" s="319"/>
      <c r="KQU17" s="319"/>
      <c r="KQV17" s="319"/>
      <c r="KQW17" s="319"/>
      <c r="KQX17" s="319"/>
      <c r="KQY17" s="319"/>
      <c r="KQZ17" s="319"/>
      <c r="KRA17" s="319"/>
      <c r="KRB17" s="319"/>
      <c r="KRC17" s="319"/>
      <c r="KRD17" s="319"/>
      <c r="KRE17" s="319"/>
      <c r="KRF17" s="319"/>
      <c r="KRG17" s="319"/>
      <c r="KRH17" s="319"/>
      <c r="KRI17" s="319"/>
      <c r="KRJ17" s="319"/>
      <c r="KRK17" s="319"/>
      <c r="KRL17" s="319"/>
      <c r="KRM17" s="319"/>
      <c r="KRN17" s="319"/>
      <c r="KRO17" s="319"/>
      <c r="KRP17" s="319"/>
      <c r="KRQ17" s="319"/>
      <c r="KRR17" s="319"/>
      <c r="KRS17" s="319"/>
      <c r="KRT17" s="319"/>
      <c r="KRU17" s="319"/>
      <c r="KRV17" s="319"/>
      <c r="KRW17" s="319"/>
      <c r="KRX17" s="319"/>
      <c r="KRY17" s="319"/>
      <c r="KRZ17" s="319"/>
      <c r="KSA17" s="319"/>
      <c r="KSB17" s="319"/>
      <c r="KSC17" s="319"/>
      <c r="KSD17" s="319"/>
      <c r="KSE17" s="319"/>
      <c r="KSF17" s="319"/>
      <c r="KSG17" s="319"/>
      <c r="KSH17" s="319"/>
      <c r="KSI17" s="319"/>
      <c r="KSJ17" s="319"/>
      <c r="KSK17" s="319"/>
      <c r="KSL17" s="319"/>
      <c r="KSM17" s="319"/>
      <c r="KSN17" s="319"/>
      <c r="KSO17" s="319"/>
      <c r="KSP17" s="319"/>
      <c r="KSQ17" s="319"/>
      <c r="KSR17" s="319"/>
      <c r="KSS17" s="319"/>
      <c r="KST17" s="319"/>
      <c r="KSU17" s="319"/>
      <c r="KSV17" s="319"/>
      <c r="KSW17" s="319"/>
      <c r="KSX17" s="319"/>
      <c r="KSY17" s="319"/>
      <c r="KSZ17" s="319"/>
      <c r="KTA17" s="319"/>
      <c r="KTB17" s="319"/>
      <c r="KTC17" s="319"/>
      <c r="KTD17" s="319"/>
      <c r="KTE17" s="319"/>
      <c r="KTF17" s="319"/>
      <c r="KTG17" s="319"/>
      <c r="KTH17" s="319"/>
      <c r="KTI17" s="319"/>
      <c r="KTJ17" s="319"/>
      <c r="KTK17" s="319"/>
      <c r="KTL17" s="319"/>
      <c r="KTM17" s="319"/>
      <c r="KTN17" s="319"/>
      <c r="KTO17" s="319"/>
      <c r="KTP17" s="319"/>
      <c r="KTQ17" s="319"/>
      <c r="KTR17" s="319"/>
      <c r="KTS17" s="319"/>
      <c r="KTT17" s="319"/>
      <c r="KTU17" s="319"/>
      <c r="KTV17" s="319"/>
      <c r="KTW17" s="319"/>
      <c r="KTX17" s="319"/>
      <c r="KTY17" s="319"/>
      <c r="KTZ17" s="319"/>
      <c r="KUA17" s="319"/>
      <c r="KUB17" s="319"/>
      <c r="KUC17" s="319"/>
      <c r="KUD17" s="319"/>
      <c r="KUE17" s="319"/>
      <c r="KUF17" s="319"/>
      <c r="KUG17" s="319"/>
      <c r="KUH17" s="319"/>
      <c r="KUI17" s="319"/>
      <c r="KUJ17" s="319"/>
      <c r="KUK17" s="319"/>
      <c r="KUL17" s="319"/>
      <c r="KUM17" s="319"/>
      <c r="KUN17" s="319"/>
      <c r="KUO17" s="319"/>
      <c r="KUP17" s="319"/>
      <c r="KUQ17" s="319"/>
      <c r="KUR17" s="319"/>
      <c r="KUS17" s="319"/>
      <c r="KUT17" s="319"/>
      <c r="KUU17" s="319"/>
      <c r="KUV17" s="319"/>
      <c r="KUW17" s="319"/>
      <c r="KUX17" s="319"/>
      <c r="KUY17" s="319"/>
      <c r="KUZ17" s="319"/>
      <c r="KVA17" s="319"/>
      <c r="KVB17" s="319"/>
      <c r="KVC17" s="319"/>
      <c r="KVD17" s="319"/>
      <c r="KVE17" s="319"/>
      <c r="KVF17" s="319"/>
      <c r="KVG17" s="319"/>
      <c r="KVH17" s="319"/>
      <c r="KVI17" s="319"/>
      <c r="KVJ17" s="319"/>
      <c r="KVK17" s="319"/>
      <c r="KVL17" s="319"/>
      <c r="KVM17" s="319"/>
      <c r="KVN17" s="319"/>
      <c r="KVO17" s="319"/>
      <c r="KVP17" s="319"/>
      <c r="KVQ17" s="319"/>
      <c r="KVR17" s="319"/>
      <c r="KVS17" s="319"/>
      <c r="KVT17" s="319"/>
      <c r="KVU17" s="319"/>
      <c r="KVV17" s="319"/>
      <c r="KVW17" s="319"/>
      <c r="KVX17" s="319"/>
      <c r="KVY17" s="319"/>
      <c r="KVZ17" s="319"/>
      <c r="KWA17" s="319"/>
      <c r="KWB17" s="319"/>
      <c r="KWC17" s="319"/>
      <c r="KWD17" s="319"/>
      <c r="KWE17" s="319"/>
      <c r="KWF17" s="319"/>
      <c r="KWG17" s="319"/>
      <c r="KWH17" s="319"/>
      <c r="KWI17" s="319"/>
      <c r="KWJ17" s="319"/>
      <c r="KWK17" s="319"/>
      <c r="KWL17" s="319"/>
      <c r="KWM17" s="319"/>
      <c r="KWN17" s="319"/>
      <c r="KWO17" s="319"/>
      <c r="KWP17" s="319"/>
      <c r="KWQ17" s="319"/>
      <c r="KWR17" s="319"/>
      <c r="KWS17" s="319"/>
      <c r="KWT17" s="319"/>
      <c r="KWU17" s="319"/>
      <c r="KWV17" s="319"/>
      <c r="KWW17" s="319"/>
      <c r="KWX17" s="319"/>
      <c r="KWY17" s="319"/>
      <c r="KWZ17" s="319"/>
      <c r="KXA17" s="319"/>
      <c r="KXB17" s="319"/>
      <c r="KXC17" s="319"/>
      <c r="KXD17" s="319"/>
      <c r="KXE17" s="319"/>
      <c r="KXF17" s="319"/>
      <c r="KXG17" s="319"/>
      <c r="KXH17" s="319"/>
      <c r="KXI17" s="319"/>
      <c r="KXJ17" s="319"/>
      <c r="KXK17" s="319"/>
      <c r="KXL17" s="319"/>
      <c r="KXM17" s="319"/>
      <c r="KXN17" s="319"/>
      <c r="KXO17" s="319"/>
      <c r="KXP17" s="319"/>
      <c r="KXQ17" s="319"/>
      <c r="KXR17" s="319"/>
      <c r="KXS17" s="319"/>
      <c r="KXT17" s="319"/>
      <c r="KXU17" s="319"/>
      <c r="KXV17" s="319"/>
      <c r="KXW17" s="319"/>
      <c r="KXX17" s="319"/>
      <c r="KXY17" s="319"/>
      <c r="KXZ17" s="319"/>
      <c r="KYA17" s="319"/>
      <c r="KYB17" s="319"/>
      <c r="KYC17" s="319"/>
      <c r="KYD17" s="319"/>
      <c r="KYE17" s="319"/>
      <c r="KYF17" s="319"/>
      <c r="KYG17" s="319"/>
      <c r="KYH17" s="319"/>
      <c r="KYI17" s="319"/>
      <c r="KYJ17" s="319"/>
      <c r="KYK17" s="319"/>
      <c r="KYL17" s="319"/>
      <c r="KYM17" s="319"/>
      <c r="KYN17" s="319"/>
      <c r="KYO17" s="319"/>
      <c r="KYP17" s="319"/>
      <c r="KYQ17" s="319"/>
      <c r="KYR17" s="319"/>
      <c r="KYS17" s="319"/>
      <c r="KYT17" s="319"/>
      <c r="KYU17" s="319"/>
      <c r="KYV17" s="319"/>
      <c r="KYW17" s="319"/>
      <c r="KYX17" s="319"/>
      <c r="KYY17" s="319"/>
      <c r="KYZ17" s="319"/>
      <c r="KZA17" s="319"/>
      <c r="KZB17" s="319"/>
      <c r="KZC17" s="319"/>
      <c r="KZD17" s="319"/>
      <c r="KZE17" s="319"/>
      <c r="KZF17" s="319"/>
      <c r="KZG17" s="319"/>
      <c r="KZH17" s="319"/>
      <c r="KZI17" s="319"/>
      <c r="KZJ17" s="319"/>
      <c r="KZK17" s="319"/>
      <c r="KZL17" s="319"/>
      <c r="KZM17" s="319"/>
      <c r="KZN17" s="319"/>
      <c r="KZO17" s="319"/>
      <c r="KZP17" s="319"/>
      <c r="KZQ17" s="319"/>
      <c r="KZR17" s="319"/>
      <c r="KZS17" s="319"/>
      <c r="KZT17" s="319"/>
      <c r="KZU17" s="319"/>
      <c r="KZV17" s="319"/>
      <c r="KZW17" s="319"/>
      <c r="KZX17" s="319"/>
      <c r="KZY17" s="319"/>
      <c r="KZZ17" s="319"/>
      <c r="LAA17" s="319"/>
      <c r="LAB17" s="319"/>
      <c r="LAC17" s="319"/>
      <c r="LAD17" s="319"/>
      <c r="LAE17" s="319"/>
      <c r="LAF17" s="319"/>
      <c r="LAG17" s="319"/>
      <c r="LAH17" s="319"/>
      <c r="LAI17" s="319"/>
      <c r="LAJ17" s="319"/>
      <c r="LAK17" s="319"/>
      <c r="LAL17" s="319"/>
      <c r="LAM17" s="319"/>
      <c r="LAN17" s="319"/>
      <c r="LAO17" s="319"/>
      <c r="LAP17" s="319"/>
      <c r="LAQ17" s="319"/>
      <c r="LAR17" s="319"/>
      <c r="LAS17" s="319"/>
      <c r="LAT17" s="319"/>
      <c r="LAU17" s="319"/>
      <c r="LAV17" s="319"/>
      <c r="LAW17" s="319"/>
      <c r="LAX17" s="319"/>
      <c r="LAY17" s="319"/>
      <c r="LAZ17" s="319"/>
      <c r="LBA17" s="319"/>
      <c r="LBB17" s="319"/>
      <c r="LBC17" s="319"/>
      <c r="LBD17" s="319"/>
      <c r="LBE17" s="319"/>
      <c r="LBF17" s="319"/>
      <c r="LBG17" s="319"/>
      <c r="LBH17" s="319"/>
      <c r="LBI17" s="319"/>
      <c r="LBJ17" s="319"/>
      <c r="LBK17" s="319"/>
      <c r="LBL17" s="319"/>
      <c r="LBM17" s="319"/>
      <c r="LBN17" s="319"/>
      <c r="LBO17" s="319"/>
      <c r="LBP17" s="319"/>
      <c r="LBQ17" s="319"/>
      <c r="LBR17" s="319"/>
      <c r="LBS17" s="319"/>
      <c r="LBT17" s="319"/>
      <c r="LBU17" s="319"/>
      <c r="LBV17" s="319"/>
      <c r="LBW17" s="319"/>
      <c r="LBX17" s="319"/>
      <c r="LBY17" s="319"/>
      <c r="LBZ17" s="319"/>
      <c r="LCA17" s="319"/>
      <c r="LCB17" s="319"/>
      <c r="LCC17" s="319"/>
      <c r="LCD17" s="319"/>
      <c r="LCE17" s="319"/>
      <c r="LCF17" s="319"/>
      <c r="LCG17" s="319"/>
      <c r="LCH17" s="319"/>
      <c r="LCI17" s="319"/>
      <c r="LCJ17" s="319"/>
      <c r="LCK17" s="319"/>
      <c r="LCL17" s="319"/>
      <c r="LCM17" s="319"/>
      <c r="LCN17" s="319"/>
      <c r="LCO17" s="319"/>
      <c r="LCP17" s="319"/>
      <c r="LCQ17" s="319"/>
      <c r="LCR17" s="319"/>
      <c r="LCS17" s="319"/>
      <c r="LCT17" s="319"/>
      <c r="LCU17" s="319"/>
      <c r="LCV17" s="319"/>
      <c r="LCW17" s="319"/>
      <c r="LCX17" s="319"/>
      <c r="LCY17" s="319"/>
      <c r="LCZ17" s="319"/>
      <c r="LDA17" s="319"/>
      <c r="LDB17" s="319"/>
      <c r="LDC17" s="319"/>
      <c r="LDD17" s="319"/>
      <c r="LDE17" s="319"/>
      <c r="LDF17" s="319"/>
      <c r="LDG17" s="319"/>
      <c r="LDH17" s="319"/>
      <c r="LDI17" s="319"/>
      <c r="LDJ17" s="319"/>
      <c r="LDK17" s="319"/>
      <c r="LDL17" s="319"/>
      <c r="LDM17" s="319"/>
      <c r="LDN17" s="319"/>
      <c r="LDO17" s="319"/>
      <c r="LDP17" s="319"/>
      <c r="LDQ17" s="319"/>
      <c r="LDR17" s="319"/>
      <c r="LDS17" s="319"/>
      <c r="LDT17" s="319"/>
      <c r="LDU17" s="319"/>
      <c r="LDV17" s="319"/>
      <c r="LDW17" s="319"/>
      <c r="LDX17" s="319"/>
      <c r="LDY17" s="319"/>
      <c r="LDZ17" s="319"/>
      <c r="LEA17" s="319"/>
      <c r="LEB17" s="319"/>
      <c r="LEC17" s="319"/>
      <c r="LED17" s="319"/>
      <c r="LEE17" s="319"/>
      <c r="LEF17" s="319"/>
      <c r="LEG17" s="319"/>
      <c r="LEH17" s="319"/>
      <c r="LEI17" s="319"/>
      <c r="LEJ17" s="319"/>
      <c r="LEK17" s="319"/>
      <c r="LEL17" s="319"/>
      <c r="LEM17" s="319"/>
      <c r="LEN17" s="319"/>
      <c r="LEO17" s="319"/>
      <c r="LEP17" s="319"/>
      <c r="LEQ17" s="319"/>
      <c r="LER17" s="319"/>
      <c r="LES17" s="319"/>
      <c r="LET17" s="319"/>
      <c r="LEU17" s="319"/>
      <c r="LEV17" s="319"/>
      <c r="LEW17" s="319"/>
      <c r="LEX17" s="319"/>
      <c r="LEY17" s="319"/>
      <c r="LEZ17" s="319"/>
      <c r="LFA17" s="319"/>
      <c r="LFB17" s="319"/>
      <c r="LFC17" s="319"/>
      <c r="LFD17" s="319"/>
      <c r="LFE17" s="319"/>
      <c r="LFF17" s="319"/>
      <c r="LFG17" s="319"/>
      <c r="LFH17" s="319"/>
      <c r="LFI17" s="319"/>
      <c r="LFJ17" s="319"/>
      <c r="LFK17" s="319"/>
      <c r="LFL17" s="319"/>
      <c r="LFM17" s="319"/>
      <c r="LFN17" s="319"/>
      <c r="LFO17" s="319"/>
      <c r="LFP17" s="319"/>
      <c r="LFQ17" s="319"/>
      <c r="LFR17" s="319"/>
      <c r="LFS17" s="319"/>
      <c r="LFT17" s="319"/>
      <c r="LFU17" s="319"/>
      <c r="LFV17" s="319"/>
      <c r="LFW17" s="319"/>
      <c r="LFX17" s="319"/>
      <c r="LFY17" s="319"/>
      <c r="LFZ17" s="319"/>
      <c r="LGA17" s="319"/>
      <c r="LGB17" s="319"/>
      <c r="LGC17" s="319"/>
      <c r="LGD17" s="319"/>
      <c r="LGE17" s="319"/>
      <c r="LGF17" s="319"/>
      <c r="LGG17" s="319"/>
      <c r="LGH17" s="319"/>
      <c r="LGI17" s="319"/>
      <c r="LGJ17" s="319"/>
      <c r="LGK17" s="319"/>
      <c r="LGL17" s="319"/>
      <c r="LGM17" s="319"/>
      <c r="LGN17" s="319"/>
      <c r="LGO17" s="319"/>
      <c r="LGP17" s="319"/>
      <c r="LGQ17" s="319"/>
      <c r="LGR17" s="319"/>
      <c r="LGS17" s="319"/>
      <c r="LGT17" s="319"/>
      <c r="LGU17" s="319"/>
      <c r="LGV17" s="319"/>
      <c r="LGW17" s="319"/>
      <c r="LGX17" s="319"/>
      <c r="LGY17" s="319"/>
      <c r="LGZ17" s="319"/>
      <c r="LHA17" s="319"/>
      <c r="LHB17" s="319"/>
      <c r="LHC17" s="319"/>
      <c r="LHD17" s="319"/>
      <c r="LHE17" s="319"/>
      <c r="LHF17" s="319"/>
      <c r="LHG17" s="319"/>
      <c r="LHH17" s="319"/>
      <c r="LHI17" s="319"/>
      <c r="LHJ17" s="319"/>
      <c r="LHK17" s="319"/>
      <c r="LHL17" s="319"/>
      <c r="LHM17" s="319"/>
      <c r="LHN17" s="319"/>
      <c r="LHO17" s="319"/>
      <c r="LHP17" s="319"/>
      <c r="LHQ17" s="319"/>
      <c r="LHR17" s="319"/>
      <c r="LHS17" s="319"/>
      <c r="LHT17" s="319"/>
      <c r="LHU17" s="319"/>
      <c r="LHV17" s="319"/>
      <c r="LHW17" s="319"/>
      <c r="LHX17" s="319"/>
      <c r="LHY17" s="319"/>
      <c r="LHZ17" s="319"/>
      <c r="LIA17" s="319"/>
      <c r="LIB17" s="319"/>
      <c r="LIC17" s="319"/>
      <c r="LID17" s="319"/>
      <c r="LIE17" s="319"/>
      <c r="LIF17" s="319"/>
      <c r="LIG17" s="319"/>
      <c r="LIH17" s="319"/>
      <c r="LII17" s="319"/>
      <c r="LIJ17" s="319"/>
      <c r="LIK17" s="319"/>
      <c r="LIL17" s="319"/>
      <c r="LIM17" s="319"/>
      <c r="LIN17" s="319"/>
      <c r="LIO17" s="319"/>
      <c r="LIP17" s="319"/>
      <c r="LIQ17" s="319"/>
      <c r="LIR17" s="319"/>
      <c r="LIS17" s="319"/>
      <c r="LIT17" s="319"/>
      <c r="LIU17" s="319"/>
      <c r="LIV17" s="319"/>
      <c r="LIW17" s="319"/>
      <c r="LIX17" s="319"/>
      <c r="LIY17" s="319"/>
      <c r="LIZ17" s="319"/>
      <c r="LJA17" s="319"/>
      <c r="LJB17" s="319"/>
      <c r="LJC17" s="319"/>
      <c r="LJD17" s="319"/>
      <c r="LJE17" s="319"/>
      <c r="LJF17" s="319"/>
      <c r="LJG17" s="319"/>
      <c r="LJH17" s="319"/>
      <c r="LJI17" s="319"/>
      <c r="LJJ17" s="319"/>
      <c r="LJK17" s="319"/>
      <c r="LJL17" s="319"/>
      <c r="LJM17" s="319"/>
      <c r="LJN17" s="319"/>
      <c r="LJO17" s="319"/>
      <c r="LJP17" s="319"/>
      <c r="LJQ17" s="319"/>
      <c r="LJR17" s="319"/>
      <c r="LJS17" s="319"/>
      <c r="LJT17" s="319"/>
      <c r="LJU17" s="319"/>
      <c r="LJV17" s="319"/>
      <c r="LJW17" s="319"/>
      <c r="LJX17" s="319"/>
      <c r="LJY17" s="319"/>
      <c r="LJZ17" s="319"/>
      <c r="LKA17" s="319"/>
      <c r="LKB17" s="319"/>
      <c r="LKC17" s="319"/>
      <c r="LKD17" s="319"/>
      <c r="LKE17" s="319"/>
      <c r="LKF17" s="319"/>
      <c r="LKG17" s="319"/>
      <c r="LKH17" s="319"/>
      <c r="LKI17" s="319"/>
      <c r="LKJ17" s="319"/>
      <c r="LKK17" s="319"/>
      <c r="LKL17" s="319"/>
      <c r="LKM17" s="319"/>
      <c r="LKN17" s="319"/>
      <c r="LKO17" s="319"/>
      <c r="LKP17" s="319"/>
      <c r="LKQ17" s="319"/>
      <c r="LKR17" s="319"/>
      <c r="LKS17" s="319"/>
      <c r="LKT17" s="319"/>
      <c r="LKU17" s="319"/>
      <c r="LKV17" s="319"/>
      <c r="LKW17" s="319"/>
      <c r="LKX17" s="319"/>
      <c r="LKY17" s="319"/>
      <c r="LKZ17" s="319"/>
      <c r="LLA17" s="319"/>
      <c r="LLB17" s="319"/>
      <c r="LLC17" s="319"/>
      <c r="LLD17" s="319"/>
      <c r="LLE17" s="319"/>
      <c r="LLF17" s="319"/>
      <c r="LLG17" s="319"/>
      <c r="LLH17" s="319"/>
      <c r="LLI17" s="319"/>
      <c r="LLJ17" s="319"/>
      <c r="LLK17" s="319"/>
      <c r="LLL17" s="319"/>
      <c r="LLM17" s="319"/>
      <c r="LLN17" s="319"/>
      <c r="LLO17" s="319"/>
      <c r="LLP17" s="319"/>
      <c r="LLQ17" s="319"/>
      <c r="LLR17" s="319"/>
      <c r="LLS17" s="319"/>
      <c r="LLT17" s="319"/>
      <c r="LLU17" s="319"/>
      <c r="LLV17" s="319"/>
      <c r="LLW17" s="319"/>
      <c r="LLX17" s="319"/>
      <c r="LLY17" s="319"/>
      <c r="LLZ17" s="319"/>
      <c r="LMA17" s="319"/>
      <c r="LMB17" s="319"/>
      <c r="LMC17" s="319"/>
      <c r="LMD17" s="319"/>
      <c r="LME17" s="319"/>
      <c r="LMF17" s="319"/>
      <c r="LMG17" s="319"/>
      <c r="LMH17" s="319"/>
      <c r="LMI17" s="319"/>
      <c r="LMJ17" s="319"/>
      <c r="LMK17" s="319"/>
      <c r="LML17" s="319"/>
      <c r="LMM17" s="319"/>
      <c r="LMN17" s="319"/>
      <c r="LMO17" s="319"/>
      <c r="LMP17" s="319"/>
      <c r="LMQ17" s="319"/>
      <c r="LMR17" s="319"/>
      <c r="LMS17" s="319"/>
      <c r="LMT17" s="319"/>
      <c r="LMU17" s="319"/>
      <c r="LMV17" s="319"/>
      <c r="LMW17" s="319"/>
      <c r="LMX17" s="319"/>
      <c r="LMY17" s="319"/>
      <c r="LMZ17" s="319"/>
      <c r="LNA17" s="319"/>
      <c r="LNB17" s="319"/>
      <c r="LNC17" s="319"/>
      <c r="LND17" s="319"/>
      <c r="LNE17" s="319"/>
      <c r="LNF17" s="319"/>
      <c r="LNG17" s="319"/>
      <c r="LNH17" s="319"/>
      <c r="LNI17" s="319"/>
      <c r="LNJ17" s="319"/>
      <c r="LNK17" s="319"/>
      <c r="LNL17" s="319"/>
      <c r="LNM17" s="319"/>
      <c r="LNN17" s="319"/>
      <c r="LNO17" s="319"/>
      <c r="LNP17" s="319"/>
      <c r="LNQ17" s="319"/>
      <c r="LNR17" s="319"/>
      <c r="LNS17" s="319"/>
      <c r="LNT17" s="319"/>
      <c r="LNU17" s="319"/>
      <c r="LNV17" s="319"/>
      <c r="LNW17" s="319"/>
      <c r="LNX17" s="319"/>
      <c r="LNY17" s="319"/>
      <c r="LNZ17" s="319"/>
      <c r="LOA17" s="319"/>
      <c r="LOB17" s="319"/>
      <c r="LOC17" s="319"/>
      <c r="LOD17" s="319"/>
      <c r="LOE17" s="319"/>
      <c r="LOF17" s="319"/>
      <c r="LOG17" s="319"/>
      <c r="LOH17" s="319"/>
      <c r="LOI17" s="319"/>
      <c r="LOJ17" s="319"/>
      <c r="LOK17" s="319"/>
      <c r="LOL17" s="319"/>
      <c r="LOM17" s="319"/>
      <c r="LON17" s="319"/>
      <c r="LOO17" s="319"/>
      <c r="LOP17" s="319"/>
      <c r="LOQ17" s="319"/>
      <c r="LOR17" s="319"/>
      <c r="LOS17" s="319"/>
      <c r="LOT17" s="319"/>
      <c r="LOU17" s="319"/>
      <c r="LOV17" s="319"/>
      <c r="LOW17" s="319"/>
      <c r="LOX17" s="319"/>
      <c r="LOY17" s="319"/>
      <c r="LOZ17" s="319"/>
      <c r="LPA17" s="319"/>
      <c r="LPB17" s="319"/>
      <c r="LPC17" s="319"/>
      <c r="LPD17" s="319"/>
      <c r="LPE17" s="319"/>
      <c r="LPF17" s="319"/>
      <c r="LPG17" s="319"/>
      <c r="LPH17" s="319"/>
      <c r="LPI17" s="319"/>
      <c r="LPJ17" s="319"/>
      <c r="LPK17" s="319"/>
      <c r="LPL17" s="319"/>
      <c r="LPM17" s="319"/>
      <c r="LPN17" s="319"/>
      <c r="LPO17" s="319"/>
      <c r="LPP17" s="319"/>
      <c r="LPQ17" s="319"/>
      <c r="LPR17" s="319"/>
      <c r="LPS17" s="319"/>
      <c r="LPT17" s="319"/>
      <c r="LPU17" s="319"/>
      <c r="LPV17" s="319"/>
      <c r="LPW17" s="319"/>
      <c r="LPX17" s="319"/>
      <c r="LPY17" s="319"/>
      <c r="LPZ17" s="319"/>
      <c r="LQA17" s="319"/>
      <c r="LQB17" s="319"/>
      <c r="LQC17" s="319"/>
      <c r="LQD17" s="319"/>
      <c r="LQE17" s="319"/>
      <c r="LQF17" s="319"/>
      <c r="LQG17" s="319"/>
      <c r="LQH17" s="319"/>
      <c r="LQI17" s="319"/>
      <c r="LQJ17" s="319"/>
      <c r="LQK17" s="319"/>
      <c r="LQL17" s="319"/>
      <c r="LQM17" s="319"/>
      <c r="LQN17" s="319"/>
      <c r="LQO17" s="319"/>
      <c r="LQP17" s="319"/>
      <c r="LQQ17" s="319"/>
      <c r="LQR17" s="319"/>
      <c r="LQS17" s="319"/>
      <c r="LQT17" s="319"/>
      <c r="LQU17" s="319"/>
      <c r="LQV17" s="319"/>
      <c r="LQW17" s="319"/>
      <c r="LQX17" s="319"/>
      <c r="LQY17" s="319"/>
      <c r="LQZ17" s="319"/>
      <c r="LRA17" s="319"/>
      <c r="LRB17" s="319"/>
      <c r="LRC17" s="319"/>
      <c r="LRD17" s="319"/>
      <c r="LRE17" s="319"/>
      <c r="LRF17" s="319"/>
      <c r="LRG17" s="319"/>
      <c r="LRH17" s="319"/>
      <c r="LRI17" s="319"/>
      <c r="LRJ17" s="319"/>
      <c r="LRK17" s="319"/>
      <c r="LRL17" s="319"/>
      <c r="LRM17" s="319"/>
      <c r="LRN17" s="319"/>
      <c r="LRO17" s="319"/>
      <c r="LRP17" s="319"/>
      <c r="LRQ17" s="319"/>
      <c r="LRR17" s="319"/>
      <c r="LRS17" s="319"/>
      <c r="LRT17" s="319"/>
      <c r="LRU17" s="319"/>
      <c r="LRV17" s="319"/>
      <c r="LRW17" s="319"/>
      <c r="LRX17" s="319"/>
      <c r="LRY17" s="319"/>
      <c r="LRZ17" s="319"/>
      <c r="LSA17" s="319"/>
      <c r="LSB17" s="319"/>
      <c r="LSC17" s="319"/>
      <c r="LSD17" s="319"/>
      <c r="LSE17" s="319"/>
      <c r="LSF17" s="319"/>
      <c r="LSG17" s="319"/>
      <c r="LSH17" s="319"/>
      <c r="LSI17" s="319"/>
      <c r="LSJ17" s="319"/>
      <c r="LSK17" s="319"/>
      <c r="LSL17" s="319"/>
      <c r="LSM17" s="319"/>
      <c r="LSN17" s="319"/>
      <c r="LSO17" s="319"/>
      <c r="LSP17" s="319"/>
      <c r="LSQ17" s="319"/>
      <c r="LSR17" s="319"/>
      <c r="LSS17" s="319"/>
      <c r="LST17" s="319"/>
      <c r="LSU17" s="319"/>
      <c r="LSV17" s="319"/>
      <c r="LSW17" s="319"/>
      <c r="LSX17" s="319"/>
      <c r="LSY17" s="319"/>
      <c r="LSZ17" s="319"/>
      <c r="LTA17" s="319"/>
      <c r="LTB17" s="319"/>
      <c r="LTC17" s="319"/>
      <c r="LTD17" s="319"/>
      <c r="LTE17" s="319"/>
      <c r="LTF17" s="319"/>
      <c r="LTG17" s="319"/>
      <c r="LTH17" s="319"/>
      <c r="LTI17" s="319"/>
      <c r="LTJ17" s="319"/>
      <c r="LTK17" s="319"/>
      <c r="LTL17" s="319"/>
      <c r="LTM17" s="319"/>
      <c r="LTN17" s="319"/>
      <c r="LTO17" s="319"/>
      <c r="LTP17" s="319"/>
      <c r="LTQ17" s="319"/>
      <c r="LTR17" s="319"/>
      <c r="LTS17" s="319"/>
      <c r="LTT17" s="319"/>
      <c r="LTU17" s="319"/>
      <c r="LTV17" s="319"/>
      <c r="LTW17" s="319"/>
      <c r="LTX17" s="319"/>
      <c r="LTY17" s="319"/>
      <c r="LTZ17" s="319"/>
      <c r="LUA17" s="319"/>
      <c r="LUB17" s="319"/>
      <c r="LUC17" s="319"/>
      <c r="LUD17" s="319"/>
      <c r="LUE17" s="319"/>
      <c r="LUF17" s="319"/>
      <c r="LUG17" s="319"/>
      <c r="LUH17" s="319"/>
      <c r="LUI17" s="319"/>
      <c r="LUJ17" s="319"/>
      <c r="LUK17" s="319"/>
      <c r="LUL17" s="319"/>
      <c r="LUM17" s="319"/>
      <c r="LUN17" s="319"/>
      <c r="LUO17" s="319"/>
      <c r="LUP17" s="319"/>
      <c r="LUQ17" s="319"/>
      <c r="LUR17" s="319"/>
      <c r="LUS17" s="319"/>
      <c r="LUT17" s="319"/>
      <c r="LUU17" s="319"/>
      <c r="LUV17" s="319"/>
      <c r="LUW17" s="319"/>
      <c r="LUX17" s="319"/>
      <c r="LUY17" s="319"/>
      <c r="LUZ17" s="319"/>
      <c r="LVA17" s="319"/>
      <c r="LVB17" s="319"/>
      <c r="LVC17" s="319"/>
      <c r="LVD17" s="319"/>
      <c r="LVE17" s="319"/>
      <c r="LVF17" s="319"/>
      <c r="LVG17" s="319"/>
      <c r="LVH17" s="319"/>
      <c r="LVI17" s="319"/>
      <c r="LVJ17" s="319"/>
      <c r="LVK17" s="319"/>
      <c r="LVL17" s="319"/>
      <c r="LVM17" s="319"/>
      <c r="LVN17" s="319"/>
      <c r="LVO17" s="319"/>
      <c r="LVP17" s="319"/>
      <c r="LVQ17" s="319"/>
      <c r="LVR17" s="319"/>
      <c r="LVS17" s="319"/>
      <c r="LVT17" s="319"/>
      <c r="LVU17" s="319"/>
      <c r="LVV17" s="319"/>
      <c r="LVW17" s="319"/>
      <c r="LVX17" s="319"/>
      <c r="LVY17" s="319"/>
      <c r="LVZ17" s="319"/>
      <c r="LWA17" s="319"/>
      <c r="LWB17" s="319"/>
      <c r="LWC17" s="319"/>
      <c r="LWD17" s="319"/>
      <c r="LWE17" s="319"/>
      <c r="LWF17" s="319"/>
      <c r="LWG17" s="319"/>
      <c r="LWH17" s="319"/>
      <c r="LWI17" s="319"/>
      <c r="LWJ17" s="319"/>
      <c r="LWK17" s="319"/>
      <c r="LWL17" s="319"/>
      <c r="LWM17" s="319"/>
      <c r="LWN17" s="319"/>
      <c r="LWO17" s="319"/>
      <c r="LWP17" s="319"/>
      <c r="LWQ17" s="319"/>
      <c r="LWR17" s="319"/>
      <c r="LWS17" s="319"/>
      <c r="LWT17" s="319"/>
      <c r="LWU17" s="319"/>
      <c r="LWV17" s="319"/>
      <c r="LWW17" s="319"/>
      <c r="LWX17" s="319"/>
      <c r="LWY17" s="319"/>
      <c r="LWZ17" s="319"/>
      <c r="LXA17" s="319"/>
      <c r="LXB17" s="319"/>
      <c r="LXC17" s="319"/>
      <c r="LXD17" s="319"/>
      <c r="LXE17" s="319"/>
      <c r="LXF17" s="319"/>
      <c r="LXG17" s="319"/>
      <c r="LXH17" s="319"/>
      <c r="LXI17" s="319"/>
      <c r="LXJ17" s="319"/>
      <c r="LXK17" s="319"/>
      <c r="LXL17" s="319"/>
      <c r="LXM17" s="319"/>
      <c r="LXN17" s="319"/>
      <c r="LXO17" s="319"/>
      <c r="LXP17" s="319"/>
      <c r="LXQ17" s="319"/>
      <c r="LXR17" s="319"/>
      <c r="LXS17" s="319"/>
      <c r="LXT17" s="319"/>
      <c r="LXU17" s="319"/>
      <c r="LXV17" s="319"/>
      <c r="LXW17" s="319"/>
      <c r="LXX17" s="319"/>
      <c r="LXY17" s="319"/>
      <c r="LXZ17" s="319"/>
      <c r="LYA17" s="319"/>
      <c r="LYB17" s="319"/>
      <c r="LYC17" s="319"/>
      <c r="LYD17" s="319"/>
      <c r="LYE17" s="319"/>
      <c r="LYF17" s="319"/>
      <c r="LYG17" s="319"/>
      <c r="LYH17" s="319"/>
      <c r="LYI17" s="319"/>
      <c r="LYJ17" s="319"/>
      <c r="LYK17" s="319"/>
      <c r="LYL17" s="319"/>
      <c r="LYM17" s="319"/>
      <c r="LYN17" s="319"/>
      <c r="LYO17" s="319"/>
      <c r="LYP17" s="319"/>
      <c r="LYQ17" s="319"/>
      <c r="LYR17" s="319"/>
      <c r="LYS17" s="319"/>
      <c r="LYT17" s="319"/>
      <c r="LYU17" s="319"/>
      <c r="LYV17" s="319"/>
      <c r="LYW17" s="319"/>
      <c r="LYX17" s="319"/>
      <c r="LYY17" s="319"/>
      <c r="LYZ17" s="319"/>
      <c r="LZA17" s="319"/>
      <c r="LZB17" s="319"/>
      <c r="LZC17" s="319"/>
      <c r="LZD17" s="319"/>
      <c r="LZE17" s="319"/>
      <c r="LZF17" s="319"/>
      <c r="LZG17" s="319"/>
      <c r="LZH17" s="319"/>
      <c r="LZI17" s="319"/>
      <c r="LZJ17" s="319"/>
      <c r="LZK17" s="319"/>
      <c r="LZL17" s="319"/>
      <c r="LZM17" s="319"/>
      <c r="LZN17" s="319"/>
      <c r="LZO17" s="319"/>
      <c r="LZP17" s="319"/>
      <c r="LZQ17" s="319"/>
      <c r="LZR17" s="319"/>
      <c r="LZS17" s="319"/>
      <c r="LZT17" s="319"/>
      <c r="LZU17" s="319"/>
      <c r="LZV17" s="319"/>
      <c r="LZW17" s="319"/>
      <c r="LZX17" s="319"/>
      <c r="LZY17" s="319"/>
      <c r="LZZ17" s="319"/>
      <c r="MAA17" s="319"/>
      <c r="MAB17" s="319"/>
      <c r="MAC17" s="319"/>
      <c r="MAD17" s="319"/>
      <c r="MAE17" s="319"/>
      <c r="MAF17" s="319"/>
      <c r="MAG17" s="319"/>
      <c r="MAH17" s="319"/>
      <c r="MAI17" s="319"/>
      <c r="MAJ17" s="319"/>
      <c r="MAK17" s="319"/>
      <c r="MAL17" s="319"/>
      <c r="MAM17" s="319"/>
      <c r="MAN17" s="319"/>
      <c r="MAO17" s="319"/>
      <c r="MAP17" s="319"/>
      <c r="MAQ17" s="319"/>
      <c r="MAR17" s="319"/>
      <c r="MAS17" s="319"/>
      <c r="MAT17" s="319"/>
      <c r="MAU17" s="319"/>
      <c r="MAV17" s="319"/>
      <c r="MAW17" s="319"/>
      <c r="MAX17" s="319"/>
      <c r="MAY17" s="319"/>
      <c r="MAZ17" s="319"/>
      <c r="MBA17" s="319"/>
      <c r="MBB17" s="319"/>
      <c r="MBC17" s="319"/>
      <c r="MBD17" s="319"/>
      <c r="MBE17" s="319"/>
      <c r="MBF17" s="319"/>
      <c r="MBG17" s="319"/>
      <c r="MBH17" s="319"/>
      <c r="MBI17" s="319"/>
      <c r="MBJ17" s="319"/>
      <c r="MBK17" s="319"/>
      <c r="MBL17" s="319"/>
      <c r="MBM17" s="319"/>
      <c r="MBN17" s="319"/>
      <c r="MBO17" s="319"/>
      <c r="MBP17" s="319"/>
      <c r="MBQ17" s="319"/>
      <c r="MBR17" s="319"/>
      <c r="MBS17" s="319"/>
      <c r="MBT17" s="319"/>
      <c r="MBU17" s="319"/>
      <c r="MBV17" s="319"/>
      <c r="MBW17" s="319"/>
      <c r="MBX17" s="319"/>
      <c r="MBY17" s="319"/>
      <c r="MBZ17" s="319"/>
      <c r="MCA17" s="319"/>
      <c r="MCB17" s="319"/>
      <c r="MCC17" s="319"/>
      <c r="MCD17" s="319"/>
      <c r="MCE17" s="319"/>
      <c r="MCF17" s="319"/>
      <c r="MCG17" s="319"/>
      <c r="MCH17" s="319"/>
      <c r="MCI17" s="319"/>
      <c r="MCJ17" s="319"/>
      <c r="MCK17" s="319"/>
      <c r="MCL17" s="319"/>
      <c r="MCM17" s="319"/>
      <c r="MCN17" s="319"/>
      <c r="MCO17" s="319"/>
      <c r="MCP17" s="319"/>
      <c r="MCQ17" s="319"/>
      <c r="MCR17" s="319"/>
      <c r="MCS17" s="319"/>
      <c r="MCT17" s="319"/>
      <c r="MCU17" s="319"/>
      <c r="MCV17" s="319"/>
      <c r="MCW17" s="319"/>
      <c r="MCX17" s="319"/>
      <c r="MCY17" s="319"/>
      <c r="MCZ17" s="319"/>
      <c r="MDA17" s="319"/>
      <c r="MDB17" s="319"/>
      <c r="MDC17" s="319"/>
      <c r="MDD17" s="319"/>
      <c r="MDE17" s="319"/>
      <c r="MDF17" s="319"/>
      <c r="MDG17" s="319"/>
      <c r="MDH17" s="319"/>
      <c r="MDI17" s="319"/>
      <c r="MDJ17" s="319"/>
      <c r="MDK17" s="319"/>
      <c r="MDL17" s="319"/>
      <c r="MDM17" s="319"/>
      <c r="MDN17" s="319"/>
      <c r="MDO17" s="319"/>
      <c r="MDP17" s="319"/>
      <c r="MDQ17" s="319"/>
      <c r="MDR17" s="319"/>
      <c r="MDS17" s="319"/>
      <c r="MDT17" s="319"/>
      <c r="MDU17" s="319"/>
      <c r="MDV17" s="319"/>
      <c r="MDW17" s="319"/>
      <c r="MDX17" s="319"/>
      <c r="MDY17" s="319"/>
      <c r="MDZ17" s="319"/>
      <c r="MEA17" s="319"/>
      <c r="MEB17" s="319"/>
      <c r="MEC17" s="319"/>
      <c r="MED17" s="319"/>
      <c r="MEE17" s="319"/>
      <c r="MEF17" s="319"/>
      <c r="MEG17" s="319"/>
      <c r="MEH17" s="319"/>
      <c r="MEI17" s="319"/>
      <c r="MEJ17" s="319"/>
      <c r="MEK17" s="319"/>
      <c r="MEL17" s="319"/>
      <c r="MEM17" s="319"/>
      <c r="MEN17" s="319"/>
      <c r="MEO17" s="319"/>
      <c r="MEP17" s="319"/>
      <c r="MEQ17" s="319"/>
      <c r="MER17" s="319"/>
      <c r="MES17" s="319"/>
      <c r="MET17" s="319"/>
      <c r="MEU17" s="319"/>
      <c r="MEV17" s="319"/>
      <c r="MEW17" s="319"/>
      <c r="MEX17" s="319"/>
      <c r="MEY17" s="319"/>
      <c r="MEZ17" s="319"/>
      <c r="MFA17" s="319"/>
      <c r="MFB17" s="319"/>
      <c r="MFC17" s="319"/>
      <c r="MFD17" s="319"/>
      <c r="MFE17" s="319"/>
      <c r="MFF17" s="319"/>
      <c r="MFG17" s="319"/>
      <c r="MFH17" s="319"/>
      <c r="MFI17" s="319"/>
      <c r="MFJ17" s="319"/>
      <c r="MFK17" s="319"/>
      <c r="MFL17" s="319"/>
      <c r="MFM17" s="319"/>
      <c r="MFN17" s="319"/>
      <c r="MFO17" s="319"/>
      <c r="MFP17" s="319"/>
      <c r="MFQ17" s="319"/>
      <c r="MFR17" s="319"/>
      <c r="MFS17" s="319"/>
      <c r="MFT17" s="319"/>
      <c r="MFU17" s="319"/>
      <c r="MFV17" s="319"/>
      <c r="MFW17" s="319"/>
      <c r="MFX17" s="319"/>
      <c r="MFY17" s="319"/>
      <c r="MFZ17" s="319"/>
      <c r="MGA17" s="319"/>
      <c r="MGB17" s="319"/>
      <c r="MGC17" s="319"/>
      <c r="MGD17" s="319"/>
      <c r="MGE17" s="319"/>
      <c r="MGF17" s="319"/>
      <c r="MGG17" s="319"/>
      <c r="MGH17" s="319"/>
      <c r="MGI17" s="319"/>
      <c r="MGJ17" s="319"/>
      <c r="MGK17" s="319"/>
      <c r="MGL17" s="319"/>
      <c r="MGM17" s="319"/>
      <c r="MGN17" s="319"/>
      <c r="MGO17" s="319"/>
      <c r="MGP17" s="319"/>
      <c r="MGQ17" s="319"/>
      <c r="MGR17" s="319"/>
      <c r="MGS17" s="319"/>
      <c r="MGT17" s="319"/>
      <c r="MGU17" s="319"/>
      <c r="MGV17" s="319"/>
      <c r="MGW17" s="319"/>
      <c r="MGX17" s="319"/>
      <c r="MGY17" s="319"/>
      <c r="MGZ17" s="319"/>
      <c r="MHA17" s="319"/>
      <c r="MHB17" s="319"/>
      <c r="MHC17" s="319"/>
      <c r="MHD17" s="319"/>
      <c r="MHE17" s="319"/>
      <c r="MHF17" s="319"/>
      <c r="MHG17" s="319"/>
      <c r="MHH17" s="319"/>
      <c r="MHI17" s="319"/>
      <c r="MHJ17" s="319"/>
      <c r="MHK17" s="319"/>
      <c r="MHL17" s="319"/>
      <c r="MHM17" s="319"/>
      <c r="MHN17" s="319"/>
      <c r="MHO17" s="319"/>
      <c r="MHP17" s="319"/>
      <c r="MHQ17" s="319"/>
      <c r="MHR17" s="319"/>
      <c r="MHS17" s="319"/>
      <c r="MHT17" s="319"/>
      <c r="MHU17" s="319"/>
      <c r="MHV17" s="319"/>
      <c r="MHW17" s="319"/>
      <c r="MHX17" s="319"/>
      <c r="MHY17" s="319"/>
      <c r="MHZ17" s="319"/>
      <c r="MIA17" s="319"/>
      <c r="MIB17" s="319"/>
      <c r="MIC17" s="319"/>
      <c r="MID17" s="319"/>
      <c r="MIE17" s="319"/>
      <c r="MIF17" s="319"/>
      <c r="MIG17" s="319"/>
      <c r="MIH17" s="319"/>
      <c r="MII17" s="319"/>
      <c r="MIJ17" s="319"/>
      <c r="MIK17" s="319"/>
      <c r="MIL17" s="319"/>
      <c r="MIM17" s="319"/>
      <c r="MIN17" s="319"/>
      <c r="MIO17" s="319"/>
      <c r="MIP17" s="319"/>
      <c r="MIQ17" s="319"/>
      <c r="MIR17" s="319"/>
      <c r="MIS17" s="319"/>
      <c r="MIT17" s="319"/>
      <c r="MIU17" s="319"/>
      <c r="MIV17" s="319"/>
      <c r="MIW17" s="319"/>
      <c r="MIX17" s="319"/>
      <c r="MIY17" s="319"/>
      <c r="MIZ17" s="319"/>
      <c r="MJA17" s="319"/>
      <c r="MJB17" s="319"/>
      <c r="MJC17" s="319"/>
      <c r="MJD17" s="319"/>
      <c r="MJE17" s="319"/>
      <c r="MJF17" s="319"/>
      <c r="MJG17" s="319"/>
      <c r="MJH17" s="319"/>
      <c r="MJI17" s="319"/>
      <c r="MJJ17" s="319"/>
      <c r="MJK17" s="319"/>
      <c r="MJL17" s="319"/>
      <c r="MJM17" s="319"/>
      <c r="MJN17" s="319"/>
      <c r="MJO17" s="319"/>
      <c r="MJP17" s="319"/>
      <c r="MJQ17" s="319"/>
      <c r="MJR17" s="319"/>
      <c r="MJS17" s="319"/>
      <c r="MJT17" s="319"/>
      <c r="MJU17" s="319"/>
      <c r="MJV17" s="319"/>
      <c r="MJW17" s="319"/>
      <c r="MJX17" s="319"/>
      <c r="MJY17" s="319"/>
      <c r="MJZ17" s="319"/>
      <c r="MKA17" s="319"/>
      <c r="MKB17" s="319"/>
      <c r="MKC17" s="319"/>
      <c r="MKD17" s="319"/>
      <c r="MKE17" s="319"/>
      <c r="MKF17" s="319"/>
      <c r="MKG17" s="319"/>
      <c r="MKH17" s="319"/>
      <c r="MKI17" s="319"/>
      <c r="MKJ17" s="319"/>
      <c r="MKK17" s="319"/>
      <c r="MKL17" s="319"/>
      <c r="MKM17" s="319"/>
      <c r="MKN17" s="319"/>
      <c r="MKO17" s="319"/>
      <c r="MKP17" s="319"/>
      <c r="MKQ17" s="319"/>
      <c r="MKR17" s="319"/>
      <c r="MKS17" s="319"/>
      <c r="MKT17" s="319"/>
      <c r="MKU17" s="319"/>
      <c r="MKV17" s="319"/>
      <c r="MKW17" s="319"/>
      <c r="MKX17" s="319"/>
      <c r="MKY17" s="319"/>
      <c r="MKZ17" s="319"/>
      <c r="MLA17" s="319"/>
      <c r="MLB17" s="319"/>
      <c r="MLC17" s="319"/>
      <c r="MLD17" s="319"/>
      <c r="MLE17" s="319"/>
      <c r="MLF17" s="319"/>
      <c r="MLG17" s="319"/>
      <c r="MLH17" s="319"/>
      <c r="MLI17" s="319"/>
      <c r="MLJ17" s="319"/>
      <c r="MLK17" s="319"/>
      <c r="MLL17" s="319"/>
      <c r="MLM17" s="319"/>
      <c r="MLN17" s="319"/>
      <c r="MLO17" s="319"/>
      <c r="MLP17" s="319"/>
      <c r="MLQ17" s="319"/>
      <c r="MLR17" s="319"/>
      <c r="MLS17" s="319"/>
      <c r="MLT17" s="319"/>
      <c r="MLU17" s="319"/>
      <c r="MLV17" s="319"/>
      <c r="MLW17" s="319"/>
      <c r="MLX17" s="319"/>
      <c r="MLY17" s="319"/>
      <c r="MLZ17" s="319"/>
      <c r="MMA17" s="319"/>
      <c r="MMB17" s="319"/>
      <c r="MMC17" s="319"/>
      <c r="MMD17" s="319"/>
      <c r="MME17" s="319"/>
      <c r="MMF17" s="319"/>
      <c r="MMG17" s="319"/>
      <c r="MMH17" s="319"/>
      <c r="MMI17" s="319"/>
      <c r="MMJ17" s="319"/>
      <c r="MMK17" s="319"/>
      <c r="MML17" s="319"/>
      <c r="MMM17" s="319"/>
      <c r="MMN17" s="319"/>
      <c r="MMO17" s="319"/>
      <c r="MMP17" s="319"/>
      <c r="MMQ17" s="319"/>
      <c r="MMR17" s="319"/>
      <c r="MMS17" s="319"/>
      <c r="MMT17" s="319"/>
      <c r="MMU17" s="319"/>
      <c r="MMV17" s="319"/>
      <c r="MMW17" s="319"/>
      <c r="MMX17" s="319"/>
      <c r="MMY17" s="319"/>
      <c r="MMZ17" s="319"/>
      <c r="MNA17" s="319"/>
      <c r="MNB17" s="319"/>
      <c r="MNC17" s="319"/>
      <c r="MND17" s="319"/>
      <c r="MNE17" s="319"/>
      <c r="MNF17" s="319"/>
      <c r="MNG17" s="319"/>
      <c r="MNH17" s="319"/>
      <c r="MNI17" s="319"/>
      <c r="MNJ17" s="319"/>
      <c r="MNK17" s="319"/>
      <c r="MNL17" s="319"/>
      <c r="MNM17" s="319"/>
      <c r="MNN17" s="319"/>
      <c r="MNO17" s="319"/>
      <c r="MNP17" s="319"/>
      <c r="MNQ17" s="319"/>
      <c r="MNR17" s="319"/>
      <c r="MNS17" s="319"/>
      <c r="MNT17" s="319"/>
      <c r="MNU17" s="319"/>
      <c r="MNV17" s="319"/>
      <c r="MNW17" s="319"/>
      <c r="MNX17" s="319"/>
      <c r="MNY17" s="319"/>
      <c r="MNZ17" s="319"/>
      <c r="MOA17" s="319"/>
      <c r="MOB17" s="319"/>
      <c r="MOC17" s="319"/>
      <c r="MOD17" s="319"/>
      <c r="MOE17" s="319"/>
      <c r="MOF17" s="319"/>
      <c r="MOG17" s="319"/>
      <c r="MOH17" s="319"/>
      <c r="MOI17" s="319"/>
      <c r="MOJ17" s="319"/>
      <c r="MOK17" s="319"/>
      <c r="MOL17" s="319"/>
      <c r="MOM17" s="319"/>
      <c r="MON17" s="319"/>
      <c r="MOO17" s="319"/>
      <c r="MOP17" s="319"/>
      <c r="MOQ17" s="319"/>
      <c r="MOR17" s="319"/>
      <c r="MOS17" s="319"/>
      <c r="MOT17" s="319"/>
      <c r="MOU17" s="319"/>
      <c r="MOV17" s="319"/>
      <c r="MOW17" s="319"/>
      <c r="MOX17" s="319"/>
      <c r="MOY17" s="319"/>
      <c r="MOZ17" s="319"/>
      <c r="MPA17" s="319"/>
      <c r="MPB17" s="319"/>
      <c r="MPC17" s="319"/>
      <c r="MPD17" s="319"/>
      <c r="MPE17" s="319"/>
      <c r="MPF17" s="319"/>
      <c r="MPG17" s="319"/>
      <c r="MPH17" s="319"/>
      <c r="MPI17" s="319"/>
      <c r="MPJ17" s="319"/>
      <c r="MPK17" s="319"/>
      <c r="MPL17" s="319"/>
      <c r="MPM17" s="319"/>
      <c r="MPN17" s="319"/>
      <c r="MPO17" s="319"/>
      <c r="MPP17" s="319"/>
      <c r="MPQ17" s="319"/>
      <c r="MPR17" s="319"/>
      <c r="MPS17" s="319"/>
      <c r="MPT17" s="319"/>
      <c r="MPU17" s="319"/>
      <c r="MPV17" s="319"/>
      <c r="MPW17" s="319"/>
      <c r="MPX17" s="319"/>
      <c r="MPY17" s="319"/>
      <c r="MPZ17" s="319"/>
      <c r="MQA17" s="319"/>
      <c r="MQB17" s="319"/>
      <c r="MQC17" s="319"/>
      <c r="MQD17" s="319"/>
      <c r="MQE17" s="319"/>
      <c r="MQF17" s="319"/>
      <c r="MQG17" s="319"/>
      <c r="MQH17" s="319"/>
      <c r="MQI17" s="319"/>
      <c r="MQJ17" s="319"/>
      <c r="MQK17" s="319"/>
      <c r="MQL17" s="319"/>
      <c r="MQM17" s="319"/>
      <c r="MQN17" s="319"/>
      <c r="MQO17" s="319"/>
      <c r="MQP17" s="319"/>
      <c r="MQQ17" s="319"/>
      <c r="MQR17" s="319"/>
      <c r="MQS17" s="319"/>
      <c r="MQT17" s="319"/>
      <c r="MQU17" s="319"/>
      <c r="MQV17" s="319"/>
      <c r="MQW17" s="319"/>
      <c r="MQX17" s="319"/>
      <c r="MQY17" s="319"/>
      <c r="MQZ17" s="319"/>
      <c r="MRA17" s="319"/>
      <c r="MRB17" s="319"/>
      <c r="MRC17" s="319"/>
      <c r="MRD17" s="319"/>
      <c r="MRE17" s="319"/>
      <c r="MRF17" s="319"/>
      <c r="MRG17" s="319"/>
      <c r="MRH17" s="319"/>
      <c r="MRI17" s="319"/>
      <c r="MRJ17" s="319"/>
      <c r="MRK17" s="319"/>
      <c r="MRL17" s="319"/>
      <c r="MRM17" s="319"/>
      <c r="MRN17" s="319"/>
      <c r="MRO17" s="319"/>
      <c r="MRP17" s="319"/>
      <c r="MRQ17" s="319"/>
      <c r="MRR17" s="319"/>
      <c r="MRS17" s="319"/>
      <c r="MRT17" s="319"/>
      <c r="MRU17" s="319"/>
      <c r="MRV17" s="319"/>
      <c r="MRW17" s="319"/>
      <c r="MRX17" s="319"/>
      <c r="MRY17" s="319"/>
      <c r="MRZ17" s="319"/>
      <c r="MSA17" s="319"/>
      <c r="MSB17" s="319"/>
      <c r="MSC17" s="319"/>
      <c r="MSD17" s="319"/>
      <c r="MSE17" s="319"/>
      <c r="MSF17" s="319"/>
      <c r="MSG17" s="319"/>
      <c r="MSH17" s="319"/>
      <c r="MSI17" s="319"/>
      <c r="MSJ17" s="319"/>
      <c r="MSK17" s="319"/>
      <c r="MSL17" s="319"/>
      <c r="MSM17" s="319"/>
      <c r="MSN17" s="319"/>
      <c r="MSO17" s="319"/>
      <c r="MSP17" s="319"/>
      <c r="MSQ17" s="319"/>
      <c r="MSR17" s="319"/>
      <c r="MSS17" s="319"/>
      <c r="MST17" s="319"/>
      <c r="MSU17" s="319"/>
      <c r="MSV17" s="319"/>
      <c r="MSW17" s="319"/>
      <c r="MSX17" s="319"/>
      <c r="MSY17" s="319"/>
      <c r="MSZ17" s="319"/>
      <c r="MTA17" s="319"/>
      <c r="MTB17" s="319"/>
      <c r="MTC17" s="319"/>
      <c r="MTD17" s="319"/>
      <c r="MTE17" s="319"/>
      <c r="MTF17" s="319"/>
      <c r="MTG17" s="319"/>
      <c r="MTH17" s="319"/>
      <c r="MTI17" s="319"/>
      <c r="MTJ17" s="319"/>
      <c r="MTK17" s="319"/>
      <c r="MTL17" s="319"/>
      <c r="MTM17" s="319"/>
      <c r="MTN17" s="319"/>
      <c r="MTO17" s="319"/>
      <c r="MTP17" s="319"/>
      <c r="MTQ17" s="319"/>
      <c r="MTR17" s="319"/>
      <c r="MTS17" s="319"/>
      <c r="MTT17" s="319"/>
      <c r="MTU17" s="319"/>
      <c r="MTV17" s="319"/>
      <c r="MTW17" s="319"/>
      <c r="MTX17" s="319"/>
      <c r="MTY17" s="319"/>
      <c r="MTZ17" s="319"/>
      <c r="MUA17" s="319"/>
      <c r="MUB17" s="319"/>
      <c r="MUC17" s="319"/>
      <c r="MUD17" s="319"/>
      <c r="MUE17" s="319"/>
      <c r="MUF17" s="319"/>
      <c r="MUG17" s="319"/>
      <c r="MUH17" s="319"/>
      <c r="MUI17" s="319"/>
      <c r="MUJ17" s="319"/>
      <c r="MUK17" s="319"/>
      <c r="MUL17" s="319"/>
      <c r="MUM17" s="319"/>
      <c r="MUN17" s="319"/>
      <c r="MUO17" s="319"/>
      <c r="MUP17" s="319"/>
      <c r="MUQ17" s="319"/>
      <c r="MUR17" s="319"/>
      <c r="MUS17" s="319"/>
      <c r="MUT17" s="319"/>
      <c r="MUU17" s="319"/>
      <c r="MUV17" s="319"/>
      <c r="MUW17" s="319"/>
      <c r="MUX17" s="319"/>
      <c r="MUY17" s="319"/>
      <c r="MUZ17" s="319"/>
      <c r="MVA17" s="319"/>
      <c r="MVB17" s="319"/>
      <c r="MVC17" s="319"/>
      <c r="MVD17" s="319"/>
      <c r="MVE17" s="319"/>
      <c r="MVF17" s="319"/>
      <c r="MVG17" s="319"/>
      <c r="MVH17" s="319"/>
      <c r="MVI17" s="319"/>
      <c r="MVJ17" s="319"/>
      <c r="MVK17" s="319"/>
      <c r="MVL17" s="319"/>
      <c r="MVM17" s="319"/>
      <c r="MVN17" s="319"/>
      <c r="MVO17" s="319"/>
      <c r="MVP17" s="319"/>
      <c r="MVQ17" s="319"/>
      <c r="MVR17" s="319"/>
      <c r="MVS17" s="319"/>
      <c r="MVT17" s="319"/>
      <c r="MVU17" s="319"/>
      <c r="MVV17" s="319"/>
      <c r="MVW17" s="319"/>
      <c r="MVX17" s="319"/>
      <c r="MVY17" s="319"/>
      <c r="MVZ17" s="319"/>
      <c r="MWA17" s="319"/>
      <c r="MWB17" s="319"/>
      <c r="MWC17" s="319"/>
      <c r="MWD17" s="319"/>
      <c r="MWE17" s="319"/>
      <c r="MWF17" s="319"/>
      <c r="MWG17" s="319"/>
      <c r="MWH17" s="319"/>
      <c r="MWI17" s="319"/>
      <c r="MWJ17" s="319"/>
      <c r="MWK17" s="319"/>
      <c r="MWL17" s="319"/>
      <c r="MWM17" s="319"/>
      <c r="MWN17" s="319"/>
      <c r="MWO17" s="319"/>
      <c r="MWP17" s="319"/>
      <c r="MWQ17" s="319"/>
      <c r="MWR17" s="319"/>
      <c r="MWS17" s="319"/>
      <c r="MWT17" s="319"/>
      <c r="MWU17" s="319"/>
      <c r="MWV17" s="319"/>
      <c r="MWW17" s="319"/>
      <c r="MWX17" s="319"/>
      <c r="MWY17" s="319"/>
      <c r="MWZ17" s="319"/>
      <c r="MXA17" s="319"/>
      <c r="MXB17" s="319"/>
      <c r="MXC17" s="319"/>
      <c r="MXD17" s="319"/>
      <c r="MXE17" s="319"/>
      <c r="MXF17" s="319"/>
      <c r="MXG17" s="319"/>
      <c r="MXH17" s="319"/>
      <c r="MXI17" s="319"/>
      <c r="MXJ17" s="319"/>
      <c r="MXK17" s="319"/>
      <c r="MXL17" s="319"/>
      <c r="MXM17" s="319"/>
      <c r="MXN17" s="319"/>
      <c r="MXO17" s="319"/>
      <c r="MXP17" s="319"/>
      <c r="MXQ17" s="319"/>
      <c r="MXR17" s="319"/>
      <c r="MXS17" s="319"/>
      <c r="MXT17" s="319"/>
      <c r="MXU17" s="319"/>
      <c r="MXV17" s="319"/>
      <c r="MXW17" s="319"/>
      <c r="MXX17" s="319"/>
      <c r="MXY17" s="319"/>
      <c r="MXZ17" s="319"/>
      <c r="MYA17" s="319"/>
      <c r="MYB17" s="319"/>
      <c r="MYC17" s="319"/>
      <c r="MYD17" s="319"/>
      <c r="MYE17" s="319"/>
      <c r="MYF17" s="319"/>
      <c r="MYG17" s="319"/>
      <c r="MYH17" s="319"/>
      <c r="MYI17" s="319"/>
      <c r="MYJ17" s="319"/>
      <c r="MYK17" s="319"/>
      <c r="MYL17" s="319"/>
      <c r="MYM17" s="319"/>
      <c r="MYN17" s="319"/>
      <c r="MYO17" s="319"/>
      <c r="MYP17" s="319"/>
      <c r="MYQ17" s="319"/>
      <c r="MYR17" s="319"/>
      <c r="MYS17" s="319"/>
      <c r="MYT17" s="319"/>
      <c r="MYU17" s="319"/>
      <c r="MYV17" s="319"/>
      <c r="MYW17" s="319"/>
      <c r="MYX17" s="319"/>
      <c r="MYY17" s="319"/>
      <c r="MYZ17" s="319"/>
      <c r="MZA17" s="319"/>
      <c r="MZB17" s="319"/>
      <c r="MZC17" s="319"/>
      <c r="MZD17" s="319"/>
      <c r="MZE17" s="319"/>
      <c r="MZF17" s="319"/>
      <c r="MZG17" s="319"/>
      <c r="MZH17" s="319"/>
      <c r="MZI17" s="319"/>
      <c r="MZJ17" s="319"/>
      <c r="MZK17" s="319"/>
      <c r="MZL17" s="319"/>
      <c r="MZM17" s="319"/>
      <c r="MZN17" s="319"/>
      <c r="MZO17" s="319"/>
      <c r="MZP17" s="319"/>
      <c r="MZQ17" s="319"/>
      <c r="MZR17" s="319"/>
      <c r="MZS17" s="319"/>
      <c r="MZT17" s="319"/>
      <c r="MZU17" s="319"/>
      <c r="MZV17" s="319"/>
      <c r="MZW17" s="319"/>
      <c r="MZX17" s="319"/>
      <c r="MZY17" s="319"/>
      <c r="MZZ17" s="319"/>
      <c r="NAA17" s="319"/>
      <c r="NAB17" s="319"/>
      <c r="NAC17" s="319"/>
      <c r="NAD17" s="319"/>
      <c r="NAE17" s="319"/>
      <c r="NAF17" s="319"/>
      <c r="NAG17" s="319"/>
      <c r="NAH17" s="319"/>
      <c r="NAI17" s="319"/>
      <c r="NAJ17" s="319"/>
      <c r="NAK17" s="319"/>
      <c r="NAL17" s="319"/>
      <c r="NAM17" s="319"/>
      <c r="NAN17" s="319"/>
      <c r="NAO17" s="319"/>
      <c r="NAP17" s="319"/>
      <c r="NAQ17" s="319"/>
      <c r="NAR17" s="319"/>
      <c r="NAS17" s="319"/>
      <c r="NAT17" s="319"/>
      <c r="NAU17" s="319"/>
      <c r="NAV17" s="319"/>
      <c r="NAW17" s="319"/>
      <c r="NAX17" s="319"/>
      <c r="NAY17" s="319"/>
      <c r="NAZ17" s="319"/>
      <c r="NBA17" s="319"/>
      <c r="NBB17" s="319"/>
      <c r="NBC17" s="319"/>
      <c r="NBD17" s="319"/>
      <c r="NBE17" s="319"/>
      <c r="NBF17" s="319"/>
      <c r="NBG17" s="319"/>
      <c r="NBH17" s="319"/>
      <c r="NBI17" s="319"/>
      <c r="NBJ17" s="319"/>
      <c r="NBK17" s="319"/>
      <c r="NBL17" s="319"/>
      <c r="NBM17" s="319"/>
      <c r="NBN17" s="319"/>
      <c r="NBO17" s="319"/>
      <c r="NBP17" s="319"/>
      <c r="NBQ17" s="319"/>
      <c r="NBR17" s="319"/>
      <c r="NBS17" s="319"/>
      <c r="NBT17" s="319"/>
      <c r="NBU17" s="319"/>
      <c r="NBV17" s="319"/>
      <c r="NBW17" s="319"/>
      <c r="NBX17" s="319"/>
      <c r="NBY17" s="319"/>
      <c r="NBZ17" s="319"/>
      <c r="NCA17" s="319"/>
      <c r="NCB17" s="319"/>
      <c r="NCC17" s="319"/>
      <c r="NCD17" s="319"/>
      <c r="NCE17" s="319"/>
      <c r="NCF17" s="319"/>
      <c r="NCG17" s="319"/>
      <c r="NCH17" s="319"/>
      <c r="NCI17" s="319"/>
      <c r="NCJ17" s="319"/>
      <c r="NCK17" s="319"/>
      <c r="NCL17" s="319"/>
      <c r="NCM17" s="319"/>
      <c r="NCN17" s="319"/>
      <c r="NCO17" s="319"/>
      <c r="NCP17" s="319"/>
      <c r="NCQ17" s="319"/>
      <c r="NCR17" s="319"/>
      <c r="NCS17" s="319"/>
      <c r="NCT17" s="319"/>
      <c r="NCU17" s="319"/>
      <c r="NCV17" s="319"/>
      <c r="NCW17" s="319"/>
      <c r="NCX17" s="319"/>
      <c r="NCY17" s="319"/>
      <c r="NCZ17" s="319"/>
      <c r="NDA17" s="319"/>
      <c r="NDB17" s="319"/>
      <c r="NDC17" s="319"/>
      <c r="NDD17" s="319"/>
      <c r="NDE17" s="319"/>
      <c r="NDF17" s="319"/>
      <c r="NDG17" s="319"/>
      <c r="NDH17" s="319"/>
      <c r="NDI17" s="319"/>
      <c r="NDJ17" s="319"/>
      <c r="NDK17" s="319"/>
      <c r="NDL17" s="319"/>
      <c r="NDM17" s="319"/>
      <c r="NDN17" s="319"/>
      <c r="NDO17" s="319"/>
      <c r="NDP17" s="319"/>
      <c r="NDQ17" s="319"/>
      <c r="NDR17" s="319"/>
      <c r="NDS17" s="319"/>
      <c r="NDT17" s="319"/>
      <c r="NDU17" s="319"/>
      <c r="NDV17" s="319"/>
      <c r="NDW17" s="319"/>
      <c r="NDX17" s="319"/>
      <c r="NDY17" s="319"/>
      <c r="NDZ17" s="319"/>
      <c r="NEA17" s="319"/>
      <c r="NEB17" s="319"/>
      <c r="NEC17" s="319"/>
      <c r="NED17" s="319"/>
      <c r="NEE17" s="319"/>
      <c r="NEF17" s="319"/>
      <c r="NEG17" s="319"/>
      <c r="NEH17" s="319"/>
      <c r="NEI17" s="319"/>
      <c r="NEJ17" s="319"/>
      <c r="NEK17" s="319"/>
      <c r="NEL17" s="319"/>
      <c r="NEM17" s="319"/>
      <c r="NEN17" s="319"/>
      <c r="NEO17" s="319"/>
      <c r="NEP17" s="319"/>
      <c r="NEQ17" s="319"/>
      <c r="NER17" s="319"/>
      <c r="NES17" s="319"/>
      <c r="NET17" s="319"/>
      <c r="NEU17" s="319"/>
      <c r="NEV17" s="319"/>
      <c r="NEW17" s="319"/>
      <c r="NEX17" s="319"/>
      <c r="NEY17" s="319"/>
      <c r="NEZ17" s="319"/>
      <c r="NFA17" s="319"/>
      <c r="NFB17" s="319"/>
      <c r="NFC17" s="319"/>
      <c r="NFD17" s="319"/>
      <c r="NFE17" s="319"/>
      <c r="NFF17" s="319"/>
      <c r="NFG17" s="319"/>
      <c r="NFH17" s="319"/>
      <c r="NFI17" s="319"/>
      <c r="NFJ17" s="319"/>
      <c r="NFK17" s="319"/>
      <c r="NFL17" s="319"/>
      <c r="NFM17" s="319"/>
      <c r="NFN17" s="319"/>
      <c r="NFO17" s="319"/>
      <c r="NFP17" s="319"/>
      <c r="NFQ17" s="319"/>
      <c r="NFR17" s="319"/>
      <c r="NFS17" s="319"/>
      <c r="NFT17" s="319"/>
      <c r="NFU17" s="319"/>
      <c r="NFV17" s="319"/>
      <c r="NFW17" s="319"/>
      <c r="NFX17" s="319"/>
      <c r="NFY17" s="319"/>
      <c r="NFZ17" s="319"/>
      <c r="NGA17" s="319"/>
      <c r="NGB17" s="319"/>
      <c r="NGC17" s="319"/>
      <c r="NGD17" s="319"/>
      <c r="NGE17" s="319"/>
      <c r="NGF17" s="319"/>
      <c r="NGG17" s="319"/>
      <c r="NGH17" s="319"/>
      <c r="NGI17" s="319"/>
      <c r="NGJ17" s="319"/>
      <c r="NGK17" s="319"/>
      <c r="NGL17" s="319"/>
      <c r="NGM17" s="319"/>
      <c r="NGN17" s="319"/>
      <c r="NGO17" s="319"/>
      <c r="NGP17" s="319"/>
      <c r="NGQ17" s="319"/>
      <c r="NGR17" s="319"/>
      <c r="NGS17" s="319"/>
      <c r="NGT17" s="319"/>
      <c r="NGU17" s="319"/>
      <c r="NGV17" s="319"/>
      <c r="NGW17" s="319"/>
      <c r="NGX17" s="319"/>
      <c r="NGY17" s="319"/>
      <c r="NGZ17" s="319"/>
      <c r="NHA17" s="319"/>
      <c r="NHB17" s="319"/>
      <c r="NHC17" s="319"/>
      <c r="NHD17" s="319"/>
      <c r="NHE17" s="319"/>
      <c r="NHF17" s="319"/>
      <c r="NHG17" s="319"/>
      <c r="NHH17" s="319"/>
      <c r="NHI17" s="319"/>
      <c r="NHJ17" s="319"/>
      <c r="NHK17" s="319"/>
      <c r="NHL17" s="319"/>
      <c r="NHM17" s="319"/>
      <c r="NHN17" s="319"/>
      <c r="NHO17" s="319"/>
      <c r="NHP17" s="319"/>
      <c r="NHQ17" s="319"/>
      <c r="NHR17" s="319"/>
      <c r="NHS17" s="319"/>
      <c r="NHT17" s="319"/>
      <c r="NHU17" s="319"/>
      <c r="NHV17" s="319"/>
      <c r="NHW17" s="319"/>
      <c r="NHX17" s="319"/>
      <c r="NHY17" s="319"/>
      <c r="NHZ17" s="319"/>
      <c r="NIA17" s="319"/>
      <c r="NIB17" s="319"/>
      <c r="NIC17" s="319"/>
      <c r="NID17" s="319"/>
      <c r="NIE17" s="319"/>
      <c r="NIF17" s="319"/>
      <c r="NIG17" s="319"/>
      <c r="NIH17" s="319"/>
      <c r="NII17" s="319"/>
      <c r="NIJ17" s="319"/>
      <c r="NIK17" s="319"/>
      <c r="NIL17" s="319"/>
      <c r="NIM17" s="319"/>
      <c r="NIN17" s="319"/>
      <c r="NIO17" s="319"/>
      <c r="NIP17" s="319"/>
      <c r="NIQ17" s="319"/>
      <c r="NIR17" s="319"/>
      <c r="NIS17" s="319"/>
      <c r="NIT17" s="319"/>
      <c r="NIU17" s="319"/>
      <c r="NIV17" s="319"/>
      <c r="NIW17" s="319"/>
      <c r="NIX17" s="319"/>
      <c r="NIY17" s="319"/>
      <c r="NIZ17" s="319"/>
      <c r="NJA17" s="319"/>
      <c r="NJB17" s="319"/>
      <c r="NJC17" s="319"/>
      <c r="NJD17" s="319"/>
      <c r="NJE17" s="319"/>
      <c r="NJF17" s="319"/>
      <c r="NJG17" s="319"/>
      <c r="NJH17" s="319"/>
      <c r="NJI17" s="319"/>
      <c r="NJJ17" s="319"/>
      <c r="NJK17" s="319"/>
      <c r="NJL17" s="319"/>
      <c r="NJM17" s="319"/>
      <c r="NJN17" s="319"/>
      <c r="NJO17" s="319"/>
      <c r="NJP17" s="319"/>
      <c r="NJQ17" s="319"/>
      <c r="NJR17" s="319"/>
      <c r="NJS17" s="319"/>
      <c r="NJT17" s="319"/>
      <c r="NJU17" s="319"/>
      <c r="NJV17" s="319"/>
      <c r="NJW17" s="319"/>
      <c r="NJX17" s="319"/>
      <c r="NJY17" s="319"/>
      <c r="NJZ17" s="319"/>
      <c r="NKA17" s="319"/>
      <c r="NKB17" s="319"/>
      <c r="NKC17" s="319"/>
      <c r="NKD17" s="319"/>
      <c r="NKE17" s="319"/>
      <c r="NKF17" s="319"/>
      <c r="NKG17" s="319"/>
      <c r="NKH17" s="319"/>
      <c r="NKI17" s="319"/>
      <c r="NKJ17" s="319"/>
      <c r="NKK17" s="319"/>
      <c r="NKL17" s="319"/>
      <c r="NKM17" s="319"/>
      <c r="NKN17" s="319"/>
      <c r="NKO17" s="319"/>
      <c r="NKP17" s="319"/>
      <c r="NKQ17" s="319"/>
      <c r="NKR17" s="319"/>
      <c r="NKS17" s="319"/>
      <c r="NKT17" s="319"/>
      <c r="NKU17" s="319"/>
      <c r="NKV17" s="319"/>
      <c r="NKW17" s="319"/>
      <c r="NKX17" s="319"/>
      <c r="NKY17" s="319"/>
      <c r="NKZ17" s="319"/>
      <c r="NLA17" s="319"/>
      <c r="NLB17" s="319"/>
      <c r="NLC17" s="319"/>
      <c r="NLD17" s="319"/>
      <c r="NLE17" s="319"/>
      <c r="NLF17" s="319"/>
      <c r="NLG17" s="319"/>
      <c r="NLH17" s="319"/>
      <c r="NLI17" s="319"/>
      <c r="NLJ17" s="319"/>
      <c r="NLK17" s="319"/>
      <c r="NLL17" s="319"/>
      <c r="NLM17" s="319"/>
      <c r="NLN17" s="319"/>
      <c r="NLO17" s="319"/>
      <c r="NLP17" s="319"/>
      <c r="NLQ17" s="319"/>
      <c r="NLR17" s="319"/>
      <c r="NLS17" s="319"/>
      <c r="NLT17" s="319"/>
      <c r="NLU17" s="319"/>
      <c r="NLV17" s="319"/>
      <c r="NLW17" s="319"/>
      <c r="NLX17" s="319"/>
      <c r="NLY17" s="319"/>
      <c r="NLZ17" s="319"/>
      <c r="NMA17" s="319"/>
      <c r="NMB17" s="319"/>
      <c r="NMC17" s="319"/>
      <c r="NMD17" s="319"/>
      <c r="NME17" s="319"/>
      <c r="NMF17" s="319"/>
      <c r="NMG17" s="319"/>
      <c r="NMH17" s="319"/>
      <c r="NMI17" s="319"/>
      <c r="NMJ17" s="319"/>
      <c r="NMK17" s="319"/>
      <c r="NML17" s="319"/>
      <c r="NMM17" s="319"/>
      <c r="NMN17" s="319"/>
      <c r="NMO17" s="319"/>
      <c r="NMP17" s="319"/>
      <c r="NMQ17" s="319"/>
      <c r="NMR17" s="319"/>
      <c r="NMS17" s="319"/>
      <c r="NMT17" s="319"/>
      <c r="NMU17" s="319"/>
      <c r="NMV17" s="319"/>
      <c r="NMW17" s="319"/>
      <c r="NMX17" s="319"/>
      <c r="NMY17" s="319"/>
      <c r="NMZ17" s="319"/>
      <c r="NNA17" s="319"/>
      <c r="NNB17" s="319"/>
      <c r="NNC17" s="319"/>
      <c r="NND17" s="319"/>
      <c r="NNE17" s="319"/>
      <c r="NNF17" s="319"/>
      <c r="NNG17" s="319"/>
      <c r="NNH17" s="319"/>
      <c r="NNI17" s="319"/>
      <c r="NNJ17" s="319"/>
      <c r="NNK17" s="319"/>
      <c r="NNL17" s="319"/>
      <c r="NNM17" s="319"/>
      <c r="NNN17" s="319"/>
      <c r="NNO17" s="319"/>
      <c r="NNP17" s="319"/>
      <c r="NNQ17" s="319"/>
      <c r="NNR17" s="319"/>
      <c r="NNS17" s="319"/>
      <c r="NNT17" s="319"/>
      <c r="NNU17" s="319"/>
      <c r="NNV17" s="319"/>
      <c r="NNW17" s="319"/>
      <c r="NNX17" s="319"/>
      <c r="NNY17" s="319"/>
      <c r="NNZ17" s="319"/>
      <c r="NOA17" s="319"/>
      <c r="NOB17" s="319"/>
      <c r="NOC17" s="319"/>
      <c r="NOD17" s="319"/>
      <c r="NOE17" s="319"/>
      <c r="NOF17" s="319"/>
      <c r="NOG17" s="319"/>
      <c r="NOH17" s="319"/>
      <c r="NOI17" s="319"/>
      <c r="NOJ17" s="319"/>
      <c r="NOK17" s="319"/>
      <c r="NOL17" s="319"/>
      <c r="NOM17" s="319"/>
      <c r="NON17" s="319"/>
      <c r="NOO17" s="319"/>
      <c r="NOP17" s="319"/>
      <c r="NOQ17" s="319"/>
      <c r="NOR17" s="319"/>
      <c r="NOS17" s="319"/>
      <c r="NOT17" s="319"/>
      <c r="NOU17" s="319"/>
      <c r="NOV17" s="319"/>
      <c r="NOW17" s="319"/>
      <c r="NOX17" s="319"/>
      <c r="NOY17" s="319"/>
      <c r="NOZ17" s="319"/>
      <c r="NPA17" s="319"/>
      <c r="NPB17" s="319"/>
      <c r="NPC17" s="319"/>
      <c r="NPD17" s="319"/>
      <c r="NPE17" s="319"/>
      <c r="NPF17" s="319"/>
      <c r="NPG17" s="319"/>
      <c r="NPH17" s="319"/>
      <c r="NPI17" s="319"/>
      <c r="NPJ17" s="319"/>
      <c r="NPK17" s="319"/>
      <c r="NPL17" s="319"/>
      <c r="NPM17" s="319"/>
      <c r="NPN17" s="319"/>
      <c r="NPO17" s="319"/>
      <c r="NPP17" s="319"/>
      <c r="NPQ17" s="319"/>
      <c r="NPR17" s="319"/>
      <c r="NPS17" s="319"/>
      <c r="NPT17" s="319"/>
      <c r="NPU17" s="319"/>
      <c r="NPV17" s="319"/>
      <c r="NPW17" s="319"/>
      <c r="NPX17" s="319"/>
      <c r="NPY17" s="319"/>
      <c r="NPZ17" s="319"/>
      <c r="NQA17" s="319"/>
      <c r="NQB17" s="319"/>
      <c r="NQC17" s="319"/>
      <c r="NQD17" s="319"/>
      <c r="NQE17" s="319"/>
      <c r="NQF17" s="319"/>
      <c r="NQG17" s="319"/>
      <c r="NQH17" s="319"/>
      <c r="NQI17" s="319"/>
      <c r="NQJ17" s="319"/>
      <c r="NQK17" s="319"/>
      <c r="NQL17" s="319"/>
      <c r="NQM17" s="319"/>
      <c r="NQN17" s="319"/>
      <c r="NQO17" s="319"/>
      <c r="NQP17" s="319"/>
      <c r="NQQ17" s="319"/>
      <c r="NQR17" s="319"/>
      <c r="NQS17" s="319"/>
      <c r="NQT17" s="319"/>
      <c r="NQU17" s="319"/>
      <c r="NQV17" s="319"/>
      <c r="NQW17" s="319"/>
      <c r="NQX17" s="319"/>
      <c r="NQY17" s="319"/>
      <c r="NQZ17" s="319"/>
      <c r="NRA17" s="319"/>
      <c r="NRB17" s="319"/>
      <c r="NRC17" s="319"/>
      <c r="NRD17" s="319"/>
      <c r="NRE17" s="319"/>
      <c r="NRF17" s="319"/>
      <c r="NRG17" s="319"/>
      <c r="NRH17" s="319"/>
      <c r="NRI17" s="319"/>
      <c r="NRJ17" s="319"/>
      <c r="NRK17" s="319"/>
      <c r="NRL17" s="319"/>
      <c r="NRM17" s="319"/>
      <c r="NRN17" s="319"/>
      <c r="NRO17" s="319"/>
      <c r="NRP17" s="319"/>
      <c r="NRQ17" s="319"/>
      <c r="NRR17" s="319"/>
      <c r="NRS17" s="319"/>
      <c r="NRT17" s="319"/>
      <c r="NRU17" s="319"/>
      <c r="NRV17" s="319"/>
      <c r="NRW17" s="319"/>
      <c r="NRX17" s="319"/>
      <c r="NRY17" s="319"/>
      <c r="NRZ17" s="319"/>
      <c r="NSA17" s="319"/>
      <c r="NSB17" s="319"/>
      <c r="NSC17" s="319"/>
      <c r="NSD17" s="319"/>
      <c r="NSE17" s="319"/>
      <c r="NSF17" s="319"/>
      <c r="NSG17" s="319"/>
      <c r="NSH17" s="319"/>
      <c r="NSI17" s="319"/>
      <c r="NSJ17" s="319"/>
      <c r="NSK17" s="319"/>
      <c r="NSL17" s="319"/>
      <c r="NSM17" s="319"/>
      <c r="NSN17" s="319"/>
      <c r="NSO17" s="319"/>
      <c r="NSP17" s="319"/>
      <c r="NSQ17" s="319"/>
      <c r="NSR17" s="319"/>
      <c r="NSS17" s="319"/>
      <c r="NST17" s="319"/>
      <c r="NSU17" s="319"/>
      <c r="NSV17" s="319"/>
      <c r="NSW17" s="319"/>
      <c r="NSX17" s="319"/>
      <c r="NSY17" s="319"/>
      <c r="NSZ17" s="319"/>
      <c r="NTA17" s="319"/>
      <c r="NTB17" s="319"/>
      <c r="NTC17" s="319"/>
      <c r="NTD17" s="319"/>
      <c r="NTE17" s="319"/>
      <c r="NTF17" s="319"/>
      <c r="NTG17" s="319"/>
      <c r="NTH17" s="319"/>
      <c r="NTI17" s="319"/>
      <c r="NTJ17" s="319"/>
      <c r="NTK17" s="319"/>
      <c r="NTL17" s="319"/>
      <c r="NTM17" s="319"/>
      <c r="NTN17" s="319"/>
      <c r="NTO17" s="319"/>
      <c r="NTP17" s="319"/>
      <c r="NTQ17" s="319"/>
      <c r="NTR17" s="319"/>
      <c r="NTS17" s="319"/>
      <c r="NTT17" s="319"/>
      <c r="NTU17" s="319"/>
      <c r="NTV17" s="319"/>
      <c r="NTW17" s="319"/>
      <c r="NTX17" s="319"/>
      <c r="NTY17" s="319"/>
      <c r="NTZ17" s="319"/>
      <c r="NUA17" s="319"/>
      <c r="NUB17" s="319"/>
      <c r="NUC17" s="319"/>
      <c r="NUD17" s="319"/>
      <c r="NUE17" s="319"/>
      <c r="NUF17" s="319"/>
      <c r="NUG17" s="319"/>
      <c r="NUH17" s="319"/>
      <c r="NUI17" s="319"/>
      <c r="NUJ17" s="319"/>
      <c r="NUK17" s="319"/>
      <c r="NUL17" s="319"/>
      <c r="NUM17" s="319"/>
      <c r="NUN17" s="319"/>
      <c r="NUO17" s="319"/>
      <c r="NUP17" s="319"/>
      <c r="NUQ17" s="319"/>
      <c r="NUR17" s="319"/>
      <c r="NUS17" s="319"/>
      <c r="NUT17" s="319"/>
      <c r="NUU17" s="319"/>
      <c r="NUV17" s="319"/>
      <c r="NUW17" s="319"/>
      <c r="NUX17" s="319"/>
      <c r="NUY17" s="319"/>
      <c r="NUZ17" s="319"/>
      <c r="NVA17" s="319"/>
      <c r="NVB17" s="319"/>
      <c r="NVC17" s="319"/>
      <c r="NVD17" s="319"/>
      <c r="NVE17" s="319"/>
      <c r="NVF17" s="319"/>
      <c r="NVG17" s="319"/>
      <c r="NVH17" s="319"/>
      <c r="NVI17" s="319"/>
      <c r="NVJ17" s="319"/>
      <c r="NVK17" s="319"/>
      <c r="NVL17" s="319"/>
      <c r="NVM17" s="319"/>
      <c r="NVN17" s="319"/>
      <c r="NVO17" s="319"/>
      <c r="NVP17" s="319"/>
      <c r="NVQ17" s="319"/>
      <c r="NVR17" s="319"/>
      <c r="NVS17" s="319"/>
      <c r="NVT17" s="319"/>
      <c r="NVU17" s="319"/>
      <c r="NVV17" s="319"/>
      <c r="NVW17" s="319"/>
      <c r="NVX17" s="319"/>
      <c r="NVY17" s="319"/>
      <c r="NVZ17" s="319"/>
      <c r="NWA17" s="319"/>
      <c r="NWB17" s="319"/>
      <c r="NWC17" s="319"/>
      <c r="NWD17" s="319"/>
      <c r="NWE17" s="319"/>
      <c r="NWF17" s="319"/>
      <c r="NWG17" s="319"/>
      <c r="NWH17" s="319"/>
      <c r="NWI17" s="319"/>
      <c r="NWJ17" s="319"/>
      <c r="NWK17" s="319"/>
      <c r="NWL17" s="319"/>
      <c r="NWM17" s="319"/>
      <c r="NWN17" s="319"/>
      <c r="NWO17" s="319"/>
      <c r="NWP17" s="319"/>
      <c r="NWQ17" s="319"/>
      <c r="NWR17" s="319"/>
      <c r="NWS17" s="319"/>
      <c r="NWT17" s="319"/>
      <c r="NWU17" s="319"/>
      <c r="NWV17" s="319"/>
      <c r="NWW17" s="319"/>
      <c r="NWX17" s="319"/>
      <c r="NWY17" s="319"/>
      <c r="NWZ17" s="319"/>
      <c r="NXA17" s="319"/>
      <c r="NXB17" s="319"/>
      <c r="NXC17" s="319"/>
      <c r="NXD17" s="319"/>
      <c r="NXE17" s="319"/>
      <c r="NXF17" s="319"/>
      <c r="NXG17" s="319"/>
      <c r="NXH17" s="319"/>
      <c r="NXI17" s="319"/>
      <c r="NXJ17" s="319"/>
      <c r="NXK17" s="319"/>
      <c r="NXL17" s="319"/>
      <c r="NXM17" s="319"/>
      <c r="NXN17" s="319"/>
      <c r="NXO17" s="319"/>
      <c r="NXP17" s="319"/>
      <c r="NXQ17" s="319"/>
      <c r="NXR17" s="319"/>
      <c r="NXS17" s="319"/>
      <c r="NXT17" s="319"/>
      <c r="NXU17" s="319"/>
      <c r="NXV17" s="319"/>
      <c r="NXW17" s="319"/>
      <c r="NXX17" s="319"/>
      <c r="NXY17" s="319"/>
      <c r="NXZ17" s="319"/>
      <c r="NYA17" s="319"/>
      <c r="NYB17" s="319"/>
      <c r="NYC17" s="319"/>
      <c r="NYD17" s="319"/>
      <c r="NYE17" s="319"/>
      <c r="NYF17" s="319"/>
      <c r="NYG17" s="319"/>
      <c r="NYH17" s="319"/>
      <c r="NYI17" s="319"/>
      <c r="NYJ17" s="319"/>
      <c r="NYK17" s="319"/>
      <c r="NYL17" s="319"/>
      <c r="NYM17" s="319"/>
      <c r="NYN17" s="319"/>
      <c r="NYO17" s="319"/>
      <c r="NYP17" s="319"/>
      <c r="NYQ17" s="319"/>
      <c r="NYR17" s="319"/>
      <c r="NYS17" s="319"/>
      <c r="NYT17" s="319"/>
      <c r="NYU17" s="319"/>
      <c r="NYV17" s="319"/>
      <c r="NYW17" s="319"/>
      <c r="NYX17" s="319"/>
      <c r="NYY17" s="319"/>
      <c r="NYZ17" s="319"/>
      <c r="NZA17" s="319"/>
      <c r="NZB17" s="319"/>
      <c r="NZC17" s="319"/>
      <c r="NZD17" s="319"/>
      <c r="NZE17" s="319"/>
      <c r="NZF17" s="319"/>
      <c r="NZG17" s="319"/>
      <c r="NZH17" s="319"/>
      <c r="NZI17" s="319"/>
      <c r="NZJ17" s="319"/>
      <c r="NZK17" s="319"/>
      <c r="NZL17" s="319"/>
      <c r="NZM17" s="319"/>
      <c r="NZN17" s="319"/>
      <c r="NZO17" s="319"/>
      <c r="NZP17" s="319"/>
      <c r="NZQ17" s="319"/>
      <c r="NZR17" s="319"/>
      <c r="NZS17" s="319"/>
      <c r="NZT17" s="319"/>
      <c r="NZU17" s="319"/>
      <c r="NZV17" s="319"/>
      <c r="NZW17" s="319"/>
      <c r="NZX17" s="319"/>
      <c r="NZY17" s="319"/>
      <c r="NZZ17" s="319"/>
      <c r="OAA17" s="319"/>
      <c r="OAB17" s="319"/>
      <c r="OAC17" s="319"/>
      <c r="OAD17" s="319"/>
      <c r="OAE17" s="319"/>
      <c r="OAF17" s="319"/>
      <c r="OAG17" s="319"/>
      <c r="OAH17" s="319"/>
      <c r="OAI17" s="319"/>
      <c r="OAJ17" s="319"/>
      <c r="OAK17" s="319"/>
      <c r="OAL17" s="319"/>
      <c r="OAM17" s="319"/>
      <c r="OAN17" s="319"/>
      <c r="OAO17" s="319"/>
      <c r="OAP17" s="319"/>
      <c r="OAQ17" s="319"/>
      <c r="OAR17" s="319"/>
      <c r="OAS17" s="319"/>
      <c r="OAT17" s="319"/>
      <c r="OAU17" s="319"/>
      <c r="OAV17" s="319"/>
      <c r="OAW17" s="319"/>
      <c r="OAX17" s="319"/>
      <c r="OAY17" s="319"/>
      <c r="OAZ17" s="319"/>
      <c r="OBA17" s="319"/>
      <c r="OBB17" s="319"/>
      <c r="OBC17" s="319"/>
      <c r="OBD17" s="319"/>
      <c r="OBE17" s="319"/>
      <c r="OBF17" s="319"/>
      <c r="OBG17" s="319"/>
      <c r="OBH17" s="319"/>
      <c r="OBI17" s="319"/>
      <c r="OBJ17" s="319"/>
      <c r="OBK17" s="319"/>
      <c r="OBL17" s="319"/>
      <c r="OBM17" s="319"/>
      <c r="OBN17" s="319"/>
      <c r="OBO17" s="319"/>
      <c r="OBP17" s="319"/>
      <c r="OBQ17" s="319"/>
      <c r="OBR17" s="319"/>
      <c r="OBS17" s="319"/>
      <c r="OBT17" s="319"/>
      <c r="OBU17" s="319"/>
      <c r="OBV17" s="319"/>
      <c r="OBW17" s="319"/>
      <c r="OBX17" s="319"/>
      <c r="OBY17" s="319"/>
      <c r="OBZ17" s="319"/>
      <c r="OCA17" s="319"/>
      <c r="OCB17" s="319"/>
      <c r="OCC17" s="319"/>
      <c r="OCD17" s="319"/>
      <c r="OCE17" s="319"/>
      <c r="OCF17" s="319"/>
      <c r="OCG17" s="319"/>
      <c r="OCH17" s="319"/>
      <c r="OCI17" s="319"/>
      <c r="OCJ17" s="319"/>
      <c r="OCK17" s="319"/>
      <c r="OCL17" s="319"/>
      <c r="OCM17" s="319"/>
      <c r="OCN17" s="319"/>
      <c r="OCO17" s="319"/>
      <c r="OCP17" s="319"/>
      <c r="OCQ17" s="319"/>
      <c r="OCR17" s="319"/>
      <c r="OCS17" s="319"/>
      <c r="OCT17" s="319"/>
      <c r="OCU17" s="319"/>
      <c r="OCV17" s="319"/>
      <c r="OCW17" s="319"/>
      <c r="OCX17" s="319"/>
      <c r="OCY17" s="319"/>
      <c r="OCZ17" s="319"/>
      <c r="ODA17" s="319"/>
      <c r="ODB17" s="319"/>
      <c r="ODC17" s="319"/>
      <c r="ODD17" s="319"/>
      <c r="ODE17" s="319"/>
      <c r="ODF17" s="319"/>
      <c r="ODG17" s="319"/>
      <c r="ODH17" s="319"/>
      <c r="ODI17" s="319"/>
      <c r="ODJ17" s="319"/>
      <c r="ODK17" s="319"/>
      <c r="ODL17" s="319"/>
      <c r="ODM17" s="319"/>
      <c r="ODN17" s="319"/>
      <c r="ODO17" s="319"/>
      <c r="ODP17" s="319"/>
      <c r="ODQ17" s="319"/>
      <c r="ODR17" s="319"/>
      <c r="ODS17" s="319"/>
      <c r="ODT17" s="319"/>
      <c r="ODU17" s="319"/>
      <c r="ODV17" s="319"/>
      <c r="ODW17" s="319"/>
      <c r="ODX17" s="319"/>
      <c r="ODY17" s="319"/>
      <c r="ODZ17" s="319"/>
      <c r="OEA17" s="319"/>
      <c r="OEB17" s="319"/>
      <c r="OEC17" s="319"/>
      <c r="OED17" s="319"/>
      <c r="OEE17" s="319"/>
      <c r="OEF17" s="319"/>
      <c r="OEG17" s="319"/>
      <c r="OEH17" s="319"/>
      <c r="OEI17" s="319"/>
      <c r="OEJ17" s="319"/>
      <c r="OEK17" s="319"/>
      <c r="OEL17" s="319"/>
      <c r="OEM17" s="319"/>
      <c r="OEN17" s="319"/>
      <c r="OEO17" s="319"/>
      <c r="OEP17" s="319"/>
      <c r="OEQ17" s="319"/>
      <c r="OER17" s="319"/>
      <c r="OES17" s="319"/>
      <c r="OET17" s="319"/>
      <c r="OEU17" s="319"/>
      <c r="OEV17" s="319"/>
      <c r="OEW17" s="319"/>
      <c r="OEX17" s="319"/>
      <c r="OEY17" s="319"/>
      <c r="OEZ17" s="319"/>
      <c r="OFA17" s="319"/>
      <c r="OFB17" s="319"/>
      <c r="OFC17" s="319"/>
      <c r="OFD17" s="319"/>
      <c r="OFE17" s="319"/>
      <c r="OFF17" s="319"/>
      <c r="OFG17" s="319"/>
      <c r="OFH17" s="319"/>
      <c r="OFI17" s="319"/>
      <c r="OFJ17" s="319"/>
      <c r="OFK17" s="319"/>
      <c r="OFL17" s="319"/>
      <c r="OFM17" s="319"/>
      <c r="OFN17" s="319"/>
      <c r="OFO17" s="319"/>
      <c r="OFP17" s="319"/>
      <c r="OFQ17" s="319"/>
      <c r="OFR17" s="319"/>
      <c r="OFS17" s="319"/>
      <c r="OFT17" s="319"/>
      <c r="OFU17" s="319"/>
      <c r="OFV17" s="319"/>
      <c r="OFW17" s="319"/>
      <c r="OFX17" s="319"/>
      <c r="OFY17" s="319"/>
      <c r="OFZ17" s="319"/>
      <c r="OGA17" s="319"/>
      <c r="OGB17" s="319"/>
      <c r="OGC17" s="319"/>
      <c r="OGD17" s="319"/>
      <c r="OGE17" s="319"/>
      <c r="OGF17" s="319"/>
      <c r="OGG17" s="319"/>
      <c r="OGH17" s="319"/>
      <c r="OGI17" s="319"/>
      <c r="OGJ17" s="319"/>
      <c r="OGK17" s="319"/>
      <c r="OGL17" s="319"/>
      <c r="OGM17" s="319"/>
      <c r="OGN17" s="319"/>
      <c r="OGO17" s="319"/>
      <c r="OGP17" s="319"/>
      <c r="OGQ17" s="319"/>
      <c r="OGR17" s="319"/>
      <c r="OGS17" s="319"/>
      <c r="OGT17" s="319"/>
      <c r="OGU17" s="319"/>
      <c r="OGV17" s="319"/>
      <c r="OGW17" s="319"/>
      <c r="OGX17" s="319"/>
      <c r="OGY17" s="319"/>
      <c r="OGZ17" s="319"/>
      <c r="OHA17" s="319"/>
      <c r="OHB17" s="319"/>
      <c r="OHC17" s="319"/>
      <c r="OHD17" s="319"/>
      <c r="OHE17" s="319"/>
      <c r="OHF17" s="319"/>
      <c r="OHG17" s="319"/>
      <c r="OHH17" s="319"/>
      <c r="OHI17" s="319"/>
      <c r="OHJ17" s="319"/>
      <c r="OHK17" s="319"/>
      <c r="OHL17" s="319"/>
      <c r="OHM17" s="319"/>
      <c r="OHN17" s="319"/>
      <c r="OHO17" s="319"/>
      <c r="OHP17" s="319"/>
      <c r="OHQ17" s="319"/>
      <c r="OHR17" s="319"/>
      <c r="OHS17" s="319"/>
      <c r="OHT17" s="319"/>
      <c r="OHU17" s="319"/>
      <c r="OHV17" s="319"/>
      <c r="OHW17" s="319"/>
      <c r="OHX17" s="319"/>
      <c r="OHY17" s="319"/>
      <c r="OHZ17" s="319"/>
      <c r="OIA17" s="319"/>
      <c r="OIB17" s="319"/>
      <c r="OIC17" s="319"/>
      <c r="OID17" s="319"/>
      <c r="OIE17" s="319"/>
      <c r="OIF17" s="319"/>
      <c r="OIG17" s="319"/>
      <c r="OIH17" s="319"/>
      <c r="OII17" s="319"/>
      <c r="OIJ17" s="319"/>
      <c r="OIK17" s="319"/>
      <c r="OIL17" s="319"/>
      <c r="OIM17" s="319"/>
      <c r="OIN17" s="319"/>
      <c r="OIO17" s="319"/>
      <c r="OIP17" s="319"/>
      <c r="OIQ17" s="319"/>
      <c r="OIR17" s="319"/>
      <c r="OIS17" s="319"/>
      <c r="OIT17" s="319"/>
      <c r="OIU17" s="319"/>
      <c r="OIV17" s="319"/>
      <c r="OIW17" s="319"/>
      <c r="OIX17" s="319"/>
      <c r="OIY17" s="319"/>
      <c r="OIZ17" s="319"/>
      <c r="OJA17" s="319"/>
      <c r="OJB17" s="319"/>
      <c r="OJC17" s="319"/>
      <c r="OJD17" s="319"/>
      <c r="OJE17" s="319"/>
      <c r="OJF17" s="319"/>
      <c r="OJG17" s="319"/>
      <c r="OJH17" s="319"/>
      <c r="OJI17" s="319"/>
      <c r="OJJ17" s="319"/>
      <c r="OJK17" s="319"/>
      <c r="OJL17" s="319"/>
      <c r="OJM17" s="319"/>
      <c r="OJN17" s="319"/>
      <c r="OJO17" s="319"/>
      <c r="OJP17" s="319"/>
      <c r="OJQ17" s="319"/>
      <c r="OJR17" s="319"/>
      <c r="OJS17" s="319"/>
      <c r="OJT17" s="319"/>
      <c r="OJU17" s="319"/>
      <c r="OJV17" s="319"/>
      <c r="OJW17" s="319"/>
      <c r="OJX17" s="319"/>
      <c r="OJY17" s="319"/>
      <c r="OJZ17" s="319"/>
      <c r="OKA17" s="319"/>
      <c r="OKB17" s="319"/>
      <c r="OKC17" s="319"/>
      <c r="OKD17" s="319"/>
      <c r="OKE17" s="319"/>
      <c r="OKF17" s="319"/>
      <c r="OKG17" s="319"/>
      <c r="OKH17" s="319"/>
      <c r="OKI17" s="319"/>
      <c r="OKJ17" s="319"/>
      <c r="OKK17" s="319"/>
      <c r="OKL17" s="319"/>
      <c r="OKM17" s="319"/>
      <c r="OKN17" s="319"/>
      <c r="OKO17" s="319"/>
      <c r="OKP17" s="319"/>
      <c r="OKQ17" s="319"/>
      <c r="OKR17" s="319"/>
      <c r="OKS17" s="319"/>
      <c r="OKT17" s="319"/>
      <c r="OKU17" s="319"/>
      <c r="OKV17" s="319"/>
      <c r="OKW17" s="319"/>
      <c r="OKX17" s="319"/>
      <c r="OKY17" s="319"/>
      <c r="OKZ17" s="319"/>
      <c r="OLA17" s="319"/>
      <c r="OLB17" s="319"/>
      <c r="OLC17" s="319"/>
      <c r="OLD17" s="319"/>
      <c r="OLE17" s="319"/>
      <c r="OLF17" s="319"/>
      <c r="OLG17" s="319"/>
      <c r="OLH17" s="319"/>
      <c r="OLI17" s="319"/>
      <c r="OLJ17" s="319"/>
      <c r="OLK17" s="319"/>
      <c r="OLL17" s="319"/>
      <c r="OLM17" s="319"/>
      <c r="OLN17" s="319"/>
      <c r="OLO17" s="319"/>
      <c r="OLP17" s="319"/>
      <c r="OLQ17" s="319"/>
      <c r="OLR17" s="319"/>
      <c r="OLS17" s="319"/>
      <c r="OLT17" s="319"/>
      <c r="OLU17" s="319"/>
      <c r="OLV17" s="319"/>
      <c r="OLW17" s="319"/>
      <c r="OLX17" s="319"/>
      <c r="OLY17" s="319"/>
      <c r="OLZ17" s="319"/>
      <c r="OMA17" s="319"/>
      <c r="OMB17" s="319"/>
      <c r="OMC17" s="319"/>
      <c r="OMD17" s="319"/>
      <c r="OME17" s="319"/>
      <c r="OMF17" s="319"/>
      <c r="OMG17" s="319"/>
      <c r="OMH17" s="319"/>
      <c r="OMI17" s="319"/>
      <c r="OMJ17" s="319"/>
      <c r="OMK17" s="319"/>
      <c r="OML17" s="319"/>
      <c r="OMM17" s="319"/>
      <c r="OMN17" s="319"/>
      <c r="OMO17" s="319"/>
      <c r="OMP17" s="319"/>
      <c r="OMQ17" s="319"/>
      <c r="OMR17" s="319"/>
      <c r="OMS17" s="319"/>
      <c r="OMT17" s="319"/>
      <c r="OMU17" s="319"/>
      <c r="OMV17" s="319"/>
      <c r="OMW17" s="319"/>
      <c r="OMX17" s="319"/>
      <c r="OMY17" s="319"/>
      <c r="OMZ17" s="319"/>
      <c r="ONA17" s="319"/>
      <c r="ONB17" s="319"/>
      <c r="ONC17" s="319"/>
      <c r="OND17" s="319"/>
      <c r="ONE17" s="319"/>
      <c r="ONF17" s="319"/>
      <c r="ONG17" s="319"/>
      <c r="ONH17" s="319"/>
      <c r="ONI17" s="319"/>
      <c r="ONJ17" s="319"/>
      <c r="ONK17" s="319"/>
      <c r="ONL17" s="319"/>
      <c r="ONM17" s="319"/>
      <c r="ONN17" s="319"/>
      <c r="ONO17" s="319"/>
      <c r="ONP17" s="319"/>
      <c r="ONQ17" s="319"/>
      <c r="ONR17" s="319"/>
      <c r="ONS17" s="319"/>
      <c r="ONT17" s="319"/>
      <c r="ONU17" s="319"/>
      <c r="ONV17" s="319"/>
      <c r="ONW17" s="319"/>
      <c r="ONX17" s="319"/>
      <c r="ONY17" s="319"/>
      <c r="ONZ17" s="319"/>
      <c r="OOA17" s="319"/>
      <c r="OOB17" s="319"/>
      <c r="OOC17" s="319"/>
      <c r="OOD17" s="319"/>
      <c r="OOE17" s="319"/>
      <c r="OOF17" s="319"/>
      <c r="OOG17" s="319"/>
      <c r="OOH17" s="319"/>
      <c r="OOI17" s="319"/>
      <c r="OOJ17" s="319"/>
      <c r="OOK17" s="319"/>
      <c r="OOL17" s="319"/>
      <c r="OOM17" s="319"/>
      <c r="OON17" s="319"/>
      <c r="OOO17" s="319"/>
      <c r="OOP17" s="319"/>
      <c r="OOQ17" s="319"/>
      <c r="OOR17" s="319"/>
      <c r="OOS17" s="319"/>
      <c r="OOT17" s="319"/>
      <c r="OOU17" s="319"/>
      <c r="OOV17" s="319"/>
      <c r="OOW17" s="319"/>
      <c r="OOX17" s="319"/>
      <c r="OOY17" s="319"/>
      <c r="OOZ17" s="319"/>
      <c r="OPA17" s="319"/>
      <c r="OPB17" s="319"/>
      <c r="OPC17" s="319"/>
      <c r="OPD17" s="319"/>
      <c r="OPE17" s="319"/>
      <c r="OPF17" s="319"/>
      <c r="OPG17" s="319"/>
      <c r="OPH17" s="319"/>
      <c r="OPI17" s="319"/>
      <c r="OPJ17" s="319"/>
      <c r="OPK17" s="319"/>
      <c r="OPL17" s="319"/>
      <c r="OPM17" s="319"/>
      <c r="OPN17" s="319"/>
      <c r="OPO17" s="319"/>
      <c r="OPP17" s="319"/>
      <c r="OPQ17" s="319"/>
      <c r="OPR17" s="319"/>
      <c r="OPS17" s="319"/>
      <c r="OPT17" s="319"/>
      <c r="OPU17" s="319"/>
      <c r="OPV17" s="319"/>
      <c r="OPW17" s="319"/>
      <c r="OPX17" s="319"/>
      <c r="OPY17" s="319"/>
      <c r="OPZ17" s="319"/>
      <c r="OQA17" s="319"/>
      <c r="OQB17" s="319"/>
      <c r="OQC17" s="319"/>
      <c r="OQD17" s="319"/>
      <c r="OQE17" s="319"/>
      <c r="OQF17" s="319"/>
      <c r="OQG17" s="319"/>
      <c r="OQH17" s="319"/>
      <c r="OQI17" s="319"/>
      <c r="OQJ17" s="319"/>
      <c r="OQK17" s="319"/>
      <c r="OQL17" s="319"/>
      <c r="OQM17" s="319"/>
      <c r="OQN17" s="319"/>
      <c r="OQO17" s="319"/>
      <c r="OQP17" s="319"/>
      <c r="OQQ17" s="319"/>
      <c r="OQR17" s="319"/>
      <c r="OQS17" s="319"/>
      <c r="OQT17" s="319"/>
      <c r="OQU17" s="319"/>
      <c r="OQV17" s="319"/>
      <c r="OQW17" s="319"/>
      <c r="OQX17" s="319"/>
      <c r="OQY17" s="319"/>
      <c r="OQZ17" s="319"/>
      <c r="ORA17" s="319"/>
      <c r="ORB17" s="319"/>
      <c r="ORC17" s="319"/>
      <c r="ORD17" s="319"/>
      <c r="ORE17" s="319"/>
      <c r="ORF17" s="319"/>
      <c r="ORG17" s="319"/>
      <c r="ORH17" s="319"/>
      <c r="ORI17" s="319"/>
      <c r="ORJ17" s="319"/>
      <c r="ORK17" s="319"/>
      <c r="ORL17" s="319"/>
      <c r="ORM17" s="319"/>
      <c r="ORN17" s="319"/>
      <c r="ORO17" s="319"/>
      <c r="ORP17" s="319"/>
      <c r="ORQ17" s="319"/>
      <c r="ORR17" s="319"/>
      <c r="ORS17" s="319"/>
      <c r="ORT17" s="319"/>
      <c r="ORU17" s="319"/>
      <c r="ORV17" s="319"/>
      <c r="ORW17" s="319"/>
      <c r="ORX17" s="319"/>
      <c r="ORY17" s="319"/>
      <c r="ORZ17" s="319"/>
      <c r="OSA17" s="319"/>
      <c r="OSB17" s="319"/>
      <c r="OSC17" s="319"/>
      <c r="OSD17" s="319"/>
      <c r="OSE17" s="319"/>
      <c r="OSF17" s="319"/>
      <c r="OSG17" s="319"/>
      <c r="OSH17" s="319"/>
      <c r="OSI17" s="319"/>
      <c r="OSJ17" s="319"/>
      <c r="OSK17" s="319"/>
      <c r="OSL17" s="319"/>
      <c r="OSM17" s="319"/>
      <c r="OSN17" s="319"/>
      <c r="OSO17" s="319"/>
      <c r="OSP17" s="319"/>
      <c r="OSQ17" s="319"/>
      <c r="OSR17" s="319"/>
      <c r="OSS17" s="319"/>
      <c r="OST17" s="319"/>
      <c r="OSU17" s="319"/>
      <c r="OSV17" s="319"/>
      <c r="OSW17" s="319"/>
      <c r="OSX17" s="319"/>
      <c r="OSY17" s="319"/>
      <c r="OSZ17" s="319"/>
      <c r="OTA17" s="319"/>
      <c r="OTB17" s="319"/>
      <c r="OTC17" s="319"/>
      <c r="OTD17" s="319"/>
      <c r="OTE17" s="319"/>
      <c r="OTF17" s="319"/>
      <c r="OTG17" s="319"/>
      <c r="OTH17" s="319"/>
      <c r="OTI17" s="319"/>
      <c r="OTJ17" s="319"/>
      <c r="OTK17" s="319"/>
      <c r="OTL17" s="319"/>
      <c r="OTM17" s="319"/>
      <c r="OTN17" s="319"/>
      <c r="OTO17" s="319"/>
      <c r="OTP17" s="319"/>
      <c r="OTQ17" s="319"/>
      <c r="OTR17" s="319"/>
      <c r="OTS17" s="319"/>
      <c r="OTT17" s="319"/>
      <c r="OTU17" s="319"/>
      <c r="OTV17" s="319"/>
      <c r="OTW17" s="319"/>
      <c r="OTX17" s="319"/>
      <c r="OTY17" s="319"/>
      <c r="OTZ17" s="319"/>
      <c r="OUA17" s="319"/>
      <c r="OUB17" s="319"/>
      <c r="OUC17" s="319"/>
      <c r="OUD17" s="319"/>
      <c r="OUE17" s="319"/>
      <c r="OUF17" s="319"/>
      <c r="OUG17" s="319"/>
      <c r="OUH17" s="319"/>
      <c r="OUI17" s="319"/>
      <c r="OUJ17" s="319"/>
      <c r="OUK17" s="319"/>
      <c r="OUL17" s="319"/>
      <c r="OUM17" s="319"/>
      <c r="OUN17" s="319"/>
      <c r="OUO17" s="319"/>
      <c r="OUP17" s="319"/>
      <c r="OUQ17" s="319"/>
      <c r="OUR17" s="319"/>
      <c r="OUS17" s="319"/>
      <c r="OUT17" s="319"/>
      <c r="OUU17" s="319"/>
      <c r="OUV17" s="319"/>
      <c r="OUW17" s="319"/>
      <c r="OUX17" s="319"/>
      <c r="OUY17" s="319"/>
      <c r="OUZ17" s="319"/>
      <c r="OVA17" s="319"/>
      <c r="OVB17" s="319"/>
      <c r="OVC17" s="319"/>
      <c r="OVD17" s="319"/>
      <c r="OVE17" s="319"/>
      <c r="OVF17" s="319"/>
      <c r="OVG17" s="319"/>
      <c r="OVH17" s="319"/>
      <c r="OVI17" s="319"/>
      <c r="OVJ17" s="319"/>
      <c r="OVK17" s="319"/>
      <c r="OVL17" s="319"/>
      <c r="OVM17" s="319"/>
      <c r="OVN17" s="319"/>
      <c r="OVO17" s="319"/>
      <c r="OVP17" s="319"/>
      <c r="OVQ17" s="319"/>
      <c r="OVR17" s="319"/>
      <c r="OVS17" s="319"/>
      <c r="OVT17" s="319"/>
      <c r="OVU17" s="319"/>
      <c r="OVV17" s="319"/>
      <c r="OVW17" s="319"/>
      <c r="OVX17" s="319"/>
      <c r="OVY17" s="319"/>
      <c r="OVZ17" s="319"/>
      <c r="OWA17" s="319"/>
      <c r="OWB17" s="319"/>
      <c r="OWC17" s="319"/>
      <c r="OWD17" s="319"/>
      <c r="OWE17" s="319"/>
      <c r="OWF17" s="319"/>
      <c r="OWG17" s="319"/>
      <c r="OWH17" s="319"/>
      <c r="OWI17" s="319"/>
      <c r="OWJ17" s="319"/>
      <c r="OWK17" s="319"/>
      <c r="OWL17" s="319"/>
      <c r="OWM17" s="319"/>
      <c r="OWN17" s="319"/>
      <c r="OWO17" s="319"/>
      <c r="OWP17" s="319"/>
      <c r="OWQ17" s="319"/>
      <c r="OWR17" s="319"/>
      <c r="OWS17" s="319"/>
      <c r="OWT17" s="319"/>
      <c r="OWU17" s="319"/>
      <c r="OWV17" s="319"/>
      <c r="OWW17" s="319"/>
      <c r="OWX17" s="319"/>
      <c r="OWY17" s="319"/>
      <c r="OWZ17" s="319"/>
      <c r="OXA17" s="319"/>
      <c r="OXB17" s="319"/>
      <c r="OXC17" s="319"/>
      <c r="OXD17" s="319"/>
      <c r="OXE17" s="319"/>
      <c r="OXF17" s="319"/>
      <c r="OXG17" s="319"/>
      <c r="OXH17" s="319"/>
      <c r="OXI17" s="319"/>
      <c r="OXJ17" s="319"/>
      <c r="OXK17" s="319"/>
      <c r="OXL17" s="319"/>
      <c r="OXM17" s="319"/>
      <c r="OXN17" s="319"/>
      <c r="OXO17" s="319"/>
      <c r="OXP17" s="319"/>
      <c r="OXQ17" s="319"/>
      <c r="OXR17" s="319"/>
      <c r="OXS17" s="319"/>
      <c r="OXT17" s="319"/>
      <c r="OXU17" s="319"/>
      <c r="OXV17" s="319"/>
      <c r="OXW17" s="319"/>
      <c r="OXX17" s="319"/>
      <c r="OXY17" s="319"/>
      <c r="OXZ17" s="319"/>
      <c r="OYA17" s="319"/>
      <c r="OYB17" s="319"/>
      <c r="OYC17" s="319"/>
      <c r="OYD17" s="319"/>
      <c r="OYE17" s="319"/>
      <c r="OYF17" s="319"/>
      <c r="OYG17" s="319"/>
      <c r="OYH17" s="319"/>
      <c r="OYI17" s="319"/>
      <c r="OYJ17" s="319"/>
      <c r="OYK17" s="319"/>
      <c r="OYL17" s="319"/>
      <c r="OYM17" s="319"/>
      <c r="OYN17" s="319"/>
      <c r="OYO17" s="319"/>
      <c r="OYP17" s="319"/>
      <c r="OYQ17" s="319"/>
      <c r="OYR17" s="319"/>
      <c r="OYS17" s="319"/>
      <c r="OYT17" s="319"/>
      <c r="OYU17" s="319"/>
      <c r="OYV17" s="319"/>
      <c r="OYW17" s="319"/>
      <c r="OYX17" s="319"/>
      <c r="OYY17" s="319"/>
      <c r="OYZ17" s="319"/>
      <c r="OZA17" s="319"/>
      <c r="OZB17" s="319"/>
      <c r="OZC17" s="319"/>
      <c r="OZD17" s="319"/>
      <c r="OZE17" s="319"/>
      <c r="OZF17" s="319"/>
      <c r="OZG17" s="319"/>
      <c r="OZH17" s="319"/>
      <c r="OZI17" s="319"/>
      <c r="OZJ17" s="319"/>
      <c r="OZK17" s="319"/>
      <c r="OZL17" s="319"/>
      <c r="OZM17" s="319"/>
      <c r="OZN17" s="319"/>
      <c r="OZO17" s="319"/>
      <c r="OZP17" s="319"/>
      <c r="OZQ17" s="319"/>
      <c r="OZR17" s="319"/>
      <c r="OZS17" s="319"/>
      <c r="OZT17" s="319"/>
      <c r="OZU17" s="319"/>
      <c r="OZV17" s="319"/>
      <c r="OZW17" s="319"/>
      <c r="OZX17" s="319"/>
      <c r="OZY17" s="319"/>
      <c r="OZZ17" s="319"/>
      <c r="PAA17" s="319"/>
      <c r="PAB17" s="319"/>
      <c r="PAC17" s="319"/>
      <c r="PAD17" s="319"/>
      <c r="PAE17" s="319"/>
      <c r="PAF17" s="319"/>
      <c r="PAG17" s="319"/>
      <c r="PAH17" s="319"/>
      <c r="PAI17" s="319"/>
      <c r="PAJ17" s="319"/>
      <c r="PAK17" s="319"/>
      <c r="PAL17" s="319"/>
      <c r="PAM17" s="319"/>
      <c r="PAN17" s="319"/>
      <c r="PAO17" s="319"/>
      <c r="PAP17" s="319"/>
      <c r="PAQ17" s="319"/>
      <c r="PAR17" s="319"/>
      <c r="PAS17" s="319"/>
      <c r="PAT17" s="319"/>
      <c r="PAU17" s="319"/>
      <c r="PAV17" s="319"/>
      <c r="PAW17" s="319"/>
      <c r="PAX17" s="319"/>
      <c r="PAY17" s="319"/>
      <c r="PAZ17" s="319"/>
      <c r="PBA17" s="319"/>
      <c r="PBB17" s="319"/>
      <c r="PBC17" s="319"/>
      <c r="PBD17" s="319"/>
      <c r="PBE17" s="319"/>
      <c r="PBF17" s="319"/>
      <c r="PBG17" s="319"/>
      <c r="PBH17" s="319"/>
      <c r="PBI17" s="319"/>
      <c r="PBJ17" s="319"/>
      <c r="PBK17" s="319"/>
      <c r="PBL17" s="319"/>
      <c r="PBM17" s="319"/>
      <c r="PBN17" s="319"/>
      <c r="PBO17" s="319"/>
      <c r="PBP17" s="319"/>
      <c r="PBQ17" s="319"/>
      <c r="PBR17" s="319"/>
      <c r="PBS17" s="319"/>
      <c r="PBT17" s="319"/>
      <c r="PBU17" s="319"/>
      <c r="PBV17" s="319"/>
      <c r="PBW17" s="319"/>
      <c r="PBX17" s="319"/>
      <c r="PBY17" s="319"/>
      <c r="PBZ17" s="319"/>
      <c r="PCA17" s="319"/>
      <c r="PCB17" s="319"/>
      <c r="PCC17" s="319"/>
      <c r="PCD17" s="319"/>
      <c r="PCE17" s="319"/>
      <c r="PCF17" s="319"/>
      <c r="PCG17" s="319"/>
      <c r="PCH17" s="319"/>
      <c r="PCI17" s="319"/>
      <c r="PCJ17" s="319"/>
      <c r="PCK17" s="319"/>
      <c r="PCL17" s="319"/>
      <c r="PCM17" s="319"/>
      <c r="PCN17" s="319"/>
      <c r="PCO17" s="319"/>
      <c r="PCP17" s="319"/>
      <c r="PCQ17" s="319"/>
      <c r="PCR17" s="319"/>
      <c r="PCS17" s="319"/>
      <c r="PCT17" s="319"/>
      <c r="PCU17" s="319"/>
      <c r="PCV17" s="319"/>
      <c r="PCW17" s="319"/>
      <c r="PCX17" s="319"/>
      <c r="PCY17" s="319"/>
      <c r="PCZ17" s="319"/>
      <c r="PDA17" s="319"/>
      <c r="PDB17" s="319"/>
      <c r="PDC17" s="319"/>
      <c r="PDD17" s="319"/>
      <c r="PDE17" s="319"/>
      <c r="PDF17" s="319"/>
      <c r="PDG17" s="319"/>
      <c r="PDH17" s="319"/>
      <c r="PDI17" s="319"/>
      <c r="PDJ17" s="319"/>
      <c r="PDK17" s="319"/>
      <c r="PDL17" s="319"/>
      <c r="PDM17" s="319"/>
      <c r="PDN17" s="319"/>
      <c r="PDO17" s="319"/>
      <c r="PDP17" s="319"/>
      <c r="PDQ17" s="319"/>
      <c r="PDR17" s="319"/>
      <c r="PDS17" s="319"/>
      <c r="PDT17" s="319"/>
      <c r="PDU17" s="319"/>
      <c r="PDV17" s="319"/>
      <c r="PDW17" s="319"/>
      <c r="PDX17" s="319"/>
      <c r="PDY17" s="319"/>
      <c r="PDZ17" s="319"/>
      <c r="PEA17" s="319"/>
      <c r="PEB17" s="319"/>
      <c r="PEC17" s="319"/>
      <c r="PED17" s="319"/>
      <c r="PEE17" s="319"/>
      <c r="PEF17" s="319"/>
      <c r="PEG17" s="319"/>
      <c r="PEH17" s="319"/>
      <c r="PEI17" s="319"/>
      <c r="PEJ17" s="319"/>
      <c r="PEK17" s="319"/>
      <c r="PEL17" s="319"/>
      <c r="PEM17" s="319"/>
      <c r="PEN17" s="319"/>
      <c r="PEO17" s="319"/>
      <c r="PEP17" s="319"/>
      <c r="PEQ17" s="319"/>
      <c r="PER17" s="319"/>
      <c r="PES17" s="319"/>
      <c r="PET17" s="319"/>
      <c r="PEU17" s="319"/>
      <c r="PEV17" s="319"/>
      <c r="PEW17" s="319"/>
      <c r="PEX17" s="319"/>
      <c r="PEY17" s="319"/>
      <c r="PEZ17" s="319"/>
      <c r="PFA17" s="319"/>
      <c r="PFB17" s="319"/>
      <c r="PFC17" s="319"/>
      <c r="PFD17" s="319"/>
      <c r="PFE17" s="319"/>
      <c r="PFF17" s="319"/>
      <c r="PFG17" s="319"/>
      <c r="PFH17" s="319"/>
      <c r="PFI17" s="319"/>
      <c r="PFJ17" s="319"/>
      <c r="PFK17" s="319"/>
      <c r="PFL17" s="319"/>
      <c r="PFM17" s="319"/>
      <c r="PFN17" s="319"/>
      <c r="PFO17" s="319"/>
      <c r="PFP17" s="319"/>
      <c r="PFQ17" s="319"/>
      <c r="PFR17" s="319"/>
      <c r="PFS17" s="319"/>
      <c r="PFT17" s="319"/>
      <c r="PFU17" s="319"/>
      <c r="PFV17" s="319"/>
      <c r="PFW17" s="319"/>
      <c r="PFX17" s="319"/>
      <c r="PFY17" s="319"/>
      <c r="PFZ17" s="319"/>
      <c r="PGA17" s="319"/>
      <c r="PGB17" s="319"/>
      <c r="PGC17" s="319"/>
      <c r="PGD17" s="319"/>
      <c r="PGE17" s="319"/>
      <c r="PGF17" s="319"/>
      <c r="PGG17" s="319"/>
      <c r="PGH17" s="319"/>
      <c r="PGI17" s="319"/>
      <c r="PGJ17" s="319"/>
      <c r="PGK17" s="319"/>
      <c r="PGL17" s="319"/>
      <c r="PGM17" s="319"/>
      <c r="PGN17" s="319"/>
      <c r="PGO17" s="319"/>
      <c r="PGP17" s="319"/>
      <c r="PGQ17" s="319"/>
      <c r="PGR17" s="319"/>
      <c r="PGS17" s="319"/>
      <c r="PGT17" s="319"/>
      <c r="PGU17" s="319"/>
      <c r="PGV17" s="319"/>
      <c r="PGW17" s="319"/>
      <c r="PGX17" s="319"/>
      <c r="PGY17" s="319"/>
      <c r="PGZ17" s="319"/>
      <c r="PHA17" s="319"/>
      <c r="PHB17" s="319"/>
      <c r="PHC17" s="319"/>
      <c r="PHD17" s="319"/>
      <c r="PHE17" s="319"/>
      <c r="PHF17" s="319"/>
      <c r="PHG17" s="319"/>
      <c r="PHH17" s="319"/>
      <c r="PHI17" s="319"/>
      <c r="PHJ17" s="319"/>
      <c r="PHK17" s="319"/>
      <c r="PHL17" s="319"/>
      <c r="PHM17" s="319"/>
      <c r="PHN17" s="319"/>
      <c r="PHO17" s="319"/>
      <c r="PHP17" s="319"/>
      <c r="PHQ17" s="319"/>
      <c r="PHR17" s="319"/>
      <c r="PHS17" s="319"/>
      <c r="PHT17" s="319"/>
      <c r="PHU17" s="319"/>
      <c r="PHV17" s="319"/>
      <c r="PHW17" s="319"/>
      <c r="PHX17" s="319"/>
      <c r="PHY17" s="319"/>
      <c r="PHZ17" s="319"/>
      <c r="PIA17" s="319"/>
      <c r="PIB17" s="319"/>
      <c r="PIC17" s="319"/>
      <c r="PID17" s="319"/>
      <c r="PIE17" s="319"/>
      <c r="PIF17" s="319"/>
      <c r="PIG17" s="319"/>
      <c r="PIH17" s="319"/>
      <c r="PII17" s="319"/>
      <c r="PIJ17" s="319"/>
      <c r="PIK17" s="319"/>
      <c r="PIL17" s="319"/>
      <c r="PIM17" s="319"/>
      <c r="PIN17" s="319"/>
      <c r="PIO17" s="319"/>
      <c r="PIP17" s="319"/>
      <c r="PIQ17" s="319"/>
      <c r="PIR17" s="319"/>
      <c r="PIS17" s="319"/>
      <c r="PIT17" s="319"/>
      <c r="PIU17" s="319"/>
      <c r="PIV17" s="319"/>
      <c r="PIW17" s="319"/>
      <c r="PIX17" s="319"/>
      <c r="PIY17" s="319"/>
      <c r="PIZ17" s="319"/>
      <c r="PJA17" s="319"/>
      <c r="PJB17" s="319"/>
      <c r="PJC17" s="319"/>
      <c r="PJD17" s="319"/>
      <c r="PJE17" s="319"/>
      <c r="PJF17" s="319"/>
      <c r="PJG17" s="319"/>
      <c r="PJH17" s="319"/>
      <c r="PJI17" s="319"/>
      <c r="PJJ17" s="319"/>
      <c r="PJK17" s="319"/>
      <c r="PJL17" s="319"/>
      <c r="PJM17" s="319"/>
      <c r="PJN17" s="319"/>
      <c r="PJO17" s="319"/>
      <c r="PJP17" s="319"/>
      <c r="PJQ17" s="319"/>
      <c r="PJR17" s="319"/>
      <c r="PJS17" s="319"/>
      <c r="PJT17" s="319"/>
      <c r="PJU17" s="319"/>
      <c r="PJV17" s="319"/>
      <c r="PJW17" s="319"/>
      <c r="PJX17" s="319"/>
      <c r="PJY17" s="319"/>
      <c r="PJZ17" s="319"/>
      <c r="PKA17" s="319"/>
      <c r="PKB17" s="319"/>
      <c r="PKC17" s="319"/>
      <c r="PKD17" s="319"/>
      <c r="PKE17" s="319"/>
      <c r="PKF17" s="319"/>
      <c r="PKG17" s="319"/>
      <c r="PKH17" s="319"/>
      <c r="PKI17" s="319"/>
      <c r="PKJ17" s="319"/>
      <c r="PKK17" s="319"/>
      <c r="PKL17" s="319"/>
      <c r="PKM17" s="319"/>
      <c r="PKN17" s="319"/>
      <c r="PKO17" s="319"/>
      <c r="PKP17" s="319"/>
      <c r="PKQ17" s="319"/>
      <c r="PKR17" s="319"/>
      <c r="PKS17" s="319"/>
      <c r="PKT17" s="319"/>
      <c r="PKU17" s="319"/>
      <c r="PKV17" s="319"/>
      <c r="PKW17" s="319"/>
      <c r="PKX17" s="319"/>
      <c r="PKY17" s="319"/>
      <c r="PKZ17" s="319"/>
      <c r="PLA17" s="319"/>
      <c r="PLB17" s="319"/>
      <c r="PLC17" s="319"/>
      <c r="PLD17" s="319"/>
      <c r="PLE17" s="319"/>
      <c r="PLF17" s="319"/>
      <c r="PLG17" s="319"/>
      <c r="PLH17" s="319"/>
      <c r="PLI17" s="319"/>
      <c r="PLJ17" s="319"/>
      <c r="PLK17" s="319"/>
      <c r="PLL17" s="319"/>
      <c r="PLM17" s="319"/>
      <c r="PLN17" s="319"/>
      <c r="PLO17" s="319"/>
      <c r="PLP17" s="319"/>
      <c r="PLQ17" s="319"/>
      <c r="PLR17" s="319"/>
      <c r="PLS17" s="319"/>
      <c r="PLT17" s="319"/>
      <c r="PLU17" s="319"/>
      <c r="PLV17" s="319"/>
      <c r="PLW17" s="319"/>
      <c r="PLX17" s="319"/>
      <c r="PLY17" s="319"/>
      <c r="PLZ17" s="319"/>
      <c r="PMA17" s="319"/>
      <c r="PMB17" s="319"/>
      <c r="PMC17" s="319"/>
      <c r="PMD17" s="319"/>
      <c r="PME17" s="319"/>
      <c r="PMF17" s="319"/>
      <c r="PMG17" s="319"/>
      <c r="PMH17" s="319"/>
      <c r="PMI17" s="319"/>
      <c r="PMJ17" s="319"/>
      <c r="PMK17" s="319"/>
      <c r="PML17" s="319"/>
      <c r="PMM17" s="319"/>
      <c r="PMN17" s="319"/>
      <c r="PMO17" s="319"/>
      <c r="PMP17" s="319"/>
      <c r="PMQ17" s="319"/>
      <c r="PMR17" s="319"/>
      <c r="PMS17" s="319"/>
      <c r="PMT17" s="319"/>
      <c r="PMU17" s="319"/>
      <c r="PMV17" s="319"/>
      <c r="PMW17" s="319"/>
      <c r="PMX17" s="319"/>
      <c r="PMY17" s="319"/>
      <c r="PMZ17" s="319"/>
      <c r="PNA17" s="319"/>
      <c r="PNB17" s="319"/>
      <c r="PNC17" s="319"/>
      <c r="PND17" s="319"/>
      <c r="PNE17" s="319"/>
      <c r="PNF17" s="319"/>
      <c r="PNG17" s="319"/>
      <c r="PNH17" s="319"/>
      <c r="PNI17" s="319"/>
      <c r="PNJ17" s="319"/>
      <c r="PNK17" s="319"/>
      <c r="PNL17" s="319"/>
      <c r="PNM17" s="319"/>
      <c r="PNN17" s="319"/>
      <c r="PNO17" s="319"/>
      <c r="PNP17" s="319"/>
      <c r="PNQ17" s="319"/>
      <c r="PNR17" s="319"/>
      <c r="PNS17" s="319"/>
      <c r="PNT17" s="319"/>
      <c r="PNU17" s="319"/>
      <c r="PNV17" s="319"/>
      <c r="PNW17" s="319"/>
      <c r="PNX17" s="319"/>
      <c r="PNY17" s="319"/>
      <c r="PNZ17" s="319"/>
      <c r="POA17" s="319"/>
      <c r="POB17" s="319"/>
      <c r="POC17" s="319"/>
      <c r="POD17" s="319"/>
      <c r="POE17" s="319"/>
      <c r="POF17" s="319"/>
      <c r="POG17" s="319"/>
      <c r="POH17" s="319"/>
      <c r="POI17" s="319"/>
      <c r="POJ17" s="319"/>
      <c r="POK17" s="319"/>
      <c r="POL17" s="319"/>
      <c r="POM17" s="319"/>
      <c r="PON17" s="319"/>
      <c r="POO17" s="319"/>
      <c r="POP17" s="319"/>
      <c r="POQ17" s="319"/>
      <c r="POR17" s="319"/>
      <c r="POS17" s="319"/>
      <c r="POT17" s="319"/>
      <c r="POU17" s="319"/>
      <c r="POV17" s="319"/>
      <c r="POW17" s="319"/>
      <c r="POX17" s="319"/>
      <c r="POY17" s="319"/>
      <c r="POZ17" s="319"/>
      <c r="PPA17" s="319"/>
      <c r="PPB17" s="319"/>
      <c r="PPC17" s="319"/>
      <c r="PPD17" s="319"/>
      <c r="PPE17" s="319"/>
      <c r="PPF17" s="319"/>
      <c r="PPG17" s="319"/>
      <c r="PPH17" s="319"/>
      <c r="PPI17" s="319"/>
      <c r="PPJ17" s="319"/>
      <c r="PPK17" s="319"/>
      <c r="PPL17" s="319"/>
      <c r="PPM17" s="319"/>
      <c r="PPN17" s="319"/>
      <c r="PPO17" s="319"/>
      <c r="PPP17" s="319"/>
      <c r="PPQ17" s="319"/>
      <c r="PPR17" s="319"/>
      <c r="PPS17" s="319"/>
      <c r="PPT17" s="319"/>
      <c r="PPU17" s="319"/>
      <c r="PPV17" s="319"/>
      <c r="PPW17" s="319"/>
      <c r="PPX17" s="319"/>
      <c r="PPY17" s="319"/>
      <c r="PPZ17" s="319"/>
      <c r="PQA17" s="319"/>
      <c r="PQB17" s="319"/>
      <c r="PQC17" s="319"/>
      <c r="PQD17" s="319"/>
      <c r="PQE17" s="319"/>
      <c r="PQF17" s="319"/>
      <c r="PQG17" s="319"/>
      <c r="PQH17" s="319"/>
      <c r="PQI17" s="319"/>
      <c r="PQJ17" s="319"/>
      <c r="PQK17" s="319"/>
      <c r="PQL17" s="319"/>
      <c r="PQM17" s="319"/>
      <c r="PQN17" s="319"/>
      <c r="PQO17" s="319"/>
      <c r="PQP17" s="319"/>
      <c r="PQQ17" s="319"/>
      <c r="PQR17" s="319"/>
      <c r="PQS17" s="319"/>
      <c r="PQT17" s="319"/>
      <c r="PQU17" s="319"/>
      <c r="PQV17" s="319"/>
      <c r="PQW17" s="319"/>
      <c r="PQX17" s="319"/>
      <c r="PQY17" s="319"/>
      <c r="PQZ17" s="319"/>
      <c r="PRA17" s="319"/>
      <c r="PRB17" s="319"/>
      <c r="PRC17" s="319"/>
      <c r="PRD17" s="319"/>
      <c r="PRE17" s="319"/>
      <c r="PRF17" s="319"/>
      <c r="PRG17" s="319"/>
      <c r="PRH17" s="319"/>
      <c r="PRI17" s="319"/>
      <c r="PRJ17" s="319"/>
      <c r="PRK17" s="319"/>
      <c r="PRL17" s="319"/>
      <c r="PRM17" s="319"/>
      <c r="PRN17" s="319"/>
      <c r="PRO17" s="319"/>
      <c r="PRP17" s="319"/>
      <c r="PRQ17" s="319"/>
      <c r="PRR17" s="319"/>
      <c r="PRS17" s="319"/>
      <c r="PRT17" s="319"/>
      <c r="PRU17" s="319"/>
      <c r="PRV17" s="319"/>
      <c r="PRW17" s="319"/>
      <c r="PRX17" s="319"/>
      <c r="PRY17" s="319"/>
      <c r="PRZ17" s="319"/>
      <c r="PSA17" s="319"/>
      <c r="PSB17" s="319"/>
      <c r="PSC17" s="319"/>
      <c r="PSD17" s="319"/>
      <c r="PSE17" s="319"/>
      <c r="PSF17" s="319"/>
      <c r="PSG17" s="319"/>
      <c r="PSH17" s="319"/>
      <c r="PSI17" s="319"/>
      <c r="PSJ17" s="319"/>
      <c r="PSK17" s="319"/>
      <c r="PSL17" s="319"/>
      <c r="PSM17" s="319"/>
      <c r="PSN17" s="319"/>
      <c r="PSO17" s="319"/>
      <c r="PSP17" s="319"/>
      <c r="PSQ17" s="319"/>
      <c r="PSR17" s="319"/>
      <c r="PSS17" s="319"/>
      <c r="PST17" s="319"/>
      <c r="PSU17" s="319"/>
      <c r="PSV17" s="319"/>
      <c r="PSW17" s="319"/>
      <c r="PSX17" s="319"/>
      <c r="PSY17" s="319"/>
      <c r="PSZ17" s="319"/>
      <c r="PTA17" s="319"/>
      <c r="PTB17" s="319"/>
      <c r="PTC17" s="319"/>
      <c r="PTD17" s="319"/>
      <c r="PTE17" s="319"/>
      <c r="PTF17" s="319"/>
      <c r="PTG17" s="319"/>
      <c r="PTH17" s="319"/>
      <c r="PTI17" s="319"/>
      <c r="PTJ17" s="319"/>
      <c r="PTK17" s="319"/>
      <c r="PTL17" s="319"/>
      <c r="PTM17" s="319"/>
      <c r="PTN17" s="319"/>
      <c r="PTO17" s="319"/>
      <c r="PTP17" s="319"/>
      <c r="PTQ17" s="319"/>
      <c r="PTR17" s="319"/>
      <c r="PTS17" s="319"/>
      <c r="PTT17" s="319"/>
      <c r="PTU17" s="319"/>
      <c r="PTV17" s="319"/>
      <c r="PTW17" s="319"/>
      <c r="PTX17" s="319"/>
      <c r="PTY17" s="319"/>
      <c r="PTZ17" s="319"/>
      <c r="PUA17" s="319"/>
      <c r="PUB17" s="319"/>
      <c r="PUC17" s="319"/>
      <c r="PUD17" s="319"/>
      <c r="PUE17" s="319"/>
      <c r="PUF17" s="319"/>
      <c r="PUG17" s="319"/>
      <c r="PUH17" s="319"/>
      <c r="PUI17" s="319"/>
      <c r="PUJ17" s="319"/>
      <c r="PUK17" s="319"/>
      <c r="PUL17" s="319"/>
      <c r="PUM17" s="319"/>
      <c r="PUN17" s="319"/>
      <c r="PUO17" s="319"/>
      <c r="PUP17" s="319"/>
      <c r="PUQ17" s="319"/>
      <c r="PUR17" s="319"/>
      <c r="PUS17" s="319"/>
      <c r="PUT17" s="319"/>
      <c r="PUU17" s="319"/>
      <c r="PUV17" s="319"/>
      <c r="PUW17" s="319"/>
      <c r="PUX17" s="319"/>
      <c r="PUY17" s="319"/>
      <c r="PUZ17" s="319"/>
      <c r="PVA17" s="319"/>
      <c r="PVB17" s="319"/>
      <c r="PVC17" s="319"/>
      <c r="PVD17" s="319"/>
      <c r="PVE17" s="319"/>
      <c r="PVF17" s="319"/>
      <c r="PVG17" s="319"/>
      <c r="PVH17" s="319"/>
      <c r="PVI17" s="319"/>
      <c r="PVJ17" s="319"/>
      <c r="PVK17" s="319"/>
      <c r="PVL17" s="319"/>
      <c r="PVM17" s="319"/>
      <c r="PVN17" s="319"/>
      <c r="PVO17" s="319"/>
      <c r="PVP17" s="319"/>
      <c r="PVQ17" s="319"/>
      <c r="PVR17" s="319"/>
      <c r="PVS17" s="319"/>
      <c r="PVT17" s="319"/>
      <c r="PVU17" s="319"/>
      <c r="PVV17" s="319"/>
      <c r="PVW17" s="319"/>
      <c r="PVX17" s="319"/>
      <c r="PVY17" s="319"/>
      <c r="PVZ17" s="319"/>
      <c r="PWA17" s="319"/>
      <c r="PWB17" s="319"/>
      <c r="PWC17" s="319"/>
      <c r="PWD17" s="319"/>
      <c r="PWE17" s="319"/>
      <c r="PWF17" s="319"/>
      <c r="PWG17" s="319"/>
      <c r="PWH17" s="319"/>
      <c r="PWI17" s="319"/>
      <c r="PWJ17" s="319"/>
      <c r="PWK17" s="319"/>
      <c r="PWL17" s="319"/>
      <c r="PWM17" s="319"/>
      <c r="PWN17" s="319"/>
      <c r="PWO17" s="319"/>
      <c r="PWP17" s="319"/>
      <c r="PWQ17" s="319"/>
      <c r="PWR17" s="319"/>
      <c r="PWS17" s="319"/>
      <c r="PWT17" s="319"/>
      <c r="PWU17" s="319"/>
      <c r="PWV17" s="319"/>
      <c r="PWW17" s="319"/>
      <c r="PWX17" s="319"/>
      <c r="PWY17" s="319"/>
      <c r="PWZ17" s="319"/>
      <c r="PXA17" s="319"/>
      <c r="PXB17" s="319"/>
      <c r="PXC17" s="319"/>
      <c r="PXD17" s="319"/>
      <c r="PXE17" s="319"/>
      <c r="PXF17" s="319"/>
      <c r="PXG17" s="319"/>
      <c r="PXH17" s="319"/>
      <c r="PXI17" s="319"/>
      <c r="PXJ17" s="319"/>
      <c r="PXK17" s="319"/>
      <c r="PXL17" s="319"/>
      <c r="PXM17" s="319"/>
      <c r="PXN17" s="319"/>
      <c r="PXO17" s="319"/>
      <c r="PXP17" s="319"/>
      <c r="PXQ17" s="319"/>
      <c r="PXR17" s="319"/>
      <c r="PXS17" s="319"/>
      <c r="PXT17" s="319"/>
      <c r="PXU17" s="319"/>
      <c r="PXV17" s="319"/>
      <c r="PXW17" s="319"/>
      <c r="PXX17" s="319"/>
      <c r="PXY17" s="319"/>
      <c r="PXZ17" s="319"/>
      <c r="PYA17" s="319"/>
      <c r="PYB17" s="319"/>
      <c r="PYC17" s="319"/>
      <c r="PYD17" s="319"/>
      <c r="PYE17" s="319"/>
      <c r="PYF17" s="319"/>
      <c r="PYG17" s="319"/>
      <c r="PYH17" s="319"/>
      <c r="PYI17" s="319"/>
      <c r="PYJ17" s="319"/>
      <c r="PYK17" s="319"/>
      <c r="PYL17" s="319"/>
      <c r="PYM17" s="319"/>
      <c r="PYN17" s="319"/>
      <c r="PYO17" s="319"/>
      <c r="PYP17" s="319"/>
      <c r="PYQ17" s="319"/>
      <c r="PYR17" s="319"/>
      <c r="PYS17" s="319"/>
      <c r="PYT17" s="319"/>
      <c r="PYU17" s="319"/>
      <c r="PYV17" s="319"/>
      <c r="PYW17" s="319"/>
      <c r="PYX17" s="319"/>
      <c r="PYY17" s="319"/>
      <c r="PYZ17" s="319"/>
      <c r="PZA17" s="319"/>
      <c r="PZB17" s="319"/>
      <c r="PZC17" s="319"/>
      <c r="PZD17" s="319"/>
      <c r="PZE17" s="319"/>
      <c r="PZF17" s="319"/>
      <c r="PZG17" s="319"/>
      <c r="PZH17" s="319"/>
      <c r="PZI17" s="319"/>
      <c r="PZJ17" s="319"/>
      <c r="PZK17" s="319"/>
      <c r="PZL17" s="319"/>
      <c r="PZM17" s="319"/>
      <c r="PZN17" s="319"/>
      <c r="PZO17" s="319"/>
      <c r="PZP17" s="319"/>
      <c r="PZQ17" s="319"/>
      <c r="PZR17" s="319"/>
      <c r="PZS17" s="319"/>
      <c r="PZT17" s="319"/>
      <c r="PZU17" s="319"/>
      <c r="PZV17" s="319"/>
      <c r="PZW17" s="319"/>
      <c r="PZX17" s="319"/>
      <c r="PZY17" s="319"/>
      <c r="PZZ17" s="319"/>
      <c r="QAA17" s="319"/>
      <c r="QAB17" s="319"/>
      <c r="QAC17" s="319"/>
      <c r="QAD17" s="319"/>
      <c r="QAE17" s="319"/>
      <c r="QAF17" s="319"/>
      <c r="QAG17" s="319"/>
      <c r="QAH17" s="319"/>
      <c r="QAI17" s="319"/>
      <c r="QAJ17" s="319"/>
      <c r="QAK17" s="319"/>
      <c r="QAL17" s="319"/>
      <c r="QAM17" s="319"/>
      <c r="QAN17" s="319"/>
      <c r="QAO17" s="319"/>
      <c r="QAP17" s="319"/>
      <c r="QAQ17" s="319"/>
      <c r="QAR17" s="319"/>
      <c r="QAS17" s="319"/>
      <c r="QAT17" s="319"/>
      <c r="QAU17" s="319"/>
      <c r="QAV17" s="319"/>
      <c r="QAW17" s="319"/>
      <c r="QAX17" s="319"/>
      <c r="QAY17" s="319"/>
      <c r="QAZ17" s="319"/>
      <c r="QBA17" s="319"/>
      <c r="QBB17" s="319"/>
      <c r="QBC17" s="319"/>
      <c r="QBD17" s="319"/>
      <c r="QBE17" s="319"/>
      <c r="QBF17" s="319"/>
      <c r="QBG17" s="319"/>
      <c r="QBH17" s="319"/>
      <c r="QBI17" s="319"/>
      <c r="QBJ17" s="319"/>
      <c r="QBK17" s="319"/>
      <c r="QBL17" s="319"/>
      <c r="QBM17" s="319"/>
      <c r="QBN17" s="319"/>
      <c r="QBO17" s="319"/>
      <c r="QBP17" s="319"/>
      <c r="QBQ17" s="319"/>
      <c r="QBR17" s="319"/>
      <c r="QBS17" s="319"/>
      <c r="QBT17" s="319"/>
      <c r="QBU17" s="319"/>
      <c r="QBV17" s="319"/>
      <c r="QBW17" s="319"/>
      <c r="QBX17" s="319"/>
      <c r="QBY17" s="319"/>
      <c r="QBZ17" s="319"/>
      <c r="QCA17" s="319"/>
      <c r="QCB17" s="319"/>
      <c r="QCC17" s="319"/>
      <c r="QCD17" s="319"/>
      <c r="QCE17" s="319"/>
      <c r="QCF17" s="319"/>
      <c r="QCG17" s="319"/>
      <c r="QCH17" s="319"/>
      <c r="QCI17" s="319"/>
      <c r="QCJ17" s="319"/>
      <c r="QCK17" s="319"/>
      <c r="QCL17" s="319"/>
      <c r="QCM17" s="319"/>
      <c r="QCN17" s="319"/>
      <c r="QCO17" s="319"/>
      <c r="QCP17" s="319"/>
      <c r="QCQ17" s="319"/>
      <c r="QCR17" s="319"/>
      <c r="QCS17" s="319"/>
      <c r="QCT17" s="319"/>
      <c r="QCU17" s="319"/>
      <c r="QCV17" s="319"/>
      <c r="QCW17" s="319"/>
      <c r="QCX17" s="319"/>
      <c r="QCY17" s="319"/>
      <c r="QCZ17" s="319"/>
      <c r="QDA17" s="319"/>
      <c r="QDB17" s="319"/>
      <c r="QDC17" s="319"/>
      <c r="QDD17" s="319"/>
      <c r="QDE17" s="319"/>
      <c r="QDF17" s="319"/>
      <c r="QDG17" s="319"/>
      <c r="QDH17" s="319"/>
      <c r="QDI17" s="319"/>
      <c r="QDJ17" s="319"/>
      <c r="QDK17" s="319"/>
      <c r="QDL17" s="319"/>
      <c r="QDM17" s="319"/>
      <c r="QDN17" s="319"/>
      <c r="QDO17" s="319"/>
      <c r="QDP17" s="319"/>
      <c r="QDQ17" s="319"/>
      <c r="QDR17" s="319"/>
      <c r="QDS17" s="319"/>
      <c r="QDT17" s="319"/>
      <c r="QDU17" s="319"/>
      <c r="QDV17" s="319"/>
      <c r="QDW17" s="319"/>
      <c r="QDX17" s="319"/>
      <c r="QDY17" s="319"/>
      <c r="QDZ17" s="319"/>
      <c r="QEA17" s="319"/>
      <c r="QEB17" s="319"/>
      <c r="QEC17" s="319"/>
      <c r="QED17" s="319"/>
      <c r="QEE17" s="319"/>
      <c r="QEF17" s="319"/>
      <c r="QEG17" s="319"/>
      <c r="QEH17" s="319"/>
      <c r="QEI17" s="319"/>
      <c r="QEJ17" s="319"/>
      <c r="QEK17" s="319"/>
      <c r="QEL17" s="319"/>
      <c r="QEM17" s="319"/>
      <c r="QEN17" s="319"/>
      <c r="QEO17" s="319"/>
      <c r="QEP17" s="319"/>
      <c r="QEQ17" s="319"/>
      <c r="QER17" s="319"/>
      <c r="QES17" s="319"/>
      <c r="QET17" s="319"/>
      <c r="QEU17" s="319"/>
      <c r="QEV17" s="319"/>
      <c r="QEW17" s="319"/>
      <c r="QEX17" s="319"/>
      <c r="QEY17" s="319"/>
      <c r="QEZ17" s="319"/>
      <c r="QFA17" s="319"/>
      <c r="QFB17" s="319"/>
      <c r="QFC17" s="319"/>
      <c r="QFD17" s="319"/>
      <c r="QFE17" s="319"/>
      <c r="QFF17" s="319"/>
      <c r="QFG17" s="319"/>
      <c r="QFH17" s="319"/>
      <c r="QFI17" s="319"/>
      <c r="QFJ17" s="319"/>
      <c r="QFK17" s="319"/>
      <c r="QFL17" s="319"/>
      <c r="QFM17" s="319"/>
      <c r="QFN17" s="319"/>
      <c r="QFO17" s="319"/>
      <c r="QFP17" s="319"/>
      <c r="QFQ17" s="319"/>
      <c r="QFR17" s="319"/>
      <c r="QFS17" s="319"/>
      <c r="QFT17" s="319"/>
      <c r="QFU17" s="319"/>
      <c r="QFV17" s="319"/>
      <c r="QFW17" s="319"/>
      <c r="QFX17" s="319"/>
      <c r="QFY17" s="319"/>
      <c r="QFZ17" s="319"/>
      <c r="QGA17" s="319"/>
      <c r="QGB17" s="319"/>
      <c r="QGC17" s="319"/>
      <c r="QGD17" s="319"/>
      <c r="QGE17" s="319"/>
      <c r="QGF17" s="319"/>
      <c r="QGG17" s="319"/>
      <c r="QGH17" s="319"/>
      <c r="QGI17" s="319"/>
      <c r="QGJ17" s="319"/>
      <c r="QGK17" s="319"/>
      <c r="QGL17" s="319"/>
      <c r="QGM17" s="319"/>
      <c r="QGN17" s="319"/>
      <c r="QGO17" s="319"/>
      <c r="QGP17" s="319"/>
      <c r="QGQ17" s="319"/>
      <c r="QGR17" s="319"/>
      <c r="QGS17" s="319"/>
      <c r="QGT17" s="319"/>
      <c r="QGU17" s="319"/>
      <c r="QGV17" s="319"/>
      <c r="QGW17" s="319"/>
      <c r="QGX17" s="319"/>
      <c r="QGY17" s="319"/>
      <c r="QGZ17" s="319"/>
      <c r="QHA17" s="319"/>
      <c r="QHB17" s="319"/>
      <c r="QHC17" s="319"/>
      <c r="QHD17" s="319"/>
      <c r="QHE17" s="319"/>
      <c r="QHF17" s="319"/>
      <c r="QHG17" s="319"/>
      <c r="QHH17" s="319"/>
      <c r="QHI17" s="319"/>
      <c r="QHJ17" s="319"/>
      <c r="QHK17" s="319"/>
      <c r="QHL17" s="319"/>
      <c r="QHM17" s="319"/>
      <c r="QHN17" s="319"/>
      <c r="QHO17" s="319"/>
      <c r="QHP17" s="319"/>
      <c r="QHQ17" s="319"/>
      <c r="QHR17" s="319"/>
      <c r="QHS17" s="319"/>
      <c r="QHT17" s="319"/>
      <c r="QHU17" s="319"/>
      <c r="QHV17" s="319"/>
      <c r="QHW17" s="319"/>
      <c r="QHX17" s="319"/>
      <c r="QHY17" s="319"/>
      <c r="QHZ17" s="319"/>
      <c r="QIA17" s="319"/>
      <c r="QIB17" s="319"/>
      <c r="QIC17" s="319"/>
      <c r="QID17" s="319"/>
      <c r="QIE17" s="319"/>
      <c r="QIF17" s="319"/>
      <c r="QIG17" s="319"/>
      <c r="QIH17" s="319"/>
      <c r="QII17" s="319"/>
      <c r="QIJ17" s="319"/>
      <c r="QIK17" s="319"/>
      <c r="QIL17" s="319"/>
      <c r="QIM17" s="319"/>
      <c r="QIN17" s="319"/>
      <c r="QIO17" s="319"/>
      <c r="QIP17" s="319"/>
      <c r="QIQ17" s="319"/>
      <c r="QIR17" s="319"/>
      <c r="QIS17" s="319"/>
      <c r="QIT17" s="319"/>
      <c r="QIU17" s="319"/>
      <c r="QIV17" s="319"/>
      <c r="QIW17" s="319"/>
      <c r="QIX17" s="319"/>
      <c r="QIY17" s="319"/>
      <c r="QIZ17" s="319"/>
      <c r="QJA17" s="319"/>
      <c r="QJB17" s="319"/>
      <c r="QJC17" s="319"/>
      <c r="QJD17" s="319"/>
      <c r="QJE17" s="319"/>
      <c r="QJF17" s="319"/>
      <c r="QJG17" s="319"/>
      <c r="QJH17" s="319"/>
      <c r="QJI17" s="319"/>
      <c r="QJJ17" s="319"/>
      <c r="QJK17" s="319"/>
      <c r="QJL17" s="319"/>
      <c r="QJM17" s="319"/>
      <c r="QJN17" s="319"/>
      <c r="QJO17" s="319"/>
      <c r="QJP17" s="319"/>
      <c r="QJQ17" s="319"/>
      <c r="QJR17" s="319"/>
      <c r="QJS17" s="319"/>
      <c r="QJT17" s="319"/>
      <c r="QJU17" s="319"/>
      <c r="QJV17" s="319"/>
      <c r="QJW17" s="319"/>
      <c r="QJX17" s="319"/>
      <c r="QJY17" s="319"/>
      <c r="QJZ17" s="319"/>
      <c r="QKA17" s="319"/>
      <c r="QKB17" s="319"/>
      <c r="QKC17" s="319"/>
      <c r="QKD17" s="319"/>
      <c r="QKE17" s="319"/>
      <c r="QKF17" s="319"/>
      <c r="QKG17" s="319"/>
      <c r="QKH17" s="319"/>
      <c r="QKI17" s="319"/>
      <c r="QKJ17" s="319"/>
      <c r="QKK17" s="319"/>
      <c r="QKL17" s="319"/>
      <c r="QKM17" s="319"/>
      <c r="QKN17" s="319"/>
      <c r="QKO17" s="319"/>
      <c r="QKP17" s="319"/>
      <c r="QKQ17" s="319"/>
      <c r="QKR17" s="319"/>
      <c r="QKS17" s="319"/>
      <c r="QKT17" s="319"/>
      <c r="QKU17" s="319"/>
      <c r="QKV17" s="319"/>
      <c r="QKW17" s="319"/>
      <c r="QKX17" s="319"/>
      <c r="QKY17" s="319"/>
      <c r="QKZ17" s="319"/>
      <c r="QLA17" s="319"/>
      <c r="QLB17" s="319"/>
      <c r="QLC17" s="319"/>
      <c r="QLD17" s="319"/>
      <c r="QLE17" s="319"/>
      <c r="QLF17" s="319"/>
      <c r="QLG17" s="319"/>
      <c r="QLH17" s="319"/>
      <c r="QLI17" s="319"/>
      <c r="QLJ17" s="319"/>
      <c r="QLK17" s="319"/>
      <c r="QLL17" s="319"/>
      <c r="QLM17" s="319"/>
      <c r="QLN17" s="319"/>
      <c r="QLO17" s="319"/>
      <c r="QLP17" s="319"/>
      <c r="QLQ17" s="319"/>
      <c r="QLR17" s="319"/>
      <c r="QLS17" s="319"/>
      <c r="QLT17" s="319"/>
      <c r="QLU17" s="319"/>
      <c r="QLV17" s="319"/>
      <c r="QLW17" s="319"/>
      <c r="QLX17" s="319"/>
      <c r="QLY17" s="319"/>
      <c r="QLZ17" s="319"/>
      <c r="QMA17" s="319"/>
      <c r="QMB17" s="319"/>
      <c r="QMC17" s="319"/>
      <c r="QMD17" s="319"/>
      <c r="QME17" s="319"/>
      <c r="QMF17" s="319"/>
      <c r="QMG17" s="319"/>
      <c r="QMH17" s="319"/>
      <c r="QMI17" s="319"/>
      <c r="QMJ17" s="319"/>
      <c r="QMK17" s="319"/>
      <c r="QML17" s="319"/>
      <c r="QMM17" s="319"/>
      <c r="QMN17" s="319"/>
      <c r="QMO17" s="319"/>
      <c r="QMP17" s="319"/>
      <c r="QMQ17" s="319"/>
      <c r="QMR17" s="319"/>
      <c r="QMS17" s="319"/>
      <c r="QMT17" s="319"/>
      <c r="QMU17" s="319"/>
      <c r="QMV17" s="319"/>
      <c r="QMW17" s="319"/>
      <c r="QMX17" s="319"/>
      <c r="QMY17" s="319"/>
      <c r="QMZ17" s="319"/>
      <c r="QNA17" s="319"/>
      <c r="QNB17" s="319"/>
      <c r="QNC17" s="319"/>
      <c r="QND17" s="319"/>
      <c r="QNE17" s="319"/>
      <c r="QNF17" s="319"/>
      <c r="QNG17" s="319"/>
      <c r="QNH17" s="319"/>
      <c r="QNI17" s="319"/>
      <c r="QNJ17" s="319"/>
      <c r="QNK17" s="319"/>
      <c r="QNL17" s="319"/>
      <c r="QNM17" s="319"/>
      <c r="QNN17" s="319"/>
      <c r="QNO17" s="319"/>
      <c r="QNP17" s="319"/>
      <c r="QNQ17" s="319"/>
      <c r="QNR17" s="319"/>
      <c r="QNS17" s="319"/>
      <c r="QNT17" s="319"/>
      <c r="QNU17" s="319"/>
      <c r="QNV17" s="319"/>
      <c r="QNW17" s="319"/>
      <c r="QNX17" s="319"/>
      <c r="QNY17" s="319"/>
      <c r="QNZ17" s="319"/>
      <c r="QOA17" s="319"/>
      <c r="QOB17" s="319"/>
      <c r="QOC17" s="319"/>
      <c r="QOD17" s="319"/>
      <c r="QOE17" s="319"/>
      <c r="QOF17" s="319"/>
      <c r="QOG17" s="319"/>
      <c r="QOH17" s="319"/>
      <c r="QOI17" s="319"/>
      <c r="QOJ17" s="319"/>
      <c r="QOK17" s="319"/>
      <c r="QOL17" s="319"/>
      <c r="QOM17" s="319"/>
      <c r="QON17" s="319"/>
      <c r="QOO17" s="319"/>
      <c r="QOP17" s="319"/>
      <c r="QOQ17" s="319"/>
      <c r="QOR17" s="319"/>
      <c r="QOS17" s="319"/>
      <c r="QOT17" s="319"/>
      <c r="QOU17" s="319"/>
      <c r="QOV17" s="319"/>
      <c r="QOW17" s="319"/>
      <c r="QOX17" s="319"/>
      <c r="QOY17" s="319"/>
      <c r="QOZ17" s="319"/>
      <c r="QPA17" s="319"/>
      <c r="QPB17" s="319"/>
      <c r="QPC17" s="319"/>
      <c r="QPD17" s="319"/>
      <c r="QPE17" s="319"/>
      <c r="QPF17" s="319"/>
      <c r="QPG17" s="319"/>
      <c r="QPH17" s="319"/>
      <c r="QPI17" s="319"/>
      <c r="QPJ17" s="319"/>
      <c r="QPK17" s="319"/>
      <c r="QPL17" s="319"/>
      <c r="QPM17" s="319"/>
      <c r="QPN17" s="319"/>
      <c r="QPO17" s="319"/>
      <c r="QPP17" s="319"/>
      <c r="QPQ17" s="319"/>
      <c r="QPR17" s="319"/>
      <c r="QPS17" s="319"/>
      <c r="QPT17" s="319"/>
      <c r="QPU17" s="319"/>
      <c r="QPV17" s="319"/>
      <c r="QPW17" s="319"/>
      <c r="QPX17" s="319"/>
      <c r="QPY17" s="319"/>
      <c r="QPZ17" s="319"/>
      <c r="QQA17" s="319"/>
      <c r="QQB17" s="319"/>
      <c r="QQC17" s="319"/>
      <c r="QQD17" s="319"/>
      <c r="QQE17" s="319"/>
      <c r="QQF17" s="319"/>
      <c r="QQG17" s="319"/>
      <c r="QQH17" s="319"/>
      <c r="QQI17" s="319"/>
      <c r="QQJ17" s="319"/>
      <c r="QQK17" s="319"/>
      <c r="QQL17" s="319"/>
      <c r="QQM17" s="319"/>
      <c r="QQN17" s="319"/>
      <c r="QQO17" s="319"/>
      <c r="QQP17" s="319"/>
      <c r="QQQ17" s="319"/>
      <c r="QQR17" s="319"/>
      <c r="QQS17" s="319"/>
      <c r="QQT17" s="319"/>
      <c r="QQU17" s="319"/>
      <c r="QQV17" s="319"/>
      <c r="QQW17" s="319"/>
      <c r="QQX17" s="319"/>
      <c r="QQY17" s="319"/>
      <c r="QQZ17" s="319"/>
      <c r="QRA17" s="319"/>
      <c r="QRB17" s="319"/>
      <c r="QRC17" s="319"/>
      <c r="QRD17" s="319"/>
      <c r="QRE17" s="319"/>
      <c r="QRF17" s="319"/>
      <c r="QRG17" s="319"/>
      <c r="QRH17" s="319"/>
      <c r="QRI17" s="319"/>
      <c r="QRJ17" s="319"/>
      <c r="QRK17" s="319"/>
      <c r="QRL17" s="319"/>
      <c r="QRM17" s="319"/>
      <c r="QRN17" s="319"/>
      <c r="QRO17" s="319"/>
      <c r="QRP17" s="319"/>
      <c r="QRQ17" s="319"/>
      <c r="QRR17" s="319"/>
      <c r="QRS17" s="319"/>
      <c r="QRT17" s="319"/>
      <c r="QRU17" s="319"/>
      <c r="QRV17" s="319"/>
      <c r="QRW17" s="319"/>
      <c r="QRX17" s="319"/>
      <c r="QRY17" s="319"/>
      <c r="QRZ17" s="319"/>
      <c r="QSA17" s="319"/>
      <c r="QSB17" s="319"/>
      <c r="QSC17" s="319"/>
      <c r="QSD17" s="319"/>
      <c r="QSE17" s="319"/>
      <c r="QSF17" s="319"/>
      <c r="QSG17" s="319"/>
      <c r="QSH17" s="319"/>
      <c r="QSI17" s="319"/>
      <c r="QSJ17" s="319"/>
      <c r="QSK17" s="319"/>
      <c r="QSL17" s="319"/>
      <c r="QSM17" s="319"/>
      <c r="QSN17" s="319"/>
      <c r="QSO17" s="319"/>
      <c r="QSP17" s="319"/>
      <c r="QSQ17" s="319"/>
      <c r="QSR17" s="319"/>
      <c r="QSS17" s="319"/>
      <c r="QST17" s="319"/>
      <c r="QSU17" s="319"/>
      <c r="QSV17" s="319"/>
      <c r="QSW17" s="319"/>
      <c r="QSX17" s="319"/>
      <c r="QSY17" s="319"/>
      <c r="QSZ17" s="319"/>
      <c r="QTA17" s="319"/>
      <c r="QTB17" s="319"/>
      <c r="QTC17" s="319"/>
      <c r="QTD17" s="319"/>
      <c r="QTE17" s="319"/>
      <c r="QTF17" s="319"/>
      <c r="QTG17" s="319"/>
      <c r="QTH17" s="319"/>
      <c r="QTI17" s="319"/>
      <c r="QTJ17" s="319"/>
      <c r="QTK17" s="319"/>
      <c r="QTL17" s="319"/>
      <c r="QTM17" s="319"/>
      <c r="QTN17" s="319"/>
      <c r="QTO17" s="319"/>
      <c r="QTP17" s="319"/>
      <c r="QTQ17" s="319"/>
      <c r="QTR17" s="319"/>
      <c r="QTS17" s="319"/>
      <c r="QTT17" s="319"/>
      <c r="QTU17" s="319"/>
      <c r="QTV17" s="319"/>
      <c r="QTW17" s="319"/>
      <c r="QTX17" s="319"/>
      <c r="QTY17" s="319"/>
      <c r="QTZ17" s="319"/>
      <c r="QUA17" s="319"/>
      <c r="QUB17" s="319"/>
      <c r="QUC17" s="319"/>
      <c r="QUD17" s="319"/>
      <c r="QUE17" s="319"/>
      <c r="QUF17" s="319"/>
      <c r="QUG17" s="319"/>
      <c r="QUH17" s="319"/>
      <c r="QUI17" s="319"/>
      <c r="QUJ17" s="319"/>
      <c r="QUK17" s="319"/>
      <c r="QUL17" s="319"/>
      <c r="QUM17" s="319"/>
      <c r="QUN17" s="319"/>
      <c r="QUO17" s="319"/>
      <c r="QUP17" s="319"/>
      <c r="QUQ17" s="319"/>
      <c r="QUR17" s="319"/>
      <c r="QUS17" s="319"/>
      <c r="QUT17" s="319"/>
      <c r="QUU17" s="319"/>
      <c r="QUV17" s="319"/>
      <c r="QUW17" s="319"/>
      <c r="QUX17" s="319"/>
      <c r="QUY17" s="319"/>
      <c r="QUZ17" s="319"/>
      <c r="QVA17" s="319"/>
      <c r="QVB17" s="319"/>
      <c r="QVC17" s="319"/>
      <c r="QVD17" s="319"/>
      <c r="QVE17" s="319"/>
      <c r="QVF17" s="319"/>
      <c r="QVG17" s="319"/>
      <c r="QVH17" s="319"/>
      <c r="QVI17" s="319"/>
      <c r="QVJ17" s="319"/>
      <c r="QVK17" s="319"/>
      <c r="QVL17" s="319"/>
      <c r="QVM17" s="319"/>
      <c r="QVN17" s="319"/>
      <c r="QVO17" s="319"/>
      <c r="QVP17" s="319"/>
      <c r="QVQ17" s="319"/>
      <c r="QVR17" s="319"/>
      <c r="QVS17" s="319"/>
      <c r="QVT17" s="319"/>
      <c r="QVU17" s="319"/>
      <c r="QVV17" s="319"/>
      <c r="QVW17" s="319"/>
      <c r="QVX17" s="319"/>
      <c r="QVY17" s="319"/>
      <c r="QVZ17" s="319"/>
      <c r="QWA17" s="319"/>
      <c r="QWB17" s="319"/>
      <c r="QWC17" s="319"/>
      <c r="QWD17" s="319"/>
      <c r="QWE17" s="319"/>
      <c r="QWF17" s="319"/>
      <c r="QWG17" s="319"/>
      <c r="QWH17" s="319"/>
      <c r="QWI17" s="319"/>
      <c r="QWJ17" s="319"/>
      <c r="QWK17" s="319"/>
      <c r="QWL17" s="319"/>
      <c r="QWM17" s="319"/>
      <c r="QWN17" s="319"/>
      <c r="QWO17" s="319"/>
      <c r="QWP17" s="319"/>
      <c r="QWQ17" s="319"/>
      <c r="QWR17" s="319"/>
      <c r="QWS17" s="319"/>
      <c r="QWT17" s="319"/>
      <c r="QWU17" s="319"/>
      <c r="QWV17" s="319"/>
      <c r="QWW17" s="319"/>
      <c r="QWX17" s="319"/>
      <c r="QWY17" s="319"/>
      <c r="QWZ17" s="319"/>
      <c r="QXA17" s="319"/>
      <c r="QXB17" s="319"/>
      <c r="QXC17" s="319"/>
      <c r="QXD17" s="319"/>
      <c r="QXE17" s="319"/>
      <c r="QXF17" s="319"/>
      <c r="QXG17" s="319"/>
      <c r="QXH17" s="319"/>
      <c r="QXI17" s="319"/>
      <c r="QXJ17" s="319"/>
      <c r="QXK17" s="319"/>
      <c r="QXL17" s="319"/>
      <c r="QXM17" s="319"/>
      <c r="QXN17" s="319"/>
      <c r="QXO17" s="319"/>
      <c r="QXP17" s="319"/>
      <c r="QXQ17" s="319"/>
      <c r="QXR17" s="319"/>
      <c r="QXS17" s="319"/>
      <c r="QXT17" s="319"/>
      <c r="QXU17" s="319"/>
      <c r="QXV17" s="319"/>
      <c r="QXW17" s="319"/>
      <c r="QXX17" s="319"/>
      <c r="QXY17" s="319"/>
      <c r="QXZ17" s="319"/>
      <c r="QYA17" s="319"/>
      <c r="QYB17" s="319"/>
      <c r="QYC17" s="319"/>
      <c r="QYD17" s="319"/>
      <c r="QYE17" s="319"/>
      <c r="QYF17" s="319"/>
      <c r="QYG17" s="319"/>
      <c r="QYH17" s="319"/>
      <c r="QYI17" s="319"/>
      <c r="QYJ17" s="319"/>
      <c r="QYK17" s="319"/>
      <c r="QYL17" s="319"/>
      <c r="QYM17" s="319"/>
      <c r="QYN17" s="319"/>
      <c r="QYO17" s="319"/>
      <c r="QYP17" s="319"/>
      <c r="QYQ17" s="319"/>
      <c r="QYR17" s="319"/>
      <c r="QYS17" s="319"/>
      <c r="QYT17" s="319"/>
      <c r="QYU17" s="319"/>
      <c r="QYV17" s="319"/>
      <c r="QYW17" s="319"/>
      <c r="QYX17" s="319"/>
      <c r="QYY17" s="319"/>
      <c r="QYZ17" s="319"/>
      <c r="QZA17" s="319"/>
      <c r="QZB17" s="319"/>
      <c r="QZC17" s="319"/>
      <c r="QZD17" s="319"/>
      <c r="QZE17" s="319"/>
      <c r="QZF17" s="319"/>
      <c r="QZG17" s="319"/>
      <c r="QZH17" s="319"/>
      <c r="QZI17" s="319"/>
      <c r="QZJ17" s="319"/>
      <c r="QZK17" s="319"/>
      <c r="QZL17" s="319"/>
      <c r="QZM17" s="319"/>
      <c r="QZN17" s="319"/>
      <c r="QZO17" s="319"/>
      <c r="QZP17" s="319"/>
      <c r="QZQ17" s="319"/>
      <c r="QZR17" s="319"/>
      <c r="QZS17" s="319"/>
      <c r="QZT17" s="319"/>
      <c r="QZU17" s="319"/>
      <c r="QZV17" s="319"/>
      <c r="QZW17" s="319"/>
      <c r="QZX17" s="319"/>
      <c r="QZY17" s="319"/>
      <c r="QZZ17" s="319"/>
      <c r="RAA17" s="319"/>
      <c r="RAB17" s="319"/>
      <c r="RAC17" s="319"/>
      <c r="RAD17" s="319"/>
      <c r="RAE17" s="319"/>
      <c r="RAF17" s="319"/>
      <c r="RAG17" s="319"/>
      <c r="RAH17" s="319"/>
      <c r="RAI17" s="319"/>
      <c r="RAJ17" s="319"/>
      <c r="RAK17" s="319"/>
      <c r="RAL17" s="319"/>
      <c r="RAM17" s="319"/>
      <c r="RAN17" s="319"/>
      <c r="RAO17" s="319"/>
      <c r="RAP17" s="319"/>
      <c r="RAQ17" s="319"/>
      <c r="RAR17" s="319"/>
      <c r="RAS17" s="319"/>
      <c r="RAT17" s="319"/>
      <c r="RAU17" s="319"/>
      <c r="RAV17" s="319"/>
      <c r="RAW17" s="319"/>
      <c r="RAX17" s="319"/>
      <c r="RAY17" s="319"/>
      <c r="RAZ17" s="319"/>
      <c r="RBA17" s="319"/>
      <c r="RBB17" s="319"/>
      <c r="RBC17" s="319"/>
      <c r="RBD17" s="319"/>
      <c r="RBE17" s="319"/>
      <c r="RBF17" s="319"/>
      <c r="RBG17" s="319"/>
      <c r="RBH17" s="319"/>
      <c r="RBI17" s="319"/>
      <c r="RBJ17" s="319"/>
      <c r="RBK17" s="319"/>
      <c r="RBL17" s="319"/>
      <c r="RBM17" s="319"/>
      <c r="RBN17" s="319"/>
      <c r="RBO17" s="319"/>
      <c r="RBP17" s="319"/>
      <c r="RBQ17" s="319"/>
      <c r="RBR17" s="319"/>
      <c r="RBS17" s="319"/>
      <c r="RBT17" s="319"/>
      <c r="RBU17" s="319"/>
      <c r="RBV17" s="319"/>
      <c r="RBW17" s="319"/>
      <c r="RBX17" s="319"/>
      <c r="RBY17" s="319"/>
      <c r="RBZ17" s="319"/>
      <c r="RCA17" s="319"/>
      <c r="RCB17" s="319"/>
      <c r="RCC17" s="319"/>
      <c r="RCD17" s="319"/>
      <c r="RCE17" s="319"/>
      <c r="RCF17" s="319"/>
      <c r="RCG17" s="319"/>
      <c r="RCH17" s="319"/>
      <c r="RCI17" s="319"/>
      <c r="RCJ17" s="319"/>
      <c r="RCK17" s="319"/>
      <c r="RCL17" s="319"/>
      <c r="RCM17" s="319"/>
      <c r="RCN17" s="319"/>
      <c r="RCO17" s="319"/>
      <c r="RCP17" s="319"/>
      <c r="RCQ17" s="319"/>
      <c r="RCR17" s="319"/>
      <c r="RCS17" s="319"/>
      <c r="RCT17" s="319"/>
      <c r="RCU17" s="319"/>
      <c r="RCV17" s="319"/>
      <c r="RCW17" s="319"/>
      <c r="RCX17" s="319"/>
      <c r="RCY17" s="319"/>
      <c r="RCZ17" s="319"/>
      <c r="RDA17" s="319"/>
      <c r="RDB17" s="319"/>
      <c r="RDC17" s="319"/>
      <c r="RDD17" s="319"/>
      <c r="RDE17" s="319"/>
      <c r="RDF17" s="319"/>
      <c r="RDG17" s="319"/>
      <c r="RDH17" s="319"/>
      <c r="RDI17" s="319"/>
      <c r="RDJ17" s="319"/>
      <c r="RDK17" s="319"/>
      <c r="RDL17" s="319"/>
      <c r="RDM17" s="319"/>
      <c r="RDN17" s="319"/>
      <c r="RDO17" s="319"/>
      <c r="RDP17" s="319"/>
      <c r="RDQ17" s="319"/>
      <c r="RDR17" s="319"/>
      <c r="RDS17" s="319"/>
      <c r="RDT17" s="319"/>
      <c r="RDU17" s="319"/>
      <c r="RDV17" s="319"/>
      <c r="RDW17" s="319"/>
      <c r="RDX17" s="319"/>
      <c r="RDY17" s="319"/>
      <c r="RDZ17" s="319"/>
      <c r="REA17" s="319"/>
      <c r="REB17" s="319"/>
      <c r="REC17" s="319"/>
      <c r="RED17" s="319"/>
      <c r="REE17" s="319"/>
      <c r="REF17" s="319"/>
      <c r="REG17" s="319"/>
      <c r="REH17" s="319"/>
      <c r="REI17" s="319"/>
      <c r="REJ17" s="319"/>
      <c r="REK17" s="319"/>
      <c r="REL17" s="319"/>
      <c r="REM17" s="319"/>
      <c r="REN17" s="319"/>
      <c r="REO17" s="319"/>
      <c r="REP17" s="319"/>
      <c r="REQ17" s="319"/>
      <c r="RER17" s="319"/>
      <c r="RES17" s="319"/>
      <c r="RET17" s="319"/>
      <c r="REU17" s="319"/>
      <c r="REV17" s="319"/>
      <c r="REW17" s="319"/>
      <c r="REX17" s="319"/>
      <c r="REY17" s="319"/>
      <c r="REZ17" s="319"/>
      <c r="RFA17" s="319"/>
      <c r="RFB17" s="319"/>
      <c r="RFC17" s="319"/>
      <c r="RFD17" s="319"/>
      <c r="RFE17" s="319"/>
      <c r="RFF17" s="319"/>
      <c r="RFG17" s="319"/>
      <c r="RFH17" s="319"/>
      <c r="RFI17" s="319"/>
      <c r="RFJ17" s="319"/>
      <c r="RFK17" s="319"/>
      <c r="RFL17" s="319"/>
      <c r="RFM17" s="319"/>
      <c r="RFN17" s="319"/>
      <c r="RFO17" s="319"/>
      <c r="RFP17" s="319"/>
      <c r="RFQ17" s="319"/>
      <c r="RFR17" s="319"/>
      <c r="RFS17" s="319"/>
      <c r="RFT17" s="319"/>
      <c r="RFU17" s="319"/>
      <c r="RFV17" s="319"/>
      <c r="RFW17" s="319"/>
      <c r="RFX17" s="319"/>
      <c r="RFY17" s="319"/>
      <c r="RFZ17" s="319"/>
      <c r="RGA17" s="319"/>
      <c r="RGB17" s="319"/>
      <c r="RGC17" s="319"/>
      <c r="RGD17" s="319"/>
      <c r="RGE17" s="319"/>
      <c r="RGF17" s="319"/>
      <c r="RGG17" s="319"/>
      <c r="RGH17" s="319"/>
      <c r="RGI17" s="319"/>
      <c r="RGJ17" s="319"/>
      <c r="RGK17" s="319"/>
      <c r="RGL17" s="319"/>
      <c r="RGM17" s="319"/>
      <c r="RGN17" s="319"/>
      <c r="RGO17" s="319"/>
      <c r="RGP17" s="319"/>
      <c r="RGQ17" s="319"/>
      <c r="RGR17" s="319"/>
      <c r="RGS17" s="319"/>
      <c r="RGT17" s="319"/>
      <c r="RGU17" s="319"/>
      <c r="RGV17" s="319"/>
      <c r="RGW17" s="319"/>
      <c r="RGX17" s="319"/>
      <c r="RGY17" s="319"/>
      <c r="RGZ17" s="319"/>
      <c r="RHA17" s="319"/>
      <c r="RHB17" s="319"/>
      <c r="RHC17" s="319"/>
      <c r="RHD17" s="319"/>
      <c r="RHE17" s="319"/>
      <c r="RHF17" s="319"/>
      <c r="RHG17" s="319"/>
      <c r="RHH17" s="319"/>
      <c r="RHI17" s="319"/>
      <c r="RHJ17" s="319"/>
      <c r="RHK17" s="319"/>
      <c r="RHL17" s="319"/>
      <c r="RHM17" s="319"/>
      <c r="RHN17" s="319"/>
      <c r="RHO17" s="319"/>
      <c r="RHP17" s="319"/>
      <c r="RHQ17" s="319"/>
      <c r="RHR17" s="319"/>
      <c r="RHS17" s="319"/>
      <c r="RHT17" s="319"/>
      <c r="RHU17" s="319"/>
      <c r="RHV17" s="319"/>
      <c r="RHW17" s="319"/>
      <c r="RHX17" s="319"/>
      <c r="RHY17" s="319"/>
      <c r="RHZ17" s="319"/>
      <c r="RIA17" s="319"/>
      <c r="RIB17" s="319"/>
      <c r="RIC17" s="319"/>
      <c r="RID17" s="319"/>
      <c r="RIE17" s="319"/>
      <c r="RIF17" s="319"/>
      <c r="RIG17" s="319"/>
      <c r="RIH17" s="319"/>
      <c r="RII17" s="319"/>
      <c r="RIJ17" s="319"/>
      <c r="RIK17" s="319"/>
      <c r="RIL17" s="319"/>
      <c r="RIM17" s="319"/>
      <c r="RIN17" s="319"/>
      <c r="RIO17" s="319"/>
      <c r="RIP17" s="319"/>
      <c r="RIQ17" s="319"/>
      <c r="RIR17" s="319"/>
      <c r="RIS17" s="319"/>
      <c r="RIT17" s="319"/>
      <c r="RIU17" s="319"/>
      <c r="RIV17" s="319"/>
      <c r="RIW17" s="319"/>
      <c r="RIX17" s="319"/>
      <c r="RIY17" s="319"/>
      <c r="RIZ17" s="319"/>
      <c r="RJA17" s="319"/>
      <c r="RJB17" s="319"/>
      <c r="RJC17" s="319"/>
      <c r="RJD17" s="319"/>
      <c r="RJE17" s="319"/>
      <c r="RJF17" s="319"/>
      <c r="RJG17" s="319"/>
      <c r="RJH17" s="319"/>
      <c r="RJI17" s="319"/>
      <c r="RJJ17" s="319"/>
      <c r="RJK17" s="319"/>
      <c r="RJL17" s="319"/>
      <c r="RJM17" s="319"/>
      <c r="RJN17" s="319"/>
      <c r="RJO17" s="319"/>
      <c r="RJP17" s="319"/>
      <c r="RJQ17" s="319"/>
      <c r="RJR17" s="319"/>
      <c r="RJS17" s="319"/>
      <c r="RJT17" s="319"/>
      <c r="RJU17" s="319"/>
      <c r="RJV17" s="319"/>
      <c r="RJW17" s="319"/>
      <c r="RJX17" s="319"/>
      <c r="RJY17" s="319"/>
      <c r="RJZ17" s="319"/>
      <c r="RKA17" s="319"/>
      <c r="RKB17" s="319"/>
      <c r="RKC17" s="319"/>
      <c r="RKD17" s="319"/>
      <c r="RKE17" s="319"/>
      <c r="RKF17" s="319"/>
      <c r="RKG17" s="319"/>
      <c r="RKH17" s="319"/>
      <c r="RKI17" s="319"/>
      <c r="RKJ17" s="319"/>
      <c r="RKK17" s="319"/>
      <c r="RKL17" s="319"/>
      <c r="RKM17" s="319"/>
      <c r="RKN17" s="319"/>
      <c r="RKO17" s="319"/>
      <c r="RKP17" s="319"/>
      <c r="RKQ17" s="319"/>
      <c r="RKR17" s="319"/>
      <c r="RKS17" s="319"/>
      <c r="RKT17" s="319"/>
      <c r="RKU17" s="319"/>
      <c r="RKV17" s="319"/>
      <c r="RKW17" s="319"/>
      <c r="RKX17" s="319"/>
      <c r="RKY17" s="319"/>
      <c r="RKZ17" s="319"/>
      <c r="RLA17" s="319"/>
      <c r="RLB17" s="319"/>
      <c r="RLC17" s="319"/>
      <c r="RLD17" s="319"/>
      <c r="RLE17" s="319"/>
      <c r="RLF17" s="319"/>
      <c r="RLG17" s="319"/>
      <c r="RLH17" s="319"/>
      <c r="RLI17" s="319"/>
      <c r="RLJ17" s="319"/>
      <c r="RLK17" s="319"/>
      <c r="RLL17" s="319"/>
      <c r="RLM17" s="319"/>
      <c r="RLN17" s="319"/>
      <c r="RLO17" s="319"/>
      <c r="RLP17" s="319"/>
      <c r="RLQ17" s="319"/>
      <c r="RLR17" s="319"/>
      <c r="RLS17" s="319"/>
      <c r="RLT17" s="319"/>
      <c r="RLU17" s="319"/>
      <c r="RLV17" s="319"/>
      <c r="RLW17" s="319"/>
      <c r="RLX17" s="319"/>
      <c r="RLY17" s="319"/>
      <c r="RLZ17" s="319"/>
      <c r="RMA17" s="319"/>
      <c r="RMB17" s="319"/>
      <c r="RMC17" s="319"/>
      <c r="RMD17" s="319"/>
      <c r="RME17" s="319"/>
      <c r="RMF17" s="319"/>
      <c r="RMG17" s="319"/>
      <c r="RMH17" s="319"/>
      <c r="RMI17" s="319"/>
      <c r="RMJ17" s="319"/>
      <c r="RMK17" s="319"/>
      <c r="RML17" s="319"/>
      <c r="RMM17" s="319"/>
      <c r="RMN17" s="319"/>
      <c r="RMO17" s="319"/>
      <c r="RMP17" s="319"/>
      <c r="RMQ17" s="319"/>
      <c r="RMR17" s="319"/>
      <c r="RMS17" s="319"/>
      <c r="RMT17" s="319"/>
      <c r="RMU17" s="319"/>
      <c r="RMV17" s="319"/>
      <c r="RMW17" s="319"/>
      <c r="RMX17" s="319"/>
      <c r="RMY17" s="319"/>
      <c r="RMZ17" s="319"/>
      <c r="RNA17" s="319"/>
      <c r="RNB17" s="319"/>
      <c r="RNC17" s="319"/>
      <c r="RND17" s="319"/>
      <c r="RNE17" s="319"/>
      <c r="RNF17" s="319"/>
      <c r="RNG17" s="319"/>
      <c r="RNH17" s="319"/>
      <c r="RNI17" s="319"/>
      <c r="RNJ17" s="319"/>
      <c r="RNK17" s="319"/>
      <c r="RNL17" s="319"/>
      <c r="RNM17" s="319"/>
      <c r="RNN17" s="319"/>
      <c r="RNO17" s="319"/>
      <c r="RNP17" s="319"/>
      <c r="RNQ17" s="319"/>
      <c r="RNR17" s="319"/>
      <c r="RNS17" s="319"/>
      <c r="RNT17" s="319"/>
      <c r="RNU17" s="319"/>
      <c r="RNV17" s="319"/>
      <c r="RNW17" s="319"/>
      <c r="RNX17" s="319"/>
      <c r="RNY17" s="319"/>
      <c r="RNZ17" s="319"/>
      <c r="ROA17" s="319"/>
      <c r="ROB17" s="319"/>
      <c r="ROC17" s="319"/>
      <c r="ROD17" s="319"/>
      <c r="ROE17" s="319"/>
      <c r="ROF17" s="319"/>
      <c r="ROG17" s="319"/>
      <c r="ROH17" s="319"/>
      <c r="ROI17" s="319"/>
      <c r="ROJ17" s="319"/>
      <c r="ROK17" s="319"/>
      <c r="ROL17" s="319"/>
      <c r="ROM17" s="319"/>
      <c r="RON17" s="319"/>
      <c r="ROO17" s="319"/>
      <c r="ROP17" s="319"/>
      <c r="ROQ17" s="319"/>
      <c r="ROR17" s="319"/>
      <c r="ROS17" s="319"/>
      <c r="ROT17" s="319"/>
      <c r="ROU17" s="319"/>
      <c r="ROV17" s="319"/>
      <c r="ROW17" s="319"/>
      <c r="ROX17" s="319"/>
      <c r="ROY17" s="319"/>
      <c r="ROZ17" s="319"/>
      <c r="RPA17" s="319"/>
      <c r="RPB17" s="319"/>
      <c r="RPC17" s="319"/>
      <c r="RPD17" s="319"/>
      <c r="RPE17" s="319"/>
      <c r="RPF17" s="319"/>
      <c r="RPG17" s="319"/>
      <c r="RPH17" s="319"/>
      <c r="RPI17" s="319"/>
      <c r="RPJ17" s="319"/>
      <c r="RPK17" s="319"/>
      <c r="RPL17" s="319"/>
      <c r="RPM17" s="319"/>
      <c r="RPN17" s="319"/>
      <c r="RPO17" s="319"/>
      <c r="RPP17" s="319"/>
      <c r="RPQ17" s="319"/>
      <c r="RPR17" s="319"/>
      <c r="RPS17" s="319"/>
      <c r="RPT17" s="319"/>
      <c r="RPU17" s="319"/>
      <c r="RPV17" s="319"/>
      <c r="RPW17" s="319"/>
      <c r="RPX17" s="319"/>
      <c r="RPY17" s="319"/>
      <c r="RPZ17" s="319"/>
      <c r="RQA17" s="319"/>
      <c r="RQB17" s="319"/>
      <c r="RQC17" s="319"/>
      <c r="RQD17" s="319"/>
      <c r="RQE17" s="319"/>
      <c r="RQF17" s="319"/>
      <c r="RQG17" s="319"/>
      <c r="RQH17" s="319"/>
      <c r="RQI17" s="319"/>
      <c r="RQJ17" s="319"/>
      <c r="RQK17" s="319"/>
      <c r="RQL17" s="319"/>
      <c r="RQM17" s="319"/>
      <c r="RQN17" s="319"/>
      <c r="RQO17" s="319"/>
      <c r="RQP17" s="319"/>
      <c r="RQQ17" s="319"/>
      <c r="RQR17" s="319"/>
      <c r="RQS17" s="319"/>
      <c r="RQT17" s="319"/>
      <c r="RQU17" s="319"/>
      <c r="RQV17" s="319"/>
      <c r="RQW17" s="319"/>
      <c r="RQX17" s="319"/>
      <c r="RQY17" s="319"/>
      <c r="RQZ17" s="319"/>
      <c r="RRA17" s="319"/>
      <c r="RRB17" s="319"/>
      <c r="RRC17" s="319"/>
      <c r="RRD17" s="319"/>
      <c r="RRE17" s="319"/>
      <c r="RRF17" s="319"/>
      <c r="RRG17" s="319"/>
      <c r="RRH17" s="319"/>
      <c r="RRI17" s="319"/>
      <c r="RRJ17" s="319"/>
      <c r="RRK17" s="319"/>
      <c r="RRL17" s="319"/>
      <c r="RRM17" s="319"/>
      <c r="RRN17" s="319"/>
      <c r="RRO17" s="319"/>
      <c r="RRP17" s="319"/>
      <c r="RRQ17" s="319"/>
      <c r="RRR17" s="319"/>
      <c r="RRS17" s="319"/>
      <c r="RRT17" s="319"/>
      <c r="RRU17" s="319"/>
      <c r="RRV17" s="319"/>
      <c r="RRW17" s="319"/>
      <c r="RRX17" s="319"/>
      <c r="RRY17" s="319"/>
      <c r="RRZ17" s="319"/>
      <c r="RSA17" s="319"/>
      <c r="RSB17" s="319"/>
      <c r="RSC17" s="319"/>
      <c r="RSD17" s="319"/>
      <c r="RSE17" s="319"/>
      <c r="RSF17" s="319"/>
      <c r="RSG17" s="319"/>
      <c r="RSH17" s="319"/>
      <c r="RSI17" s="319"/>
      <c r="RSJ17" s="319"/>
      <c r="RSK17" s="319"/>
      <c r="RSL17" s="319"/>
      <c r="RSM17" s="319"/>
      <c r="RSN17" s="319"/>
      <c r="RSO17" s="319"/>
      <c r="RSP17" s="319"/>
      <c r="RSQ17" s="319"/>
      <c r="RSR17" s="319"/>
      <c r="RSS17" s="319"/>
      <c r="RST17" s="319"/>
      <c r="RSU17" s="319"/>
      <c r="RSV17" s="319"/>
      <c r="RSW17" s="319"/>
      <c r="RSX17" s="319"/>
      <c r="RSY17" s="319"/>
      <c r="RSZ17" s="319"/>
      <c r="RTA17" s="319"/>
      <c r="RTB17" s="319"/>
      <c r="RTC17" s="319"/>
      <c r="RTD17" s="319"/>
      <c r="RTE17" s="319"/>
      <c r="RTF17" s="319"/>
      <c r="RTG17" s="319"/>
      <c r="RTH17" s="319"/>
      <c r="RTI17" s="319"/>
      <c r="RTJ17" s="319"/>
      <c r="RTK17" s="319"/>
      <c r="RTL17" s="319"/>
      <c r="RTM17" s="319"/>
      <c r="RTN17" s="319"/>
      <c r="RTO17" s="319"/>
      <c r="RTP17" s="319"/>
      <c r="RTQ17" s="319"/>
      <c r="RTR17" s="319"/>
      <c r="RTS17" s="319"/>
      <c r="RTT17" s="319"/>
      <c r="RTU17" s="319"/>
      <c r="RTV17" s="319"/>
      <c r="RTW17" s="319"/>
      <c r="RTX17" s="319"/>
      <c r="RTY17" s="319"/>
      <c r="RTZ17" s="319"/>
      <c r="RUA17" s="319"/>
      <c r="RUB17" s="319"/>
      <c r="RUC17" s="319"/>
      <c r="RUD17" s="319"/>
      <c r="RUE17" s="319"/>
      <c r="RUF17" s="319"/>
      <c r="RUG17" s="319"/>
      <c r="RUH17" s="319"/>
      <c r="RUI17" s="319"/>
      <c r="RUJ17" s="319"/>
      <c r="RUK17" s="319"/>
      <c r="RUL17" s="319"/>
      <c r="RUM17" s="319"/>
      <c r="RUN17" s="319"/>
      <c r="RUO17" s="319"/>
      <c r="RUP17" s="319"/>
      <c r="RUQ17" s="319"/>
      <c r="RUR17" s="319"/>
      <c r="RUS17" s="319"/>
      <c r="RUT17" s="319"/>
      <c r="RUU17" s="319"/>
      <c r="RUV17" s="319"/>
      <c r="RUW17" s="319"/>
      <c r="RUX17" s="319"/>
      <c r="RUY17" s="319"/>
      <c r="RUZ17" s="319"/>
      <c r="RVA17" s="319"/>
      <c r="RVB17" s="319"/>
      <c r="RVC17" s="319"/>
      <c r="RVD17" s="319"/>
      <c r="RVE17" s="319"/>
      <c r="RVF17" s="319"/>
      <c r="RVG17" s="319"/>
      <c r="RVH17" s="319"/>
      <c r="RVI17" s="319"/>
      <c r="RVJ17" s="319"/>
      <c r="RVK17" s="319"/>
      <c r="RVL17" s="319"/>
      <c r="RVM17" s="319"/>
      <c r="RVN17" s="319"/>
      <c r="RVO17" s="319"/>
      <c r="RVP17" s="319"/>
      <c r="RVQ17" s="319"/>
      <c r="RVR17" s="319"/>
      <c r="RVS17" s="319"/>
      <c r="RVT17" s="319"/>
      <c r="RVU17" s="319"/>
      <c r="RVV17" s="319"/>
      <c r="RVW17" s="319"/>
      <c r="RVX17" s="319"/>
      <c r="RVY17" s="319"/>
      <c r="RVZ17" s="319"/>
      <c r="RWA17" s="319"/>
      <c r="RWB17" s="319"/>
      <c r="RWC17" s="319"/>
      <c r="RWD17" s="319"/>
      <c r="RWE17" s="319"/>
      <c r="RWF17" s="319"/>
      <c r="RWG17" s="319"/>
      <c r="RWH17" s="319"/>
      <c r="RWI17" s="319"/>
      <c r="RWJ17" s="319"/>
      <c r="RWK17" s="319"/>
      <c r="RWL17" s="319"/>
      <c r="RWM17" s="319"/>
      <c r="RWN17" s="319"/>
      <c r="RWO17" s="319"/>
      <c r="RWP17" s="319"/>
      <c r="RWQ17" s="319"/>
      <c r="RWR17" s="319"/>
      <c r="RWS17" s="319"/>
      <c r="RWT17" s="319"/>
      <c r="RWU17" s="319"/>
      <c r="RWV17" s="319"/>
      <c r="RWW17" s="319"/>
      <c r="RWX17" s="319"/>
      <c r="RWY17" s="319"/>
      <c r="RWZ17" s="319"/>
      <c r="RXA17" s="319"/>
      <c r="RXB17" s="319"/>
      <c r="RXC17" s="319"/>
      <c r="RXD17" s="319"/>
      <c r="RXE17" s="319"/>
      <c r="RXF17" s="319"/>
      <c r="RXG17" s="319"/>
      <c r="RXH17" s="319"/>
      <c r="RXI17" s="319"/>
      <c r="RXJ17" s="319"/>
      <c r="RXK17" s="319"/>
      <c r="RXL17" s="319"/>
      <c r="RXM17" s="319"/>
      <c r="RXN17" s="319"/>
      <c r="RXO17" s="319"/>
      <c r="RXP17" s="319"/>
      <c r="RXQ17" s="319"/>
      <c r="RXR17" s="319"/>
      <c r="RXS17" s="319"/>
      <c r="RXT17" s="319"/>
      <c r="RXU17" s="319"/>
      <c r="RXV17" s="319"/>
      <c r="RXW17" s="319"/>
      <c r="RXX17" s="319"/>
      <c r="RXY17" s="319"/>
      <c r="RXZ17" s="319"/>
      <c r="RYA17" s="319"/>
      <c r="RYB17" s="319"/>
      <c r="RYC17" s="319"/>
      <c r="RYD17" s="319"/>
      <c r="RYE17" s="319"/>
      <c r="RYF17" s="319"/>
      <c r="RYG17" s="319"/>
      <c r="RYH17" s="319"/>
      <c r="RYI17" s="319"/>
      <c r="RYJ17" s="319"/>
      <c r="RYK17" s="319"/>
      <c r="RYL17" s="319"/>
      <c r="RYM17" s="319"/>
      <c r="RYN17" s="319"/>
      <c r="RYO17" s="319"/>
      <c r="RYP17" s="319"/>
      <c r="RYQ17" s="319"/>
      <c r="RYR17" s="319"/>
      <c r="RYS17" s="319"/>
      <c r="RYT17" s="319"/>
      <c r="RYU17" s="319"/>
      <c r="RYV17" s="319"/>
      <c r="RYW17" s="319"/>
      <c r="RYX17" s="319"/>
      <c r="RYY17" s="319"/>
      <c r="RYZ17" s="319"/>
      <c r="RZA17" s="319"/>
      <c r="RZB17" s="319"/>
      <c r="RZC17" s="319"/>
      <c r="RZD17" s="319"/>
      <c r="RZE17" s="319"/>
      <c r="RZF17" s="319"/>
      <c r="RZG17" s="319"/>
      <c r="RZH17" s="319"/>
      <c r="RZI17" s="319"/>
      <c r="RZJ17" s="319"/>
      <c r="RZK17" s="319"/>
      <c r="RZL17" s="319"/>
      <c r="RZM17" s="319"/>
      <c r="RZN17" s="319"/>
      <c r="RZO17" s="319"/>
      <c r="RZP17" s="319"/>
      <c r="RZQ17" s="319"/>
      <c r="RZR17" s="319"/>
      <c r="RZS17" s="319"/>
      <c r="RZT17" s="319"/>
      <c r="RZU17" s="319"/>
      <c r="RZV17" s="319"/>
      <c r="RZW17" s="319"/>
      <c r="RZX17" s="319"/>
      <c r="RZY17" s="319"/>
      <c r="RZZ17" s="319"/>
      <c r="SAA17" s="319"/>
      <c r="SAB17" s="319"/>
      <c r="SAC17" s="319"/>
      <c r="SAD17" s="319"/>
      <c r="SAE17" s="319"/>
      <c r="SAF17" s="319"/>
      <c r="SAG17" s="319"/>
      <c r="SAH17" s="319"/>
      <c r="SAI17" s="319"/>
      <c r="SAJ17" s="319"/>
      <c r="SAK17" s="319"/>
      <c r="SAL17" s="319"/>
      <c r="SAM17" s="319"/>
      <c r="SAN17" s="319"/>
      <c r="SAO17" s="319"/>
      <c r="SAP17" s="319"/>
      <c r="SAQ17" s="319"/>
      <c r="SAR17" s="319"/>
      <c r="SAS17" s="319"/>
      <c r="SAT17" s="319"/>
      <c r="SAU17" s="319"/>
      <c r="SAV17" s="319"/>
      <c r="SAW17" s="319"/>
      <c r="SAX17" s="319"/>
      <c r="SAY17" s="319"/>
      <c r="SAZ17" s="319"/>
      <c r="SBA17" s="319"/>
      <c r="SBB17" s="319"/>
      <c r="SBC17" s="319"/>
      <c r="SBD17" s="319"/>
      <c r="SBE17" s="319"/>
      <c r="SBF17" s="319"/>
      <c r="SBG17" s="319"/>
      <c r="SBH17" s="319"/>
      <c r="SBI17" s="319"/>
      <c r="SBJ17" s="319"/>
      <c r="SBK17" s="319"/>
      <c r="SBL17" s="319"/>
      <c r="SBM17" s="319"/>
      <c r="SBN17" s="319"/>
      <c r="SBO17" s="319"/>
      <c r="SBP17" s="319"/>
      <c r="SBQ17" s="319"/>
      <c r="SBR17" s="319"/>
      <c r="SBS17" s="319"/>
      <c r="SBT17" s="319"/>
      <c r="SBU17" s="319"/>
      <c r="SBV17" s="319"/>
      <c r="SBW17" s="319"/>
      <c r="SBX17" s="319"/>
      <c r="SBY17" s="319"/>
      <c r="SBZ17" s="319"/>
      <c r="SCA17" s="319"/>
      <c r="SCB17" s="319"/>
      <c r="SCC17" s="319"/>
      <c r="SCD17" s="319"/>
      <c r="SCE17" s="319"/>
      <c r="SCF17" s="319"/>
      <c r="SCG17" s="319"/>
      <c r="SCH17" s="319"/>
      <c r="SCI17" s="319"/>
      <c r="SCJ17" s="319"/>
      <c r="SCK17" s="319"/>
      <c r="SCL17" s="319"/>
      <c r="SCM17" s="319"/>
      <c r="SCN17" s="319"/>
      <c r="SCO17" s="319"/>
      <c r="SCP17" s="319"/>
      <c r="SCQ17" s="319"/>
      <c r="SCR17" s="319"/>
      <c r="SCS17" s="319"/>
      <c r="SCT17" s="319"/>
      <c r="SCU17" s="319"/>
      <c r="SCV17" s="319"/>
      <c r="SCW17" s="319"/>
      <c r="SCX17" s="319"/>
      <c r="SCY17" s="319"/>
      <c r="SCZ17" s="319"/>
      <c r="SDA17" s="319"/>
      <c r="SDB17" s="319"/>
      <c r="SDC17" s="319"/>
      <c r="SDD17" s="319"/>
      <c r="SDE17" s="319"/>
      <c r="SDF17" s="319"/>
      <c r="SDG17" s="319"/>
      <c r="SDH17" s="319"/>
      <c r="SDI17" s="319"/>
      <c r="SDJ17" s="319"/>
      <c r="SDK17" s="319"/>
      <c r="SDL17" s="319"/>
      <c r="SDM17" s="319"/>
      <c r="SDN17" s="319"/>
      <c r="SDO17" s="319"/>
      <c r="SDP17" s="319"/>
      <c r="SDQ17" s="319"/>
      <c r="SDR17" s="319"/>
      <c r="SDS17" s="319"/>
      <c r="SDT17" s="319"/>
      <c r="SDU17" s="319"/>
      <c r="SDV17" s="319"/>
      <c r="SDW17" s="319"/>
      <c r="SDX17" s="319"/>
      <c r="SDY17" s="319"/>
      <c r="SDZ17" s="319"/>
      <c r="SEA17" s="319"/>
      <c r="SEB17" s="319"/>
      <c r="SEC17" s="319"/>
      <c r="SED17" s="319"/>
      <c r="SEE17" s="319"/>
      <c r="SEF17" s="319"/>
      <c r="SEG17" s="319"/>
      <c r="SEH17" s="319"/>
      <c r="SEI17" s="319"/>
      <c r="SEJ17" s="319"/>
      <c r="SEK17" s="319"/>
      <c r="SEL17" s="319"/>
      <c r="SEM17" s="319"/>
      <c r="SEN17" s="319"/>
      <c r="SEO17" s="319"/>
      <c r="SEP17" s="319"/>
      <c r="SEQ17" s="319"/>
      <c r="SER17" s="319"/>
      <c r="SES17" s="319"/>
      <c r="SET17" s="319"/>
      <c r="SEU17" s="319"/>
      <c r="SEV17" s="319"/>
      <c r="SEW17" s="319"/>
      <c r="SEX17" s="319"/>
      <c r="SEY17" s="319"/>
      <c r="SEZ17" s="319"/>
      <c r="SFA17" s="319"/>
      <c r="SFB17" s="319"/>
      <c r="SFC17" s="319"/>
      <c r="SFD17" s="319"/>
      <c r="SFE17" s="319"/>
      <c r="SFF17" s="319"/>
      <c r="SFG17" s="319"/>
      <c r="SFH17" s="319"/>
      <c r="SFI17" s="319"/>
      <c r="SFJ17" s="319"/>
      <c r="SFK17" s="319"/>
      <c r="SFL17" s="319"/>
      <c r="SFM17" s="319"/>
      <c r="SFN17" s="319"/>
      <c r="SFO17" s="319"/>
      <c r="SFP17" s="319"/>
      <c r="SFQ17" s="319"/>
      <c r="SFR17" s="319"/>
      <c r="SFS17" s="319"/>
      <c r="SFT17" s="319"/>
      <c r="SFU17" s="319"/>
      <c r="SFV17" s="319"/>
      <c r="SFW17" s="319"/>
      <c r="SFX17" s="319"/>
      <c r="SFY17" s="319"/>
      <c r="SFZ17" s="319"/>
      <c r="SGA17" s="319"/>
      <c r="SGB17" s="319"/>
      <c r="SGC17" s="319"/>
      <c r="SGD17" s="319"/>
      <c r="SGE17" s="319"/>
      <c r="SGF17" s="319"/>
      <c r="SGG17" s="319"/>
      <c r="SGH17" s="319"/>
      <c r="SGI17" s="319"/>
      <c r="SGJ17" s="319"/>
      <c r="SGK17" s="319"/>
      <c r="SGL17" s="319"/>
      <c r="SGM17" s="319"/>
      <c r="SGN17" s="319"/>
      <c r="SGO17" s="319"/>
      <c r="SGP17" s="319"/>
      <c r="SGQ17" s="319"/>
      <c r="SGR17" s="319"/>
      <c r="SGS17" s="319"/>
      <c r="SGT17" s="319"/>
      <c r="SGU17" s="319"/>
      <c r="SGV17" s="319"/>
      <c r="SGW17" s="319"/>
      <c r="SGX17" s="319"/>
      <c r="SGY17" s="319"/>
      <c r="SGZ17" s="319"/>
      <c r="SHA17" s="319"/>
      <c r="SHB17" s="319"/>
      <c r="SHC17" s="319"/>
      <c r="SHD17" s="319"/>
      <c r="SHE17" s="319"/>
      <c r="SHF17" s="319"/>
      <c r="SHG17" s="319"/>
      <c r="SHH17" s="319"/>
      <c r="SHI17" s="319"/>
      <c r="SHJ17" s="319"/>
      <c r="SHK17" s="319"/>
      <c r="SHL17" s="319"/>
      <c r="SHM17" s="319"/>
      <c r="SHN17" s="319"/>
      <c r="SHO17" s="319"/>
      <c r="SHP17" s="319"/>
      <c r="SHQ17" s="319"/>
      <c r="SHR17" s="319"/>
      <c r="SHS17" s="319"/>
      <c r="SHT17" s="319"/>
      <c r="SHU17" s="319"/>
      <c r="SHV17" s="319"/>
      <c r="SHW17" s="319"/>
      <c r="SHX17" s="319"/>
      <c r="SHY17" s="319"/>
      <c r="SHZ17" s="319"/>
      <c r="SIA17" s="319"/>
      <c r="SIB17" s="319"/>
      <c r="SIC17" s="319"/>
      <c r="SID17" s="319"/>
      <c r="SIE17" s="319"/>
      <c r="SIF17" s="319"/>
      <c r="SIG17" s="319"/>
      <c r="SIH17" s="319"/>
      <c r="SII17" s="319"/>
      <c r="SIJ17" s="319"/>
      <c r="SIK17" s="319"/>
      <c r="SIL17" s="319"/>
      <c r="SIM17" s="319"/>
      <c r="SIN17" s="319"/>
      <c r="SIO17" s="319"/>
      <c r="SIP17" s="319"/>
      <c r="SIQ17" s="319"/>
      <c r="SIR17" s="319"/>
      <c r="SIS17" s="319"/>
      <c r="SIT17" s="319"/>
      <c r="SIU17" s="319"/>
      <c r="SIV17" s="319"/>
      <c r="SIW17" s="319"/>
      <c r="SIX17" s="319"/>
      <c r="SIY17" s="319"/>
      <c r="SIZ17" s="319"/>
      <c r="SJA17" s="319"/>
      <c r="SJB17" s="319"/>
      <c r="SJC17" s="319"/>
      <c r="SJD17" s="319"/>
      <c r="SJE17" s="319"/>
      <c r="SJF17" s="319"/>
      <c r="SJG17" s="319"/>
      <c r="SJH17" s="319"/>
      <c r="SJI17" s="319"/>
      <c r="SJJ17" s="319"/>
      <c r="SJK17" s="319"/>
      <c r="SJL17" s="319"/>
      <c r="SJM17" s="319"/>
      <c r="SJN17" s="319"/>
      <c r="SJO17" s="319"/>
      <c r="SJP17" s="319"/>
      <c r="SJQ17" s="319"/>
      <c r="SJR17" s="319"/>
      <c r="SJS17" s="319"/>
      <c r="SJT17" s="319"/>
      <c r="SJU17" s="319"/>
      <c r="SJV17" s="319"/>
      <c r="SJW17" s="319"/>
      <c r="SJX17" s="319"/>
      <c r="SJY17" s="319"/>
      <c r="SJZ17" s="319"/>
      <c r="SKA17" s="319"/>
      <c r="SKB17" s="319"/>
      <c r="SKC17" s="319"/>
      <c r="SKD17" s="319"/>
      <c r="SKE17" s="319"/>
      <c r="SKF17" s="319"/>
      <c r="SKG17" s="319"/>
      <c r="SKH17" s="319"/>
      <c r="SKI17" s="319"/>
      <c r="SKJ17" s="319"/>
      <c r="SKK17" s="319"/>
      <c r="SKL17" s="319"/>
      <c r="SKM17" s="319"/>
      <c r="SKN17" s="319"/>
      <c r="SKO17" s="319"/>
      <c r="SKP17" s="319"/>
      <c r="SKQ17" s="319"/>
      <c r="SKR17" s="319"/>
      <c r="SKS17" s="319"/>
      <c r="SKT17" s="319"/>
      <c r="SKU17" s="319"/>
      <c r="SKV17" s="319"/>
      <c r="SKW17" s="319"/>
      <c r="SKX17" s="319"/>
      <c r="SKY17" s="319"/>
      <c r="SKZ17" s="319"/>
      <c r="SLA17" s="319"/>
      <c r="SLB17" s="319"/>
      <c r="SLC17" s="319"/>
      <c r="SLD17" s="319"/>
      <c r="SLE17" s="319"/>
      <c r="SLF17" s="319"/>
      <c r="SLG17" s="319"/>
      <c r="SLH17" s="319"/>
      <c r="SLI17" s="319"/>
      <c r="SLJ17" s="319"/>
      <c r="SLK17" s="319"/>
      <c r="SLL17" s="319"/>
      <c r="SLM17" s="319"/>
      <c r="SLN17" s="319"/>
      <c r="SLO17" s="319"/>
      <c r="SLP17" s="319"/>
      <c r="SLQ17" s="319"/>
      <c r="SLR17" s="319"/>
      <c r="SLS17" s="319"/>
      <c r="SLT17" s="319"/>
      <c r="SLU17" s="319"/>
      <c r="SLV17" s="319"/>
      <c r="SLW17" s="319"/>
      <c r="SLX17" s="319"/>
      <c r="SLY17" s="319"/>
      <c r="SLZ17" s="319"/>
      <c r="SMA17" s="319"/>
      <c r="SMB17" s="319"/>
      <c r="SMC17" s="319"/>
      <c r="SMD17" s="319"/>
      <c r="SME17" s="319"/>
      <c r="SMF17" s="319"/>
      <c r="SMG17" s="319"/>
      <c r="SMH17" s="319"/>
      <c r="SMI17" s="319"/>
      <c r="SMJ17" s="319"/>
      <c r="SMK17" s="319"/>
      <c r="SML17" s="319"/>
      <c r="SMM17" s="319"/>
      <c r="SMN17" s="319"/>
      <c r="SMO17" s="319"/>
      <c r="SMP17" s="319"/>
      <c r="SMQ17" s="319"/>
      <c r="SMR17" s="319"/>
      <c r="SMS17" s="319"/>
      <c r="SMT17" s="319"/>
      <c r="SMU17" s="319"/>
      <c r="SMV17" s="319"/>
      <c r="SMW17" s="319"/>
      <c r="SMX17" s="319"/>
      <c r="SMY17" s="319"/>
      <c r="SMZ17" s="319"/>
      <c r="SNA17" s="319"/>
      <c r="SNB17" s="319"/>
      <c r="SNC17" s="319"/>
      <c r="SND17" s="319"/>
      <c r="SNE17" s="319"/>
      <c r="SNF17" s="319"/>
      <c r="SNG17" s="319"/>
      <c r="SNH17" s="319"/>
      <c r="SNI17" s="319"/>
      <c r="SNJ17" s="319"/>
      <c r="SNK17" s="319"/>
      <c r="SNL17" s="319"/>
      <c r="SNM17" s="319"/>
      <c r="SNN17" s="319"/>
      <c r="SNO17" s="319"/>
      <c r="SNP17" s="319"/>
      <c r="SNQ17" s="319"/>
      <c r="SNR17" s="319"/>
      <c r="SNS17" s="319"/>
      <c r="SNT17" s="319"/>
      <c r="SNU17" s="319"/>
      <c r="SNV17" s="319"/>
      <c r="SNW17" s="319"/>
      <c r="SNX17" s="319"/>
      <c r="SNY17" s="319"/>
      <c r="SNZ17" s="319"/>
      <c r="SOA17" s="319"/>
      <c r="SOB17" s="319"/>
      <c r="SOC17" s="319"/>
      <c r="SOD17" s="319"/>
      <c r="SOE17" s="319"/>
      <c r="SOF17" s="319"/>
      <c r="SOG17" s="319"/>
      <c r="SOH17" s="319"/>
      <c r="SOI17" s="319"/>
      <c r="SOJ17" s="319"/>
      <c r="SOK17" s="319"/>
      <c r="SOL17" s="319"/>
      <c r="SOM17" s="319"/>
      <c r="SON17" s="319"/>
      <c r="SOO17" s="319"/>
      <c r="SOP17" s="319"/>
      <c r="SOQ17" s="319"/>
      <c r="SOR17" s="319"/>
      <c r="SOS17" s="319"/>
      <c r="SOT17" s="319"/>
      <c r="SOU17" s="319"/>
      <c r="SOV17" s="319"/>
      <c r="SOW17" s="319"/>
      <c r="SOX17" s="319"/>
      <c r="SOY17" s="319"/>
      <c r="SOZ17" s="319"/>
      <c r="SPA17" s="319"/>
      <c r="SPB17" s="319"/>
      <c r="SPC17" s="319"/>
      <c r="SPD17" s="319"/>
      <c r="SPE17" s="319"/>
      <c r="SPF17" s="319"/>
      <c r="SPG17" s="319"/>
      <c r="SPH17" s="319"/>
      <c r="SPI17" s="319"/>
      <c r="SPJ17" s="319"/>
      <c r="SPK17" s="319"/>
      <c r="SPL17" s="319"/>
      <c r="SPM17" s="319"/>
      <c r="SPN17" s="319"/>
      <c r="SPO17" s="319"/>
      <c r="SPP17" s="319"/>
      <c r="SPQ17" s="319"/>
      <c r="SPR17" s="319"/>
      <c r="SPS17" s="319"/>
      <c r="SPT17" s="319"/>
      <c r="SPU17" s="319"/>
      <c r="SPV17" s="319"/>
      <c r="SPW17" s="319"/>
      <c r="SPX17" s="319"/>
      <c r="SPY17" s="319"/>
      <c r="SPZ17" s="319"/>
      <c r="SQA17" s="319"/>
      <c r="SQB17" s="319"/>
      <c r="SQC17" s="319"/>
      <c r="SQD17" s="319"/>
      <c r="SQE17" s="319"/>
      <c r="SQF17" s="319"/>
      <c r="SQG17" s="319"/>
      <c r="SQH17" s="319"/>
      <c r="SQI17" s="319"/>
      <c r="SQJ17" s="319"/>
      <c r="SQK17" s="319"/>
      <c r="SQL17" s="319"/>
      <c r="SQM17" s="319"/>
      <c r="SQN17" s="319"/>
      <c r="SQO17" s="319"/>
      <c r="SQP17" s="319"/>
      <c r="SQQ17" s="319"/>
      <c r="SQR17" s="319"/>
      <c r="SQS17" s="319"/>
      <c r="SQT17" s="319"/>
      <c r="SQU17" s="319"/>
      <c r="SQV17" s="319"/>
      <c r="SQW17" s="319"/>
      <c r="SQX17" s="319"/>
      <c r="SQY17" s="319"/>
      <c r="SQZ17" s="319"/>
      <c r="SRA17" s="319"/>
      <c r="SRB17" s="319"/>
      <c r="SRC17" s="319"/>
      <c r="SRD17" s="319"/>
      <c r="SRE17" s="319"/>
      <c r="SRF17" s="319"/>
      <c r="SRG17" s="319"/>
      <c r="SRH17" s="319"/>
      <c r="SRI17" s="319"/>
      <c r="SRJ17" s="319"/>
      <c r="SRK17" s="319"/>
      <c r="SRL17" s="319"/>
      <c r="SRM17" s="319"/>
      <c r="SRN17" s="319"/>
      <c r="SRO17" s="319"/>
      <c r="SRP17" s="319"/>
      <c r="SRQ17" s="319"/>
      <c r="SRR17" s="319"/>
      <c r="SRS17" s="319"/>
      <c r="SRT17" s="319"/>
      <c r="SRU17" s="319"/>
      <c r="SRV17" s="319"/>
      <c r="SRW17" s="319"/>
      <c r="SRX17" s="319"/>
      <c r="SRY17" s="319"/>
      <c r="SRZ17" s="319"/>
      <c r="SSA17" s="319"/>
      <c r="SSB17" s="319"/>
      <c r="SSC17" s="319"/>
      <c r="SSD17" s="319"/>
      <c r="SSE17" s="319"/>
      <c r="SSF17" s="319"/>
      <c r="SSG17" s="319"/>
      <c r="SSH17" s="319"/>
      <c r="SSI17" s="319"/>
      <c r="SSJ17" s="319"/>
      <c r="SSK17" s="319"/>
      <c r="SSL17" s="319"/>
      <c r="SSM17" s="319"/>
      <c r="SSN17" s="319"/>
      <c r="SSO17" s="319"/>
      <c r="SSP17" s="319"/>
      <c r="SSQ17" s="319"/>
      <c r="SSR17" s="319"/>
      <c r="SSS17" s="319"/>
      <c r="SST17" s="319"/>
      <c r="SSU17" s="319"/>
      <c r="SSV17" s="319"/>
      <c r="SSW17" s="319"/>
      <c r="SSX17" s="319"/>
      <c r="SSY17" s="319"/>
      <c r="SSZ17" s="319"/>
      <c r="STA17" s="319"/>
      <c r="STB17" s="319"/>
      <c r="STC17" s="319"/>
      <c r="STD17" s="319"/>
      <c r="STE17" s="319"/>
      <c r="STF17" s="319"/>
      <c r="STG17" s="319"/>
      <c r="STH17" s="319"/>
      <c r="STI17" s="319"/>
      <c r="STJ17" s="319"/>
      <c r="STK17" s="319"/>
      <c r="STL17" s="319"/>
      <c r="STM17" s="319"/>
      <c r="STN17" s="319"/>
      <c r="STO17" s="319"/>
      <c r="STP17" s="319"/>
      <c r="STQ17" s="319"/>
      <c r="STR17" s="319"/>
      <c r="STS17" s="319"/>
      <c r="STT17" s="319"/>
      <c r="STU17" s="319"/>
      <c r="STV17" s="319"/>
      <c r="STW17" s="319"/>
      <c r="STX17" s="319"/>
      <c r="STY17" s="319"/>
      <c r="STZ17" s="319"/>
      <c r="SUA17" s="319"/>
      <c r="SUB17" s="319"/>
      <c r="SUC17" s="319"/>
      <c r="SUD17" s="319"/>
      <c r="SUE17" s="319"/>
      <c r="SUF17" s="319"/>
      <c r="SUG17" s="319"/>
      <c r="SUH17" s="319"/>
      <c r="SUI17" s="319"/>
      <c r="SUJ17" s="319"/>
      <c r="SUK17" s="319"/>
      <c r="SUL17" s="319"/>
      <c r="SUM17" s="319"/>
      <c r="SUN17" s="319"/>
      <c r="SUO17" s="319"/>
      <c r="SUP17" s="319"/>
      <c r="SUQ17" s="319"/>
      <c r="SUR17" s="319"/>
      <c r="SUS17" s="319"/>
      <c r="SUT17" s="319"/>
      <c r="SUU17" s="319"/>
      <c r="SUV17" s="319"/>
      <c r="SUW17" s="319"/>
      <c r="SUX17" s="319"/>
      <c r="SUY17" s="319"/>
      <c r="SUZ17" s="319"/>
      <c r="SVA17" s="319"/>
      <c r="SVB17" s="319"/>
      <c r="SVC17" s="319"/>
      <c r="SVD17" s="319"/>
      <c r="SVE17" s="319"/>
      <c r="SVF17" s="319"/>
      <c r="SVG17" s="319"/>
      <c r="SVH17" s="319"/>
      <c r="SVI17" s="319"/>
      <c r="SVJ17" s="319"/>
      <c r="SVK17" s="319"/>
      <c r="SVL17" s="319"/>
      <c r="SVM17" s="319"/>
      <c r="SVN17" s="319"/>
      <c r="SVO17" s="319"/>
      <c r="SVP17" s="319"/>
      <c r="SVQ17" s="319"/>
      <c r="SVR17" s="319"/>
      <c r="SVS17" s="319"/>
      <c r="SVT17" s="319"/>
      <c r="SVU17" s="319"/>
      <c r="SVV17" s="319"/>
      <c r="SVW17" s="319"/>
      <c r="SVX17" s="319"/>
      <c r="SVY17" s="319"/>
      <c r="SVZ17" s="319"/>
      <c r="SWA17" s="319"/>
      <c r="SWB17" s="319"/>
      <c r="SWC17" s="319"/>
      <c r="SWD17" s="319"/>
      <c r="SWE17" s="319"/>
      <c r="SWF17" s="319"/>
      <c r="SWG17" s="319"/>
      <c r="SWH17" s="319"/>
      <c r="SWI17" s="319"/>
      <c r="SWJ17" s="319"/>
      <c r="SWK17" s="319"/>
      <c r="SWL17" s="319"/>
      <c r="SWM17" s="319"/>
      <c r="SWN17" s="319"/>
      <c r="SWO17" s="319"/>
      <c r="SWP17" s="319"/>
      <c r="SWQ17" s="319"/>
      <c r="SWR17" s="319"/>
      <c r="SWS17" s="319"/>
      <c r="SWT17" s="319"/>
      <c r="SWU17" s="319"/>
      <c r="SWV17" s="319"/>
      <c r="SWW17" s="319"/>
      <c r="SWX17" s="319"/>
      <c r="SWY17" s="319"/>
      <c r="SWZ17" s="319"/>
      <c r="SXA17" s="319"/>
      <c r="SXB17" s="319"/>
      <c r="SXC17" s="319"/>
      <c r="SXD17" s="319"/>
      <c r="SXE17" s="319"/>
      <c r="SXF17" s="319"/>
      <c r="SXG17" s="319"/>
      <c r="SXH17" s="319"/>
      <c r="SXI17" s="319"/>
      <c r="SXJ17" s="319"/>
      <c r="SXK17" s="319"/>
      <c r="SXL17" s="319"/>
      <c r="SXM17" s="319"/>
      <c r="SXN17" s="319"/>
      <c r="SXO17" s="319"/>
      <c r="SXP17" s="319"/>
      <c r="SXQ17" s="319"/>
      <c r="SXR17" s="319"/>
      <c r="SXS17" s="319"/>
      <c r="SXT17" s="319"/>
      <c r="SXU17" s="319"/>
      <c r="SXV17" s="319"/>
      <c r="SXW17" s="319"/>
      <c r="SXX17" s="319"/>
      <c r="SXY17" s="319"/>
      <c r="SXZ17" s="319"/>
      <c r="SYA17" s="319"/>
      <c r="SYB17" s="319"/>
      <c r="SYC17" s="319"/>
      <c r="SYD17" s="319"/>
      <c r="SYE17" s="319"/>
      <c r="SYF17" s="319"/>
      <c r="SYG17" s="319"/>
      <c r="SYH17" s="319"/>
      <c r="SYI17" s="319"/>
      <c r="SYJ17" s="319"/>
      <c r="SYK17" s="319"/>
      <c r="SYL17" s="319"/>
      <c r="SYM17" s="319"/>
      <c r="SYN17" s="319"/>
      <c r="SYO17" s="319"/>
      <c r="SYP17" s="319"/>
      <c r="SYQ17" s="319"/>
      <c r="SYR17" s="319"/>
      <c r="SYS17" s="319"/>
      <c r="SYT17" s="319"/>
      <c r="SYU17" s="319"/>
      <c r="SYV17" s="319"/>
      <c r="SYW17" s="319"/>
      <c r="SYX17" s="319"/>
      <c r="SYY17" s="319"/>
      <c r="SYZ17" s="319"/>
      <c r="SZA17" s="319"/>
      <c r="SZB17" s="319"/>
      <c r="SZC17" s="319"/>
      <c r="SZD17" s="319"/>
      <c r="SZE17" s="319"/>
      <c r="SZF17" s="319"/>
      <c r="SZG17" s="319"/>
      <c r="SZH17" s="319"/>
      <c r="SZI17" s="319"/>
      <c r="SZJ17" s="319"/>
      <c r="SZK17" s="319"/>
      <c r="SZL17" s="319"/>
      <c r="SZM17" s="319"/>
      <c r="SZN17" s="319"/>
      <c r="SZO17" s="319"/>
      <c r="SZP17" s="319"/>
      <c r="SZQ17" s="319"/>
      <c r="SZR17" s="319"/>
      <c r="SZS17" s="319"/>
      <c r="SZT17" s="319"/>
      <c r="SZU17" s="319"/>
      <c r="SZV17" s="319"/>
      <c r="SZW17" s="319"/>
      <c r="SZX17" s="319"/>
      <c r="SZY17" s="319"/>
      <c r="SZZ17" s="319"/>
      <c r="TAA17" s="319"/>
      <c r="TAB17" s="319"/>
      <c r="TAC17" s="319"/>
      <c r="TAD17" s="319"/>
      <c r="TAE17" s="319"/>
      <c r="TAF17" s="319"/>
      <c r="TAG17" s="319"/>
      <c r="TAH17" s="319"/>
      <c r="TAI17" s="319"/>
      <c r="TAJ17" s="319"/>
      <c r="TAK17" s="319"/>
      <c r="TAL17" s="319"/>
      <c r="TAM17" s="319"/>
      <c r="TAN17" s="319"/>
      <c r="TAO17" s="319"/>
      <c r="TAP17" s="319"/>
      <c r="TAQ17" s="319"/>
      <c r="TAR17" s="319"/>
      <c r="TAS17" s="319"/>
      <c r="TAT17" s="319"/>
      <c r="TAU17" s="319"/>
      <c r="TAV17" s="319"/>
      <c r="TAW17" s="319"/>
      <c r="TAX17" s="319"/>
      <c r="TAY17" s="319"/>
      <c r="TAZ17" s="319"/>
      <c r="TBA17" s="319"/>
      <c r="TBB17" s="319"/>
      <c r="TBC17" s="319"/>
      <c r="TBD17" s="319"/>
      <c r="TBE17" s="319"/>
      <c r="TBF17" s="319"/>
      <c r="TBG17" s="319"/>
      <c r="TBH17" s="319"/>
      <c r="TBI17" s="319"/>
      <c r="TBJ17" s="319"/>
      <c r="TBK17" s="319"/>
      <c r="TBL17" s="319"/>
      <c r="TBM17" s="319"/>
      <c r="TBN17" s="319"/>
      <c r="TBO17" s="319"/>
      <c r="TBP17" s="319"/>
      <c r="TBQ17" s="319"/>
      <c r="TBR17" s="319"/>
      <c r="TBS17" s="319"/>
      <c r="TBT17" s="319"/>
      <c r="TBU17" s="319"/>
      <c r="TBV17" s="319"/>
      <c r="TBW17" s="319"/>
      <c r="TBX17" s="319"/>
      <c r="TBY17" s="319"/>
      <c r="TBZ17" s="319"/>
      <c r="TCA17" s="319"/>
      <c r="TCB17" s="319"/>
      <c r="TCC17" s="319"/>
      <c r="TCD17" s="319"/>
      <c r="TCE17" s="319"/>
      <c r="TCF17" s="319"/>
      <c r="TCG17" s="319"/>
      <c r="TCH17" s="319"/>
      <c r="TCI17" s="319"/>
      <c r="TCJ17" s="319"/>
      <c r="TCK17" s="319"/>
      <c r="TCL17" s="319"/>
      <c r="TCM17" s="319"/>
      <c r="TCN17" s="319"/>
      <c r="TCO17" s="319"/>
      <c r="TCP17" s="319"/>
      <c r="TCQ17" s="319"/>
      <c r="TCR17" s="319"/>
      <c r="TCS17" s="319"/>
      <c r="TCT17" s="319"/>
      <c r="TCU17" s="319"/>
      <c r="TCV17" s="319"/>
      <c r="TCW17" s="319"/>
      <c r="TCX17" s="319"/>
      <c r="TCY17" s="319"/>
      <c r="TCZ17" s="319"/>
      <c r="TDA17" s="319"/>
      <c r="TDB17" s="319"/>
      <c r="TDC17" s="319"/>
      <c r="TDD17" s="319"/>
      <c r="TDE17" s="319"/>
      <c r="TDF17" s="319"/>
      <c r="TDG17" s="319"/>
      <c r="TDH17" s="319"/>
      <c r="TDI17" s="319"/>
      <c r="TDJ17" s="319"/>
      <c r="TDK17" s="319"/>
      <c r="TDL17" s="319"/>
      <c r="TDM17" s="319"/>
      <c r="TDN17" s="319"/>
      <c r="TDO17" s="319"/>
      <c r="TDP17" s="319"/>
      <c r="TDQ17" s="319"/>
      <c r="TDR17" s="319"/>
      <c r="TDS17" s="319"/>
      <c r="TDT17" s="319"/>
      <c r="TDU17" s="319"/>
      <c r="TDV17" s="319"/>
      <c r="TDW17" s="319"/>
      <c r="TDX17" s="319"/>
      <c r="TDY17" s="319"/>
      <c r="TDZ17" s="319"/>
      <c r="TEA17" s="319"/>
      <c r="TEB17" s="319"/>
      <c r="TEC17" s="319"/>
      <c r="TED17" s="319"/>
      <c r="TEE17" s="319"/>
      <c r="TEF17" s="319"/>
      <c r="TEG17" s="319"/>
      <c r="TEH17" s="319"/>
      <c r="TEI17" s="319"/>
      <c r="TEJ17" s="319"/>
      <c r="TEK17" s="319"/>
      <c r="TEL17" s="319"/>
      <c r="TEM17" s="319"/>
      <c r="TEN17" s="319"/>
      <c r="TEO17" s="319"/>
      <c r="TEP17" s="319"/>
      <c r="TEQ17" s="319"/>
      <c r="TER17" s="319"/>
      <c r="TES17" s="319"/>
      <c r="TET17" s="319"/>
      <c r="TEU17" s="319"/>
      <c r="TEV17" s="319"/>
      <c r="TEW17" s="319"/>
      <c r="TEX17" s="319"/>
      <c r="TEY17" s="319"/>
      <c r="TEZ17" s="319"/>
      <c r="TFA17" s="319"/>
      <c r="TFB17" s="319"/>
      <c r="TFC17" s="319"/>
      <c r="TFD17" s="319"/>
      <c r="TFE17" s="319"/>
      <c r="TFF17" s="319"/>
      <c r="TFG17" s="319"/>
      <c r="TFH17" s="319"/>
      <c r="TFI17" s="319"/>
      <c r="TFJ17" s="319"/>
      <c r="TFK17" s="319"/>
      <c r="TFL17" s="319"/>
      <c r="TFM17" s="319"/>
      <c r="TFN17" s="319"/>
      <c r="TFO17" s="319"/>
      <c r="TFP17" s="319"/>
      <c r="TFQ17" s="319"/>
      <c r="TFR17" s="319"/>
      <c r="TFS17" s="319"/>
      <c r="TFT17" s="319"/>
      <c r="TFU17" s="319"/>
      <c r="TFV17" s="319"/>
      <c r="TFW17" s="319"/>
      <c r="TFX17" s="319"/>
      <c r="TFY17" s="319"/>
      <c r="TFZ17" s="319"/>
      <c r="TGA17" s="319"/>
      <c r="TGB17" s="319"/>
      <c r="TGC17" s="319"/>
      <c r="TGD17" s="319"/>
      <c r="TGE17" s="319"/>
      <c r="TGF17" s="319"/>
      <c r="TGG17" s="319"/>
      <c r="TGH17" s="319"/>
      <c r="TGI17" s="319"/>
      <c r="TGJ17" s="319"/>
      <c r="TGK17" s="319"/>
      <c r="TGL17" s="319"/>
      <c r="TGM17" s="319"/>
      <c r="TGN17" s="319"/>
      <c r="TGO17" s="319"/>
      <c r="TGP17" s="319"/>
      <c r="TGQ17" s="319"/>
      <c r="TGR17" s="319"/>
      <c r="TGS17" s="319"/>
      <c r="TGT17" s="319"/>
      <c r="TGU17" s="319"/>
      <c r="TGV17" s="319"/>
      <c r="TGW17" s="319"/>
      <c r="TGX17" s="319"/>
      <c r="TGY17" s="319"/>
      <c r="TGZ17" s="319"/>
      <c r="THA17" s="319"/>
      <c r="THB17" s="319"/>
      <c r="THC17" s="319"/>
      <c r="THD17" s="319"/>
      <c r="THE17" s="319"/>
      <c r="THF17" s="319"/>
      <c r="THG17" s="319"/>
      <c r="THH17" s="319"/>
      <c r="THI17" s="319"/>
      <c r="THJ17" s="319"/>
      <c r="THK17" s="319"/>
      <c r="THL17" s="319"/>
      <c r="THM17" s="319"/>
      <c r="THN17" s="319"/>
      <c r="THO17" s="319"/>
      <c r="THP17" s="319"/>
      <c r="THQ17" s="319"/>
      <c r="THR17" s="319"/>
      <c r="THS17" s="319"/>
      <c r="THT17" s="319"/>
      <c r="THU17" s="319"/>
      <c r="THV17" s="319"/>
      <c r="THW17" s="319"/>
      <c r="THX17" s="319"/>
      <c r="THY17" s="319"/>
      <c r="THZ17" s="319"/>
      <c r="TIA17" s="319"/>
      <c r="TIB17" s="319"/>
      <c r="TIC17" s="319"/>
      <c r="TID17" s="319"/>
      <c r="TIE17" s="319"/>
      <c r="TIF17" s="319"/>
      <c r="TIG17" s="319"/>
      <c r="TIH17" s="319"/>
      <c r="TII17" s="319"/>
      <c r="TIJ17" s="319"/>
      <c r="TIK17" s="319"/>
      <c r="TIL17" s="319"/>
      <c r="TIM17" s="319"/>
      <c r="TIN17" s="319"/>
      <c r="TIO17" s="319"/>
      <c r="TIP17" s="319"/>
      <c r="TIQ17" s="319"/>
      <c r="TIR17" s="319"/>
      <c r="TIS17" s="319"/>
      <c r="TIT17" s="319"/>
      <c r="TIU17" s="319"/>
      <c r="TIV17" s="319"/>
      <c r="TIW17" s="319"/>
      <c r="TIX17" s="319"/>
      <c r="TIY17" s="319"/>
      <c r="TIZ17" s="319"/>
      <c r="TJA17" s="319"/>
      <c r="TJB17" s="319"/>
      <c r="TJC17" s="319"/>
      <c r="TJD17" s="319"/>
      <c r="TJE17" s="319"/>
      <c r="TJF17" s="319"/>
      <c r="TJG17" s="319"/>
      <c r="TJH17" s="319"/>
      <c r="TJI17" s="319"/>
      <c r="TJJ17" s="319"/>
      <c r="TJK17" s="319"/>
      <c r="TJL17" s="319"/>
      <c r="TJM17" s="319"/>
      <c r="TJN17" s="319"/>
      <c r="TJO17" s="319"/>
      <c r="TJP17" s="319"/>
      <c r="TJQ17" s="319"/>
      <c r="TJR17" s="319"/>
      <c r="TJS17" s="319"/>
      <c r="TJT17" s="319"/>
      <c r="TJU17" s="319"/>
      <c r="TJV17" s="319"/>
      <c r="TJW17" s="319"/>
      <c r="TJX17" s="319"/>
      <c r="TJY17" s="319"/>
      <c r="TJZ17" s="319"/>
      <c r="TKA17" s="319"/>
      <c r="TKB17" s="319"/>
      <c r="TKC17" s="319"/>
      <c r="TKD17" s="319"/>
      <c r="TKE17" s="319"/>
      <c r="TKF17" s="319"/>
      <c r="TKG17" s="319"/>
      <c r="TKH17" s="319"/>
      <c r="TKI17" s="319"/>
      <c r="TKJ17" s="319"/>
      <c r="TKK17" s="319"/>
      <c r="TKL17" s="319"/>
      <c r="TKM17" s="319"/>
      <c r="TKN17" s="319"/>
      <c r="TKO17" s="319"/>
      <c r="TKP17" s="319"/>
      <c r="TKQ17" s="319"/>
      <c r="TKR17" s="319"/>
      <c r="TKS17" s="319"/>
      <c r="TKT17" s="319"/>
      <c r="TKU17" s="319"/>
      <c r="TKV17" s="319"/>
      <c r="TKW17" s="319"/>
      <c r="TKX17" s="319"/>
      <c r="TKY17" s="319"/>
      <c r="TKZ17" s="319"/>
      <c r="TLA17" s="319"/>
      <c r="TLB17" s="319"/>
      <c r="TLC17" s="319"/>
      <c r="TLD17" s="319"/>
      <c r="TLE17" s="319"/>
      <c r="TLF17" s="319"/>
      <c r="TLG17" s="319"/>
      <c r="TLH17" s="319"/>
      <c r="TLI17" s="319"/>
      <c r="TLJ17" s="319"/>
      <c r="TLK17" s="319"/>
      <c r="TLL17" s="319"/>
      <c r="TLM17" s="319"/>
      <c r="TLN17" s="319"/>
      <c r="TLO17" s="319"/>
      <c r="TLP17" s="319"/>
      <c r="TLQ17" s="319"/>
      <c r="TLR17" s="319"/>
      <c r="TLS17" s="319"/>
      <c r="TLT17" s="319"/>
      <c r="TLU17" s="319"/>
      <c r="TLV17" s="319"/>
      <c r="TLW17" s="319"/>
      <c r="TLX17" s="319"/>
      <c r="TLY17" s="319"/>
      <c r="TLZ17" s="319"/>
      <c r="TMA17" s="319"/>
      <c r="TMB17" s="319"/>
      <c r="TMC17" s="319"/>
      <c r="TMD17" s="319"/>
      <c r="TME17" s="319"/>
      <c r="TMF17" s="319"/>
      <c r="TMG17" s="319"/>
      <c r="TMH17" s="319"/>
      <c r="TMI17" s="319"/>
      <c r="TMJ17" s="319"/>
      <c r="TMK17" s="319"/>
      <c r="TML17" s="319"/>
      <c r="TMM17" s="319"/>
      <c r="TMN17" s="319"/>
      <c r="TMO17" s="319"/>
      <c r="TMP17" s="319"/>
      <c r="TMQ17" s="319"/>
      <c r="TMR17" s="319"/>
      <c r="TMS17" s="319"/>
      <c r="TMT17" s="319"/>
      <c r="TMU17" s="319"/>
      <c r="TMV17" s="319"/>
      <c r="TMW17" s="319"/>
      <c r="TMX17" s="319"/>
      <c r="TMY17" s="319"/>
      <c r="TMZ17" s="319"/>
      <c r="TNA17" s="319"/>
      <c r="TNB17" s="319"/>
      <c r="TNC17" s="319"/>
      <c r="TND17" s="319"/>
      <c r="TNE17" s="319"/>
      <c r="TNF17" s="319"/>
      <c r="TNG17" s="319"/>
      <c r="TNH17" s="319"/>
      <c r="TNI17" s="319"/>
      <c r="TNJ17" s="319"/>
      <c r="TNK17" s="319"/>
      <c r="TNL17" s="319"/>
      <c r="TNM17" s="319"/>
      <c r="TNN17" s="319"/>
      <c r="TNO17" s="319"/>
      <c r="TNP17" s="319"/>
      <c r="TNQ17" s="319"/>
      <c r="TNR17" s="319"/>
      <c r="TNS17" s="319"/>
      <c r="TNT17" s="319"/>
      <c r="TNU17" s="319"/>
      <c r="TNV17" s="319"/>
      <c r="TNW17" s="319"/>
      <c r="TNX17" s="319"/>
      <c r="TNY17" s="319"/>
      <c r="TNZ17" s="319"/>
      <c r="TOA17" s="319"/>
      <c r="TOB17" s="319"/>
      <c r="TOC17" s="319"/>
      <c r="TOD17" s="319"/>
      <c r="TOE17" s="319"/>
      <c r="TOF17" s="319"/>
      <c r="TOG17" s="319"/>
      <c r="TOH17" s="319"/>
      <c r="TOI17" s="319"/>
      <c r="TOJ17" s="319"/>
      <c r="TOK17" s="319"/>
      <c r="TOL17" s="319"/>
      <c r="TOM17" s="319"/>
      <c r="TON17" s="319"/>
      <c r="TOO17" s="319"/>
      <c r="TOP17" s="319"/>
      <c r="TOQ17" s="319"/>
      <c r="TOR17" s="319"/>
      <c r="TOS17" s="319"/>
      <c r="TOT17" s="319"/>
      <c r="TOU17" s="319"/>
      <c r="TOV17" s="319"/>
      <c r="TOW17" s="319"/>
      <c r="TOX17" s="319"/>
      <c r="TOY17" s="319"/>
      <c r="TOZ17" s="319"/>
      <c r="TPA17" s="319"/>
      <c r="TPB17" s="319"/>
      <c r="TPC17" s="319"/>
      <c r="TPD17" s="319"/>
      <c r="TPE17" s="319"/>
      <c r="TPF17" s="319"/>
      <c r="TPG17" s="319"/>
      <c r="TPH17" s="319"/>
      <c r="TPI17" s="319"/>
      <c r="TPJ17" s="319"/>
      <c r="TPK17" s="319"/>
      <c r="TPL17" s="319"/>
      <c r="TPM17" s="319"/>
      <c r="TPN17" s="319"/>
      <c r="TPO17" s="319"/>
      <c r="TPP17" s="319"/>
      <c r="TPQ17" s="319"/>
      <c r="TPR17" s="319"/>
      <c r="TPS17" s="319"/>
      <c r="TPT17" s="319"/>
      <c r="TPU17" s="319"/>
      <c r="TPV17" s="319"/>
      <c r="TPW17" s="319"/>
      <c r="TPX17" s="319"/>
      <c r="TPY17" s="319"/>
      <c r="TPZ17" s="319"/>
      <c r="TQA17" s="319"/>
      <c r="TQB17" s="319"/>
      <c r="TQC17" s="319"/>
      <c r="TQD17" s="319"/>
      <c r="TQE17" s="319"/>
      <c r="TQF17" s="319"/>
      <c r="TQG17" s="319"/>
      <c r="TQH17" s="319"/>
      <c r="TQI17" s="319"/>
      <c r="TQJ17" s="319"/>
      <c r="TQK17" s="319"/>
      <c r="TQL17" s="319"/>
      <c r="TQM17" s="319"/>
      <c r="TQN17" s="319"/>
      <c r="TQO17" s="319"/>
      <c r="TQP17" s="319"/>
      <c r="TQQ17" s="319"/>
      <c r="TQR17" s="319"/>
      <c r="TQS17" s="319"/>
      <c r="TQT17" s="319"/>
      <c r="TQU17" s="319"/>
      <c r="TQV17" s="319"/>
      <c r="TQW17" s="319"/>
      <c r="TQX17" s="319"/>
      <c r="TQY17" s="319"/>
      <c r="TQZ17" s="319"/>
      <c r="TRA17" s="319"/>
      <c r="TRB17" s="319"/>
      <c r="TRC17" s="319"/>
      <c r="TRD17" s="319"/>
      <c r="TRE17" s="319"/>
      <c r="TRF17" s="319"/>
      <c r="TRG17" s="319"/>
      <c r="TRH17" s="319"/>
      <c r="TRI17" s="319"/>
      <c r="TRJ17" s="319"/>
      <c r="TRK17" s="319"/>
      <c r="TRL17" s="319"/>
      <c r="TRM17" s="319"/>
      <c r="TRN17" s="319"/>
      <c r="TRO17" s="319"/>
      <c r="TRP17" s="319"/>
      <c r="TRQ17" s="319"/>
      <c r="TRR17" s="319"/>
      <c r="TRS17" s="319"/>
      <c r="TRT17" s="319"/>
      <c r="TRU17" s="319"/>
      <c r="TRV17" s="319"/>
      <c r="TRW17" s="319"/>
      <c r="TRX17" s="319"/>
      <c r="TRY17" s="319"/>
      <c r="TRZ17" s="319"/>
      <c r="TSA17" s="319"/>
      <c r="TSB17" s="319"/>
      <c r="TSC17" s="319"/>
      <c r="TSD17" s="319"/>
      <c r="TSE17" s="319"/>
      <c r="TSF17" s="319"/>
      <c r="TSG17" s="319"/>
      <c r="TSH17" s="319"/>
      <c r="TSI17" s="319"/>
      <c r="TSJ17" s="319"/>
      <c r="TSK17" s="319"/>
      <c r="TSL17" s="319"/>
      <c r="TSM17" s="319"/>
      <c r="TSN17" s="319"/>
      <c r="TSO17" s="319"/>
      <c r="TSP17" s="319"/>
      <c r="TSQ17" s="319"/>
      <c r="TSR17" s="319"/>
      <c r="TSS17" s="319"/>
      <c r="TST17" s="319"/>
      <c r="TSU17" s="319"/>
      <c r="TSV17" s="319"/>
      <c r="TSW17" s="319"/>
      <c r="TSX17" s="319"/>
      <c r="TSY17" s="319"/>
      <c r="TSZ17" s="319"/>
      <c r="TTA17" s="319"/>
      <c r="TTB17" s="319"/>
      <c r="TTC17" s="319"/>
      <c r="TTD17" s="319"/>
      <c r="TTE17" s="319"/>
      <c r="TTF17" s="319"/>
      <c r="TTG17" s="319"/>
      <c r="TTH17" s="319"/>
      <c r="TTI17" s="319"/>
      <c r="TTJ17" s="319"/>
      <c r="TTK17" s="319"/>
      <c r="TTL17" s="319"/>
      <c r="TTM17" s="319"/>
      <c r="TTN17" s="319"/>
      <c r="TTO17" s="319"/>
      <c r="TTP17" s="319"/>
      <c r="TTQ17" s="319"/>
      <c r="TTR17" s="319"/>
      <c r="TTS17" s="319"/>
      <c r="TTT17" s="319"/>
      <c r="TTU17" s="319"/>
      <c r="TTV17" s="319"/>
      <c r="TTW17" s="319"/>
      <c r="TTX17" s="319"/>
      <c r="TTY17" s="319"/>
      <c r="TTZ17" s="319"/>
      <c r="TUA17" s="319"/>
      <c r="TUB17" s="319"/>
      <c r="TUC17" s="319"/>
      <c r="TUD17" s="319"/>
      <c r="TUE17" s="319"/>
      <c r="TUF17" s="319"/>
      <c r="TUG17" s="319"/>
      <c r="TUH17" s="319"/>
      <c r="TUI17" s="319"/>
      <c r="TUJ17" s="319"/>
      <c r="TUK17" s="319"/>
      <c r="TUL17" s="319"/>
      <c r="TUM17" s="319"/>
      <c r="TUN17" s="319"/>
      <c r="TUO17" s="319"/>
      <c r="TUP17" s="319"/>
      <c r="TUQ17" s="319"/>
      <c r="TUR17" s="319"/>
      <c r="TUS17" s="319"/>
      <c r="TUT17" s="319"/>
      <c r="TUU17" s="319"/>
      <c r="TUV17" s="319"/>
      <c r="TUW17" s="319"/>
      <c r="TUX17" s="319"/>
      <c r="TUY17" s="319"/>
      <c r="TUZ17" s="319"/>
      <c r="TVA17" s="319"/>
      <c r="TVB17" s="319"/>
      <c r="TVC17" s="319"/>
      <c r="TVD17" s="319"/>
      <c r="TVE17" s="319"/>
      <c r="TVF17" s="319"/>
      <c r="TVG17" s="319"/>
      <c r="TVH17" s="319"/>
      <c r="TVI17" s="319"/>
      <c r="TVJ17" s="319"/>
      <c r="TVK17" s="319"/>
      <c r="TVL17" s="319"/>
      <c r="TVM17" s="319"/>
      <c r="TVN17" s="319"/>
      <c r="TVO17" s="319"/>
      <c r="TVP17" s="319"/>
      <c r="TVQ17" s="319"/>
      <c r="TVR17" s="319"/>
      <c r="TVS17" s="319"/>
      <c r="TVT17" s="319"/>
      <c r="TVU17" s="319"/>
      <c r="TVV17" s="319"/>
      <c r="TVW17" s="319"/>
      <c r="TVX17" s="319"/>
      <c r="TVY17" s="319"/>
      <c r="TVZ17" s="319"/>
      <c r="TWA17" s="319"/>
      <c r="TWB17" s="319"/>
      <c r="TWC17" s="319"/>
      <c r="TWD17" s="319"/>
      <c r="TWE17" s="319"/>
      <c r="TWF17" s="319"/>
      <c r="TWG17" s="319"/>
      <c r="TWH17" s="319"/>
      <c r="TWI17" s="319"/>
      <c r="TWJ17" s="319"/>
      <c r="TWK17" s="319"/>
      <c r="TWL17" s="319"/>
      <c r="TWM17" s="319"/>
      <c r="TWN17" s="319"/>
      <c r="TWO17" s="319"/>
      <c r="TWP17" s="319"/>
      <c r="TWQ17" s="319"/>
      <c r="TWR17" s="319"/>
      <c r="TWS17" s="319"/>
      <c r="TWT17" s="319"/>
      <c r="TWU17" s="319"/>
      <c r="TWV17" s="319"/>
      <c r="TWW17" s="319"/>
      <c r="TWX17" s="319"/>
      <c r="TWY17" s="319"/>
      <c r="TWZ17" s="319"/>
      <c r="TXA17" s="319"/>
      <c r="TXB17" s="319"/>
      <c r="TXC17" s="319"/>
      <c r="TXD17" s="319"/>
      <c r="TXE17" s="319"/>
      <c r="TXF17" s="319"/>
      <c r="TXG17" s="319"/>
      <c r="TXH17" s="319"/>
      <c r="TXI17" s="319"/>
      <c r="TXJ17" s="319"/>
      <c r="TXK17" s="319"/>
      <c r="TXL17" s="319"/>
      <c r="TXM17" s="319"/>
      <c r="TXN17" s="319"/>
      <c r="TXO17" s="319"/>
      <c r="TXP17" s="319"/>
      <c r="TXQ17" s="319"/>
      <c r="TXR17" s="319"/>
      <c r="TXS17" s="319"/>
      <c r="TXT17" s="319"/>
      <c r="TXU17" s="319"/>
      <c r="TXV17" s="319"/>
      <c r="TXW17" s="319"/>
      <c r="TXX17" s="319"/>
      <c r="TXY17" s="319"/>
      <c r="TXZ17" s="319"/>
      <c r="TYA17" s="319"/>
      <c r="TYB17" s="319"/>
      <c r="TYC17" s="319"/>
      <c r="TYD17" s="319"/>
      <c r="TYE17" s="319"/>
      <c r="TYF17" s="319"/>
      <c r="TYG17" s="319"/>
      <c r="TYH17" s="319"/>
      <c r="TYI17" s="319"/>
      <c r="TYJ17" s="319"/>
      <c r="TYK17" s="319"/>
      <c r="TYL17" s="319"/>
      <c r="TYM17" s="319"/>
      <c r="TYN17" s="319"/>
      <c r="TYO17" s="319"/>
      <c r="TYP17" s="319"/>
      <c r="TYQ17" s="319"/>
      <c r="TYR17" s="319"/>
      <c r="TYS17" s="319"/>
      <c r="TYT17" s="319"/>
      <c r="TYU17" s="319"/>
      <c r="TYV17" s="319"/>
      <c r="TYW17" s="319"/>
      <c r="TYX17" s="319"/>
      <c r="TYY17" s="319"/>
      <c r="TYZ17" s="319"/>
      <c r="TZA17" s="319"/>
      <c r="TZB17" s="319"/>
      <c r="TZC17" s="319"/>
      <c r="TZD17" s="319"/>
      <c r="TZE17" s="319"/>
      <c r="TZF17" s="319"/>
      <c r="TZG17" s="319"/>
      <c r="TZH17" s="319"/>
      <c r="TZI17" s="319"/>
      <c r="TZJ17" s="319"/>
      <c r="TZK17" s="319"/>
      <c r="TZL17" s="319"/>
      <c r="TZM17" s="319"/>
      <c r="TZN17" s="319"/>
      <c r="TZO17" s="319"/>
      <c r="TZP17" s="319"/>
      <c r="TZQ17" s="319"/>
      <c r="TZR17" s="319"/>
      <c r="TZS17" s="319"/>
      <c r="TZT17" s="319"/>
      <c r="TZU17" s="319"/>
      <c r="TZV17" s="319"/>
      <c r="TZW17" s="319"/>
      <c r="TZX17" s="319"/>
      <c r="TZY17" s="319"/>
      <c r="TZZ17" s="319"/>
      <c r="UAA17" s="319"/>
      <c r="UAB17" s="319"/>
      <c r="UAC17" s="319"/>
      <c r="UAD17" s="319"/>
      <c r="UAE17" s="319"/>
      <c r="UAF17" s="319"/>
      <c r="UAG17" s="319"/>
      <c r="UAH17" s="319"/>
      <c r="UAI17" s="319"/>
      <c r="UAJ17" s="319"/>
      <c r="UAK17" s="319"/>
      <c r="UAL17" s="319"/>
      <c r="UAM17" s="319"/>
      <c r="UAN17" s="319"/>
      <c r="UAO17" s="319"/>
      <c r="UAP17" s="319"/>
      <c r="UAQ17" s="319"/>
      <c r="UAR17" s="319"/>
      <c r="UAS17" s="319"/>
      <c r="UAT17" s="319"/>
      <c r="UAU17" s="319"/>
      <c r="UAV17" s="319"/>
      <c r="UAW17" s="319"/>
      <c r="UAX17" s="319"/>
      <c r="UAY17" s="319"/>
      <c r="UAZ17" s="319"/>
      <c r="UBA17" s="319"/>
      <c r="UBB17" s="319"/>
      <c r="UBC17" s="319"/>
      <c r="UBD17" s="319"/>
      <c r="UBE17" s="319"/>
      <c r="UBF17" s="319"/>
      <c r="UBG17" s="319"/>
      <c r="UBH17" s="319"/>
      <c r="UBI17" s="319"/>
      <c r="UBJ17" s="319"/>
      <c r="UBK17" s="319"/>
      <c r="UBL17" s="319"/>
      <c r="UBM17" s="319"/>
      <c r="UBN17" s="319"/>
      <c r="UBO17" s="319"/>
      <c r="UBP17" s="319"/>
      <c r="UBQ17" s="319"/>
      <c r="UBR17" s="319"/>
      <c r="UBS17" s="319"/>
      <c r="UBT17" s="319"/>
      <c r="UBU17" s="319"/>
      <c r="UBV17" s="319"/>
      <c r="UBW17" s="319"/>
      <c r="UBX17" s="319"/>
      <c r="UBY17" s="319"/>
      <c r="UBZ17" s="319"/>
      <c r="UCA17" s="319"/>
      <c r="UCB17" s="319"/>
      <c r="UCC17" s="319"/>
      <c r="UCD17" s="319"/>
      <c r="UCE17" s="319"/>
      <c r="UCF17" s="319"/>
      <c r="UCG17" s="319"/>
      <c r="UCH17" s="319"/>
      <c r="UCI17" s="319"/>
      <c r="UCJ17" s="319"/>
      <c r="UCK17" s="319"/>
      <c r="UCL17" s="319"/>
      <c r="UCM17" s="319"/>
      <c r="UCN17" s="319"/>
      <c r="UCO17" s="319"/>
      <c r="UCP17" s="319"/>
      <c r="UCQ17" s="319"/>
      <c r="UCR17" s="319"/>
      <c r="UCS17" s="319"/>
      <c r="UCT17" s="319"/>
      <c r="UCU17" s="319"/>
      <c r="UCV17" s="319"/>
      <c r="UCW17" s="319"/>
      <c r="UCX17" s="319"/>
      <c r="UCY17" s="319"/>
      <c r="UCZ17" s="319"/>
      <c r="UDA17" s="319"/>
      <c r="UDB17" s="319"/>
      <c r="UDC17" s="319"/>
      <c r="UDD17" s="319"/>
      <c r="UDE17" s="319"/>
      <c r="UDF17" s="319"/>
      <c r="UDG17" s="319"/>
      <c r="UDH17" s="319"/>
      <c r="UDI17" s="319"/>
      <c r="UDJ17" s="319"/>
      <c r="UDK17" s="319"/>
      <c r="UDL17" s="319"/>
      <c r="UDM17" s="319"/>
      <c r="UDN17" s="319"/>
      <c r="UDO17" s="319"/>
      <c r="UDP17" s="319"/>
      <c r="UDQ17" s="319"/>
      <c r="UDR17" s="319"/>
      <c r="UDS17" s="319"/>
      <c r="UDT17" s="319"/>
      <c r="UDU17" s="319"/>
      <c r="UDV17" s="319"/>
      <c r="UDW17" s="319"/>
      <c r="UDX17" s="319"/>
      <c r="UDY17" s="319"/>
      <c r="UDZ17" s="319"/>
      <c r="UEA17" s="319"/>
      <c r="UEB17" s="319"/>
      <c r="UEC17" s="319"/>
      <c r="UED17" s="319"/>
      <c r="UEE17" s="319"/>
      <c r="UEF17" s="319"/>
      <c r="UEG17" s="319"/>
      <c r="UEH17" s="319"/>
      <c r="UEI17" s="319"/>
      <c r="UEJ17" s="319"/>
      <c r="UEK17" s="319"/>
      <c r="UEL17" s="319"/>
      <c r="UEM17" s="319"/>
      <c r="UEN17" s="319"/>
      <c r="UEO17" s="319"/>
      <c r="UEP17" s="319"/>
      <c r="UEQ17" s="319"/>
      <c r="UER17" s="319"/>
      <c r="UES17" s="319"/>
      <c r="UET17" s="319"/>
      <c r="UEU17" s="319"/>
      <c r="UEV17" s="319"/>
      <c r="UEW17" s="319"/>
      <c r="UEX17" s="319"/>
      <c r="UEY17" s="319"/>
      <c r="UEZ17" s="319"/>
      <c r="UFA17" s="319"/>
      <c r="UFB17" s="319"/>
      <c r="UFC17" s="319"/>
      <c r="UFD17" s="319"/>
      <c r="UFE17" s="319"/>
      <c r="UFF17" s="319"/>
      <c r="UFG17" s="319"/>
      <c r="UFH17" s="319"/>
      <c r="UFI17" s="319"/>
      <c r="UFJ17" s="319"/>
      <c r="UFK17" s="319"/>
      <c r="UFL17" s="319"/>
      <c r="UFM17" s="319"/>
      <c r="UFN17" s="319"/>
      <c r="UFO17" s="319"/>
      <c r="UFP17" s="319"/>
      <c r="UFQ17" s="319"/>
      <c r="UFR17" s="319"/>
      <c r="UFS17" s="319"/>
      <c r="UFT17" s="319"/>
      <c r="UFU17" s="319"/>
      <c r="UFV17" s="319"/>
      <c r="UFW17" s="319"/>
      <c r="UFX17" s="319"/>
      <c r="UFY17" s="319"/>
      <c r="UFZ17" s="319"/>
      <c r="UGA17" s="319"/>
      <c r="UGB17" s="319"/>
      <c r="UGC17" s="319"/>
      <c r="UGD17" s="319"/>
      <c r="UGE17" s="319"/>
      <c r="UGF17" s="319"/>
      <c r="UGG17" s="319"/>
      <c r="UGH17" s="319"/>
      <c r="UGI17" s="319"/>
      <c r="UGJ17" s="319"/>
      <c r="UGK17" s="319"/>
      <c r="UGL17" s="319"/>
      <c r="UGM17" s="319"/>
      <c r="UGN17" s="319"/>
      <c r="UGO17" s="319"/>
      <c r="UGP17" s="319"/>
      <c r="UGQ17" s="319"/>
      <c r="UGR17" s="319"/>
      <c r="UGS17" s="319"/>
      <c r="UGT17" s="319"/>
      <c r="UGU17" s="319"/>
      <c r="UGV17" s="319"/>
      <c r="UGW17" s="319"/>
      <c r="UGX17" s="319"/>
      <c r="UGY17" s="319"/>
      <c r="UGZ17" s="319"/>
      <c r="UHA17" s="319"/>
      <c r="UHB17" s="319"/>
      <c r="UHC17" s="319"/>
      <c r="UHD17" s="319"/>
      <c r="UHE17" s="319"/>
      <c r="UHF17" s="319"/>
      <c r="UHG17" s="319"/>
      <c r="UHH17" s="319"/>
      <c r="UHI17" s="319"/>
      <c r="UHJ17" s="319"/>
      <c r="UHK17" s="319"/>
      <c r="UHL17" s="319"/>
      <c r="UHM17" s="319"/>
      <c r="UHN17" s="319"/>
      <c r="UHO17" s="319"/>
      <c r="UHP17" s="319"/>
      <c r="UHQ17" s="319"/>
      <c r="UHR17" s="319"/>
      <c r="UHS17" s="319"/>
      <c r="UHT17" s="319"/>
      <c r="UHU17" s="319"/>
      <c r="UHV17" s="319"/>
      <c r="UHW17" s="319"/>
      <c r="UHX17" s="319"/>
      <c r="UHY17" s="319"/>
      <c r="UHZ17" s="319"/>
      <c r="UIA17" s="319"/>
      <c r="UIB17" s="319"/>
      <c r="UIC17" s="319"/>
      <c r="UID17" s="319"/>
      <c r="UIE17" s="319"/>
      <c r="UIF17" s="319"/>
      <c r="UIG17" s="319"/>
      <c r="UIH17" s="319"/>
      <c r="UII17" s="319"/>
      <c r="UIJ17" s="319"/>
      <c r="UIK17" s="319"/>
      <c r="UIL17" s="319"/>
      <c r="UIM17" s="319"/>
      <c r="UIN17" s="319"/>
      <c r="UIO17" s="319"/>
      <c r="UIP17" s="319"/>
      <c r="UIQ17" s="319"/>
      <c r="UIR17" s="319"/>
      <c r="UIS17" s="319"/>
      <c r="UIT17" s="319"/>
      <c r="UIU17" s="319"/>
      <c r="UIV17" s="319"/>
      <c r="UIW17" s="319"/>
      <c r="UIX17" s="319"/>
      <c r="UIY17" s="319"/>
      <c r="UIZ17" s="319"/>
      <c r="UJA17" s="319"/>
      <c r="UJB17" s="319"/>
      <c r="UJC17" s="319"/>
      <c r="UJD17" s="319"/>
      <c r="UJE17" s="319"/>
      <c r="UJF17" s="319"/>
      <c r="UJG17" s="319"/>
      <c r="UJH17" s="319"/>
      <c r="UJI17" s="319"/>
      <c r="UJJ17" s="319"/>
      <c r="UJK17" s="319"/>
      <c r="UJL17" s="319"/>
      <c r="UJM17" s="319"/>
      <c r="UJN17" s="319"/>
      <c r="UJO17" s="319"/>
      <c r="UJP17" s="319"/>
      <c r="UJQ17" s="319"/>
      <c r="UJR17" s="319"/>
      <c r="UJS17" s="319"/>
      <c r="UJT17" s="319"/>
      <c r="UJU17" s="319"/>
      <c r="UJV17" s="319"/>
      <c r="UJW17" s="319"/>
      <c r="UJX17" s="319"/>
      <c r="UJY17" s="319"/>
      <c r="UJZ17" s="319"/>
      <c r="UKA17" s="319"/>
      <c r="UKB17" s="319"/>
      <c r="UKC17" s="319"/>
      <c r="UKD17" s="319"/>
      <c r="UKE17" s="319"/>
      <c r="UKF17" s="319"/>
      <c r="UKG17" s="319"/>
      <c r="UKH17" s="319"/>
      <c r="UKI17" s="319"/>
      <c r="UKJ17" s="319"/>
      <c r="UKK17" s="319"/>
      <c r="UKL17" s="319"/>
      <c r="UKM17" s="319"/>
      <c r="UKN17" s="319"/>
      <c r="UKO17" s="319"/>
      <c r="UKP17" s="319"/>
      <c r="UKQ17" s="319"/>
      <c r="UKR17" s="319"/>
      <c r="UKS17" s="319"/>
      <c r="UKT17" s="319"/>
      <c r="UKU17" s="319"/>
      <c r="UKV17" s="319"/>
      <c r="UKW17" s="319"/>
      <c r="UKX17" s="319"/>
      <c r="UKY17" s="319"/>
      <c r="UKZ17" s="319"/>
      <c r="ULA17" s="319"/>
      <c r="ULB17" s="319"/>
      <c r="ULC17" s="319"/>
      <c r="ULD17" s="319"/>
      <c r="ULE17" s="319"/>
      <c r="ULF17" s="319"/>
      <c r="ULG17" s="319"/>
      <c r="ULH17" s="319"/>
      <c r="ULI17" s="319"/>
      <c r="ULJ17" s="319"/>
      <c r="ULK17" s="319"/>
      <c r="ULL17" s="319"/>
      <c r="ULM17" s="319"/>
      <c r="ULN17" s="319"/>
      <c r="ULO17" s="319"/>
      <c r="ULP17" s="319"/>
      <c r="ULQ17" s="319"/>
      <c r="ULR17" s="319"/>
      <c r="ULS17" s="319"/>
      <c r="ULT17" s="319"/>
      <c r="ULU17" s="319"/>
      <c r="ULV17" s="319"/>
      <c r="ULW17" s="319"/>
      <c r="ULX17" s="319"/>
      <c r="ULY17" s="319"/>
      <c r="ULZ17" s="319"/>
      <c r="UMA17" s="319"/>
      <c r="UMB17" s="319"/>
      <c r="UMC17" s="319"/>
      <c r="UMD17" s="319"/>
      <c r="UME17" s="319"/>
      <c r="UMF17" s="319"/>
      <c r="UMG17" s="319"/>
      <c r="UMH17" s="319"/>
      <c r="UMI17" s="319"/>
      <c r="UMJ17" s="319"/>
      <c r="UMK17" s="319"/>
      <c r="UML17" s="319"/>
      <c r="UMM17" s="319"/>
      <c r="UMN17" s="319"/>
      <c r="UMO17" s="319"/>
      <c r="UMP17" s="319"/>
      <c r="UMQ17" s="319"/>
      <c r="UMR17" s="319"/>
      <c r="UMS17" s="319"/>
      <c r="UMT17" s="319"/>
      <c r="UMU17" s="319"/>
      <c r="UMV17" s="319"/>
      <c r="UMW17" s="319"/>
      <c r="UMX17" s="319"/>
      <c r="UMY17" s="319"/>
      <c r="UMZ17" s="319"/>
      <c r="UNA17" s="319"/>
      <c r="UNB17" s="319"/>
      <c r="UNC17" s="319"/>
      <c r="UND17" s="319"/>
      <c r="UNE17" s="319"/>
      <c r="UNF17" s="319"/>
      <c r="UNG17" s="319"/>
      <c r="UNH17" s="319"/>
      <c r="UNI17" s="319"/>
      <c r="UNJ17" s="319"/>
      <c r="UNK17" s="319"/>
      <c r="UNL17" s="319"/>
      <c r="UNM17" s="319"/>
      <c r="UNN17" s="319"/>
      <c r="UNO17" s="319"/>
      <c r="UNP17" s="319"/>
      <c r="UNQ17" s="319"/>
      <c r="UNR17" s="319"/>
      <c r="UNS17" s="319"/>
      <c r="UNT17" s="319"/>
      <c r="UNU17" s="319"/>
      <c r="UNV17" s="319"/>
      <c r="UNW17" s="319"/>
      <c r="UNX17" s="319"/>
      <c r="UNY17" s="319"/>
      <c r="UNZ17" s="319"/>
      <c r="UOA17" s="319"/>
      <c r="UOB17" s="319"/>
      <c r="UOC17" s="319"/>
      <c r="UOD17" s="319"/>
      <c r="UOE17" s="319"/>
      <c r="UOF17" s="319"/>
      <c r="UOG17" s="319"/>
      <c r="UOH17" s="319"/>
      <c r="UOI17" s="319"/>
      <c r="UOJ17" s="319"/>
      <c r="UOK17" s="319"/>
      <c r="UOL17" s="319"/>
      <c r="UOM17" s="319"/>
      <c r="UON17" s="319"/>
      <c r="UOO17" s="319"/>
      <c r="UOP17" s="319"/>
      <c r="UOQ17" s="319"/>
      <c r="UOR17" s="319"/>
      <c r="UOS17" s="319"/>
      <c r="UOT17" s="319"/>
      <c r="UOU17" s="319"/>
      <c r="UOV17" s="319"/>
      <c r="UOW17" s="319"/>
      <c r="UOX17" s="319"/>
      <c r="UOY17" s="319"/>
      <c r="UOZ17" s="319"/>
      <c r="UPA17" s="319"/>
      <c r="UPB17" s="319"/>
      <c r="UPC17" s="319"/>
      <c r="UPD17" s="319"/>
      <c r="UPE17" s="319"/>
      <c r="UPF17" s="319"/>
      <c r="UPG17" s="319"/>
      <c r="UPH17" s="319"/>
      <c r="UPI17" s="319"/>
      <c r="UPJ17" s="319"/>
      <c r="UPK17" s="319"/>
      <c r="UPL17" s="319"/>
      <c r="UPM17" s="319"/>
      <c r="UPN17" s="319"/>
      <c r="UPO17" s="319"/>
      <c r="UPP17" s="319"/>
      <c r="UPQ17" s="319"/>
      <c r="UPR17" s="319"/>
      <c r="UPS17" s="319"/>
      <c r="UPT17" s="319"/>
      <c r="UPU17" s="319"/>
      <c r="UPV17" s="319"/>
      <c r="UPW17" s="319"/>
      <c r="UPX17" s="319"/>
      <c r="UPY17" s="319"/>
      <c r="UPZ17" s="319"/>
      <c r="UQA17" s="319"/>
      <c r="UQB17" s="319"/>
      <c r="UQC17" s="319"/>
      <c r="UQD17" s="319"/>
      <c r="UQE17" s="319"/>
      <c r="UQF17" s="319"/>
      <c r="UQG17" s="319"/>
      <c r="UQH17" s="319"/>
      <c r="UQI17" s="319"/>
      <c r="UQJ17" s="319"/>
      <c r="UQK17" s="319"/>
      <c r="UQL17" s="319"/>
      <c r="UQM17" s="319"/>
      <c r="UQN17" s="319"/>
      <c r="UQO17" s="319"/>
      <c r="UQP17" s="319"/>
      <c r="UQQ17" s="319"/>
      <c r="UQR17" s="319"/>
      <c r="UQS17" s="319"/>
      <c r="UQT17" s="319"/>
      <c r="UQU17" s="319"/>
      <c r="UQV17" s="319"/>
      <c r="UQW17" s="319"/>
      <c r="UQX17" s="319"/>
      <c r="UQY17" s="319"/>
      <c r="UQZ17" s="319"/>
      <c r="URA17" s="319"/>
      <c r="URB17" s="319"/>
      <c r="URC17" s="319"/>
      <c r="URD17" s="319"/>
      <c r="URE17" s="319"/>
      <c r="URF17" s="319"/>
      <c r="URG17" s="319"/>
      <c r="URH17" s="319"/>
      <c r="URI17" s="319"/>
      <c r="URJ17" s="319"/>
      <c r="URK17" s="319"/>
      <c r="URL17" s="319"/>
      <c r="URM17" s="319"/>
      <c r="URN17" s="319"/>
      <c r="URO17" s="319"/>
      <c r="URP17" s="319"/>
      <c r="URQ17" s="319"/>
      <c r="URR17" s="319"/>
      <c r="URS17" s="319"/>
      <c r="URT17" s="319"/>
      <c r="URU17" s="319"/>
      <c r="URV17" s="319"/>
      <c r="URW17" s="319"/>
      <c r="URX17" s="319"/>
      <c r="URY17" s="319"/>
      <c r="URZ17" s="319"/>
      <c r="USA17" s="319"/>
      <c r="USB17" s="319"/>
      <c r="USC17" s="319"/>
      <c r="USD17" s="319"/>
      <c r="USE17" s="319"/>
      <c r="USF17" s="319"/>
      <c r="USG17" s="319"/>
      <c r="USH17" s="319"/>
      <c r="USI17" s="319"/>
      <c r="USJ17" s="319"/>
      <c r="USK17" s="319"/>
      <c r="USL17" s="319"/>
      <c r="USM17" s="319"/>
      <c r="USN17" s="319"/>
      <c r="USO17" s="319"/>
      <c r="USP17" s="319"/>
      <c r="USQ17" s="319"/>
      <c r="USR17" s="319"/>
      <c r="USS17" s="319"/>
      <c r="UST17" s="319"/>
      <c r="USU17" s="319"/>
      <c r="USV17" s="319"/>
      <c r="USW17" s="319"/>
      <c r="USX17" s="319"/>
      <c r="USY17" s="319"/>
      <c r="USZ17" s="319"/>
      <c r="UTA17" s="319"/>
      <c r="UTB17" s="319"/>
      <c r="UTC17" s="319"/>
      <c r="UTD17" s="319"/>
      <c r="UTE17" s="319"/>
      <c r="UTF17" s="319"/>
      <c r="UTG17" s="319"/>
      <c r="UTH17" s="319"/>
      <c r="UTI17" s="319"/>
      <c r="UTJ17" s="319"/>
      <c r="UTK17" s="319"/>
      <c r="UTL17" s="319"/>
      <c r="UTM17" s="319"/>
      <c r="UTN17" s="319"/>
      <c r="UTO17" s="319"/>
      <c r="UTP17" s="319"/>
      <c r="UTQ17" s="319"/>
      <c r="UTR17" s="319"/>
      <c r="UTS17" s="319"/>
      <c r="UTT17" s="319"/>
      <c r="UTU17" s="319"/>
      <c r="UTV17" s="319"/>
      <c r="UTW17" s="319"/>
      <c r="UTX17" s="319"/>
      <c r="UTY17" s="319"/>
      <c r="UTZ17" s="319"/>
      <c r="UUA17" s="319"/>
      <c r="UUB17" s="319"/>
      <c r="UUC17" s="319"/>
      <c r="UUD17" s="319"/>
      <c r="UUE17" s="319"/>
      <c r="UUF17" s="319"/>
      <c r="UUG17" s="319"/>
      <c r="UUH17" s="319"/>
      <c r="UUI17" s="319"/>
      <c r="UUJ17" s="319"/>
      <c r="UUK17" s="319"/>
      <c r="UUL17" s="319"/>
      <c r="UUM17" s="319"/>
      <c r="UUN17" s="319"/>
      <c r="UUO17" s="319"/>
      <c r="UUP17" s="319"/>
      <c r="UUQ17" s="319"/>
      <c r="UUR17" s="319"/>
      <c r="UUS17" s="319"/>
      <c r="UUT17" s="319"/>
      <c r="UUU17" s="319"/>
      <c r="UUV17" s="319"/>
      <c r="UUW17" s="319"/>
      <c r="UUX17" s="319"/>
      <c r="UUY17" s="319"/>
      <c r="UUZ17" s="319"/>
      <c r="UVA17" s="319"/>
      <c r="UVB17" s="319"/>
      <c r="UVC17" s="319"/>
      <c r="UVD17" s="319"/>
      <c r="UVE17" s="319"/>
      <c r="UVF17" s="319"/>
      <c r="UVG17" s="319"/>
      <c r="UVH17" s="319"/>
      <c r="UVI17" s="319"/>
      <c r="UVJ17" s="319"/>
      <c r="UVK17" s="319"/>
      <c r="UVL17" s="319"/>
      <c r="UVM17" s="319"/>
      <c r="UVN17" s="319"/>
      <c r="UVO17" s="319"/>
      <c r="UVP17" s="319"/>
      <c r="UVQ17" s="319"/>
      <c r="UVR17" s="319"/>
      <c r="UVS17" s="319"/>
      <c r="UVT17" s="319"/>
      <c r="UVU17" s="319"/>
      <c r="UVV17" s="319"/>
      <c r="UVW17" s="319"/>
      <c r="UVX17" s="319"/>
      <c r="UVY17" s="319"/>
      <c r="UVZ17" s="319"/>
      <c r="UWA17" s="319"/>
      <c r="UWB17" s="319"/>
      <c r="UWC17" s="319"/>
      <c r="UWD17" s="319"/>
      <c r="UWE17" s="319"/>
      <c r="UWF17" s="319"/>
      <c r="UWG17" s="319"/>
      <c r="UWH17" s="319"/>
      <c r="UWI17" s="319"/>
      <c r="UWJ17" s="319"/>
      <c r="UWK17" s="319"/>
      <c r="UWL17" s="319"/>
      <c r="UWM17" s="319"/>
      <c r="UWN17" s="319"/>
      <c r="UWO17" s="319"/>
      <c r="UWP17" s="319"/>
      <c r="UWQ17" s="319"/>
      <c r="UWR17" s="319"/>
      <c r="UWS17" s="319"/>
      <c r="UWT17" s="319"/>
      <c r="UWU17" s="319"/>
      <c r="UWV17" s="319"/>
      <c r="UWW17" s="319"/>
      <c r="UWX17" s="319"/>
      <c r="UWY17" s="319"/>
      <c r="UWZ17" s="319"/>
      <c r="UXA17" s="319"/>
      <c r="UXB17" s="319"/>
      <c r="UXC17" s="319"/>
      <c r="UXD17" s="319"/>
      <c r="UXE17" s="319"/>
      <c r="UXF17" s="319"/>
      <c r="UXG17" s="319"/>
      <c r="UXH17" s="319"/>
      <c r="UXI17" s="319"/>
      <c r="UXJ17" s="319"/>
      <c r="UXK17" s="319"/>
      <c r="UXL17" s="319"/>
      <c r="UXM17" s="319"/>
      <c r="UXN17" s="319"/>
      <c r="UXO17" s="319"/>
      <c r="UXP17" s="319"/>
      <c r="UXQ17" s="319"/>
      <c r="UXR17" s="319"/>
      <c r="UXS17" s="319"/>
      <c r="UXT17" s="319"/>
      <c r="UXU17" s="319"/>
      <c r="UXV17" s="319"/>
      <c r="UXW17" s="319"/>
      <c r="UXX17" s="319"/>
      <c r="UXY17" s="319"/>
      <c r="UXZ17" s="319"/>
      <c r="UYA17" s="319"/>
      <c r="UYB17" s="319"/>
      <c r="UYC17" s="319"/>
      <c r="UYD17" s="319"/>
      <c r="UYE17" s="319"/>
      <c r="UYF17" s="319"/>
      <c r="UYG17" s="319"/>
      <c r="UYH17" s="319"/>
      <c r="UYI17" s="319"/>
      <c r="UYJ17" s="319"/>
      <c r="UYK17" s="319"/>
      <c r="UYL17" s="319"/>
      <c r="UYM17" s="319"/>
      <c r="UYN17" s="319"/>
      <c r="UYO17" s="319"/>
      <c r="UYP17" s="319"/>
      <c r="UYQ17" s="319"/>
      <c r="UYR17" s="319"/>
      <c r="UYS17" s="319"/>
      <c r="UYT17" s="319"/>
      <c r="UYU17" s="319"/>
      <c r="UYV17" s="319"/>
      <c r="UYW17" s="319"/>
      <c r="UYX17" s="319"/>
      <c r="UYY17" s="319"/>
      <c r="UYZ17" s="319"/>
      <c r="UZA17" s="319"/>
      <c r="UZB17" s="319"/>
      <c r="UZC17" s="319"/>
      <c r="UZD17" s="319"/>
      <c r="UZE17" s="319"/>
      <c r="UZF17" s="319"/>
      <c r="UZG17" s="319"/>
      <c r="UZH17" s="319"/>
      <c r="UZI17" s="319"/>
      <c r="UZJ17" s="319"/>
      <c r="UZK17" s="319"/>
      <c r="UZL17" s="319"/>
      <c r="UZM17" s="319"/>
      <c r="UZN17" s="319"/>
      <c r="UZO17" s="319"/>
      <c r="UZP17" s="319"/>
      <c r="UZQ17" s="319"/>
      <c r="UZR17" s="319"/>
      <c r="UZS17" s="319"/>
      <c r="UZT17" s="319"/>
      <c r="UZU17" s="319"/>
      <c r="UZV17" s="319"/>
      <c r="UZW17" s="319"/>
      <c r="UZX17" s="319"/>
      <c r="UZY17" s="319"/>
      <c r="UZZ17" s="319"/>
      <c r="VAA17" s="319"/>
      <c r="VAB17" s="319"/>
      <c r="VAC17" s="319"/>
      <c r="VAD17" s="319"/>
      <c r="VAE17" s="319"/>
      <c r="VAF17" s="319"/>
      <c r="VAG17" s="319"/>
      <c r="VAH17" s="319"/>
      <c r="VAI17" s="319"/>
      <c r="VAJ17" s="319"/>
      <c r="VAK17" s="319"/>
      <c r="VAL17" s="319"/>
      <c r="VAM17" s="319"/>
      <c r="VAN17" s="319"/>
      <c r="VAO17" s="319"/>
      <c r="VAP17" s="319"/>
      <c r="VAQ17" s="319"/>
      <c r="VAR17" s="319"/>
      <c r="VAS17" s="319"/>
      <c r="VAT17" s="319"/>
      <c r="VAU17" s="319"/>
      <c r="VAV17" s="319"/>
      <c r="VAW17" s="319"/>
      <c r="VAX17" s="319"/>
      <c r="VAY17" s="319"/>
      <c r="VAZ17" s="319"/>
      <c r="VBA17" s="319"/>
      <c r="VBB17" s="319"/>
      <c r="VBC17" s="319"/>
      <c r="VBD17" s="319"/>
      <c r="VBE17" s="319"/>
      <c r="VBF17" s="319"/>
      <c r="VBG17" s="319"/>
      <c r="VBH17" s="319"/>
      <c r="VBI17" s="319"/>
      <c r="VBJ17" s="319"/>
      <c r="VBK17" s="319"/>
      <c r="VBL17" s="319"/>
      <c r="VBM17" s="319"/>
      <c r="VBN17" s="319"/>
      <c r="VBO17" s="319"/>
      <c r="VBP17" s="319"/>
      <c r="VBQ17" s="319"/>
      <c r="VBR17" s="319"/>
      <c r="VBS17" s="319"/>
      <c r="VBT17" s="319"/>
      <c r="VBU17" s="319"/>
      <c r="VBV17" s="319"/>
      <c r="VBW17" s="319"/>
      <c r="VBX17" s="319"/>
      <c r="VBY17" s="319"/>
      <c r="VBZ17" s="319"/>
      <c r="VCA17" s="319"/>
      <c r="VCB17" s="319"/>
      <c r="VCC17" s="319"/>
      <c r="VCD17" s="319"/>
      <c r="VCE17" s="319"/>
      <c r="VCF17" s="319"/>
      <c r="VCG17" s="319"/>
      <c r="VCH17" s="319"/>
      <c r="VCI17" s="319"/>
      <c r="VCJ17" s="319"/>
      <c r="VCK17" s="319"/>
      <c r="VCL17" s="319"/>
      <c r="VCM17" s="319"/>
      <c r="VCN17" s="319"/>
      <c r="VCO17" s="319"/>
      <c r="VCP17" s="319"/>
      <c r="VCQ17" s="319"/>
      <c r="VCR17" s="319"/>
      <c r="VCS17" s="319"/>
      <c r="VCT17" s="319"/>
      <c r="VCU17" s="319"/>
      <c r="VCV17" s="319"/>
      <c r="VCW17" s="319"/>
      <c r="VCX17" s="319"/>
      <c r="VCY17" s="319"/>
      <c r="VCZ17" s="319"/>
      <c r="VDA17" s="319"/>
      <c r="VDB17" s="319"/>
      <c r="VDC17" s="319"/>
      <c r="VDD17" s="319"/>
      <c r="VDE17" s="319"/>
      <c r="VDF17" s="319"/>
      <c r="VDG17" s="319"/>
      <c r="VDH17" s="319"/>
      <c r="VDI17" s="319"/>
      <c r="VDJ17" s="319"/>
      <c r="VDK17" s="319"/>
      <c r="VDL17" s="319"/>
      <c r="VDM17" s="319"/>
      <c r="VDN17" s="319"/>
      <c r="VDO17" s="319"/>
      <c r="VDP17" s="319"/>
      <c r="VDQ17" s="319"/>
      <c r="VDR17" s="319"/>
      <c r="VDS17" s="319"/>
      <c r="VDT17" s="319"/>
      <c r="VDU17" s="319"/>
      <c r="VDV17" s="319"/>
      <c r="VDW17" s="319"/>
      <c r="VDX17" s="319"/>
      <c r="VDY17" s="319"/>
      <c r="VDZ17" s="319"/>
      <c r="VEA17" s="319"/>
      <c r="VEB17" s="319"/>
      <c r="VEC17" s="319"/>
      <c r="VED17" s="319"/>
      <c r="VEE17" s="319"/>
      <c r="VEF17" s="319"/>
      <c r="VEG17" s="319"/>
      <c r="VEH17" s="319"/>
      <c r="VEI17" s="319"/>
      <c r="VEJ17" s="319"/>
      <c r="VEK17" s="319"/>
      <c r="VEL17" s="319"/>
      <c r="VEM17" s="319"/>
      <c r="VEN17" s="319"/>
      <c r="VEO17" s="319"/>
      <c r="VEP17" s="319"/>
      <c r="VEQ17" s="319"/>
      <c r="VER17" s="319"/>
      <c r="VES17" s="319"/>
      <c r="VET17" s="319"/>
      <c r="VEU17" s="319"/>
      <c r="VEV17" s="319"/>
      <c r="VEW17" s="319"/>
      <c r="VEX17" s="319"/>
      <c r="VEY17" s="319"/>
      <c r="VEZ17" s="319"/>
      <c r="VFA17" s="319"/>
      <c r="VFB17" s="319"/>
      <c r="VFC17" s="319"/>
      <c r="VFD17" s="319"/>
      <c r="VFE17" s="319"/>
      <c r="VFF17" s="319"/>
      <c r="VFG17" s="319"/>
      <c r="VFH17" s="319"/>
      <c r="VFI17" s="319"/>
      <c r="VFJ17" s="319"/>
      <c r="VFK17" s="319"/>
      <c r="VFL17" s="319"/>
      <c r="VFM17" s="319"/>
      <c r="VFN17" s="319"/>
      <c r="VFO17" s="319"/>
      <c r="VFP17" s="319"/>
      <c r="VFQ17" s="319"/>
      <c r="VFR17" s="319"/>
      <c r="VFS17" s="319"/>
      <c r="VFT17" s="319"/>
      <c r="VFU17" s="319"/>
      <c r="VFV17" s="319"/>
      <c r="VFW17" s="319"/>
      <c r="VFX17" s="319"/>
      <c r="VFY17" s="319"/>
      <c r="VFZ17" s="319"/>
      <c r="VGA17" s="319"/>
      <c r="VGB17" s="319"/>
      <c r="VGC17" s="319"/>
      <c r="VGD17" s="319"/>
      <c r="VGE17" s="319"/>
      <c r="VGF17" s="319"/>
      <c r="VGG17" s="319"/>
      <c r="VGH17" s="319"/>
      <c r="VGI17" s="319"/>
      <c r="VGJ17" s="319"/>
      <c r="VGK17" s="319"/>
      <c r="VGL17" s="319"/>
      <c r="VGM17" s="319"/>
      <c r="VGN17" s="319"/>
      <c r="VGO17" s="319"/>
      <c r="VGP17" s="319"/>
      <c r="VGQ17" s="319"/>
      <c r="VGR17" s="319"/>
      <c r="VGS17" s="319"/>
      <c r="VGT17" s="319"/>
      <c r="VGU17" s="319"/>
      <c r="VGV17" s="319"/>
      <c r="VGW17" s="319"/>
      <c r="VGX17" s="319"/>
      <c r="VGY17" s="319"/>
      <c r="VGZ17" s="319"/>
      <c r="VHA17" s="319"/>
      <c r="VHB17" s="319"/>
      <c r="VHC17" s="319"/>
      <c r="VHD17" s="319"/>
      <c r="VHE17" s="319"/>
      <c r="VHF17" s="319"/>
      <c r="VHG17" s="319"/>
      <c r="VHH17" s="319"/>
      <c r="VHI17" s="319"/>
      <c r="VHJ17" s="319"/>
      <c r="VHK17" s="319"/>
      <c r="VHL17" s="319"/>
      <c r="VHM17" s="319"/>
      <c r="VHN17" s="319"/>
      <c r="VHO17" s="319"/>
      <c r="VHP17" s="319"/>
      <c r="VHQ17" s="319"/>
      <c r="VHR17" s="319"/>
      <c r="VHS17" s="319"/>
      <c r="VHT17" s="319"/>
      <c r="VHU17" s="319"/>
      <c r="VHV17" s="319"/>
      <c r="VHW17" s="319"/>
      <c r="VHX17" s="319"/>
      <c r="VHY17" s="319"/>
      <c r="VHZ17" s="319"/>
      <c r="VIA17" s="319"/>
      <c r="VIB17" s="319"/>
      <c r="VIC17" s="319"/>
      <c r="VID17" s="319"/>
      <c r="VIE17" s="319"/>
      <c r="VIF17" s="319"/>
      <c r="VIG17" s="319"/>
      <c r="VIH17" s="319"/>
      <c r="VII17" s="319"/>
      <c r="VIJ17" s="319"/>
      <c r="VIK17" s="319"/>
      <c r="VIL17" s="319"/>
      <c r="VIM17" s="319"/>
      <c r="VIN17" s="319"/>
      <c r="VIO17" s="319"/>
      <c r="VIP17" s="319"/>
      <c r="VIQ17" s="319"/>
      <c r="VIR17" s="319"/>
      <c r="VIS17" s="319"/>
      <c r="VIT17" s="319"/>
      <c r="VIU17" s="319"/>
      <c r="VIV17" s="319"/>
      <c r="VIW17" s="319"/>
      <c r="VIX17" s="319"/>
      <c r="VIY17" s="319"/>
      <c r="VIZ17" s="319"/>
      <c r="VJA17" s="319"/>
      <c r="VJB17" s="319"/>
      <c r="VJC17" s="319"/>
      <c r="VJD17" s="319"/>
      <c r="VJE17" s="319"/>
      <c r="VJF17" s="319"/>
      <c r="VJG17" s="319"/>
      <c r="VJH17" s="319"/>
      <c r="VJI17" s="319"/>
      <c r="VJJ17" s="319"/>
      <c r="VJK17" s="319"/>
      <c r="VJL17" s="319"/>
      <c r="VJM17" s="319"/>
      <c r="VJN17" s="319"/>
      <c r="VJO17" s="319"/>
      <c r="VJP17" s="319"/>
      <c r="VJQ17" s="319"/>
      <c r="VJR17" s="319"/>
      <c r="VJS17" s="319"/>
      <c r="VJT17" s="319"/>
      <c r="VJU17" s="319"/>
      <c r="VJV17" s="319"/>
      <c r="VJW17" s="319"/>
      <c r="VJX17" s="319"/>
      <c r="VJY17" s="319"/>
      <c r="VJZ17" s="319"/>
      <c r="VKA17" s="319"/>
      <c r="VKB17" s="319"/>
      <c r="VKC17" s="319"/>
      <c r="VKD17" s="319"/>
      <c r="VKE17" s="319"/>
      <c r="VKF17" s="319"/>
      <c r="VKG17" s="319"/>
      <c r="VKH17" s="319"/>
      <c r="VKI17" s="319"/>
      <c r="VKJ17" s="319"/>
      <c r="VKK17" s="319"/>
      <c r="VKL17" s="319"/>
      <c r="VKM17" s="319"/>
      <c r="VKN17" s="319"/>
      <c r="VKO17" s="319"/>
      <c r="VKP17" s="319"/>
      <c r="VKQ17" s="319"/>
      <c r="VKR17" s="319"/>
      <c r="VKS17" s="319"/>
      <c r="VKT17" s="319"/>
      <c r="VKU17" s="319"/>
      <c r="VKV17" s="319"/>
      <c r="VKW17" s="319"/>
      <c r="VKX17" s="319"/>
      <c r="VKY17" s="319"/>
      <c r="VKZ17" s="319"/>
      <c r="VLA17" s="319"/>
      <c r="VLB17" s="319"/>
      <c r="VLC17" s="319"/>
      <c r="VLD17" s="319"/>
      <c r="VLE17" s="319"/>
      <c r="VLF17" s="319"/>
      <c r="VLG17" s="319"/>
      <c r="VLH17" s="319"/>
      <c r="VLI17" s="319"/>
      <c r="VLJ17" s="319"/>
      <c r="VLK17" s="319"/>
      <c r="VLL17" s="319"/>
      <c r="VLM17" s="319"/>
      <c r="VLN17" s="319"/>
      <c r="VLO17" s="319"/>
      <c r="VLP17" s="319"/>
      <c r="VLQ17" s="319"/>
      <c r="VLR17" s="319"/>
      <c r="VLS17" s="319"/>
      <c r="VLT17" s="319"/>
      <c r="VLU17" s="319"/>
      <c r="VLV17" s="319"/>
      <c r="VLW17" s="319"/>
      <c r="VLX17" s="319"/>
      <c r="VLY17" s="319"/>
      <c r="VLZ17" s="319"/>
      <c r="VMA17" s="319"/>
      <c r="VMB17" s="319"/>
      <c r="VMC17" s="319"/>
      <c r="VMD17" s="319"/>
      <c r="VME17" s="319"/>
      <c r="VMF17" s="319"/>
      <c r="VMG17" s="319"/>
      <c r="VMH17" s="319"/>
      <c r="VMI17" s="319"/>
      <c r="VMJ17" s="319"/>
      <c r="VMK17" s="319"/>
      <c r="VML17" s="319"/>
      <c r="VMM17" s="319"/>
      <c r="VMN17" s="319"/>
      <c r="VMO17" s="319"/>
      <c r="VMP17" s="319"/>
      <c r="VMQ17" s="319"/>
      <c r="VMR17" s="319"/>
      <c r="VMS17" s="319"/>
      <c r="VMT17" s="319"/>
      <c r="VMU17" s="319"/>
      <c r="VMV17" s="319"/>
      <c r="VMW17" s="319"/>
      <c r="VMX17" s="319"/>
      <c r="VMY17" s="319"/>
      <c r="VMZ17" s="319"/>
      <c r="VNA17" s="319"/>
      <c r="VNB17" s="319"/>
      <c r="VNC17" s="319"/>
      <c r="VND17" s="319"/>
      <c r="VNE17" s="319"/>
      <c r="VNF17" s="319"/>
      <c r="VNG17" s="319"/>
      <c r="VNH17" s="319"/>
      <c r="VNI17" s="319"/>
      <c r="VNJ17" s="319"/>
      <c r="VNK17" s="319"/>
      <c r="VNL17" s="319"/>
      <c r="VNM17" s="319"/>
      <c r="VNN17" s="319"/>
      <c r="VNO17" s="319"/>
      <c r="VNP17" s="319"/>
      <c r="VNQ17" s="319"/>
      <c r="VNR17" s="319"/>
      <c r="VNS17" s="319"/>
      <c r="VNT17" s="319"/>
      <c r="VNU17" s="319"/>
      <c r="VNV17" s="319"/>
      <c r="VNW17" s="319"/>
      <c r="VNX17" s="319"/>
      <c r="VNY17" s="319"/>
      <c r="VNZ17" s="319"/>
      <c r="VOA17" s="319"/>
      <c r="VOB17" s="319"/>
      <c r="VOC17" s="319"/>
      <c r="VOD17" s="319"/>
      <c r="VOE17" s="319"/>
      <c r="VOF17" s="319"/>
      <c r="VOG17" s="319"/>
      <c r="VOH17" s="319"/>
      <c r="VOI17" s="319"/>
      <c r="VOJ17" s="319"/>
      <c r="VOK17" s="319"/>
      <c r="VOL17" s="319"/>
      <c r="VOM17" s="319"/>
      <c r="VON17" s="319"/>
      <c r="VOO17" s="319"/>
      <c r="VOP17" s="319"/>
      <c r="VOQ17" s="319"/>
      <c r="VOR17" s="319"/>
      <c r="VOS17" s="319"/>
      <c r="VOT17" s="319"/>
      <c r="VOU17" s="319"/>
      <c r="VOV17" s="319"/>
      <c r="VOW17" s="319"/>
      <c r="VOX17" s="319"/>
      <c r="VOY17" s="319"/>
      <c r="VOZ17" s="319"/>
      <c r="VPA17" s="319"/>
      <c r="VPB17" s="319"/>
      <c r="VPC17" s="319"/>
      <c r="VPD17" s="319"/>
      <c r="VPE17" s="319"/>
      <c r="VPF17" s="319"/>
      <c r="VPG17" s="319"/>
      <c r="VPH17" s="319"/>
      <c r="VPI17" s="319"/>
      <c r="VPJ17" s="319"/>
      <c r="VPK17" s="319"/>
      <c r="VPL17" s="319"/>
      <c r="VPM17" s="319"/>
      <c r="VPN17" s="319"/>
      <c r="VPO17" s="319"/>
      <c r="VPP17" s="319"/>
      <c r="VPQ17" s="319"/>
      <c r="VPR17" s="319"/>
      <c r="VPS17" s="319"/>
      <c r="VPT17" s="319"/>
      <c r="VPU17" s="319"/>
      <c r="VPV17" s="319"/>
      <c r="VPW17" s="319"/>
      <c r="VPX17" s="319"/>
      <c r="VPY17" s="319"/>
      <c r="VPZ17" s="319"/>
      <c r="VQA17" s="319"/>
      <c r="VQB17" s="319"/>
      <c r="VQC17" s="319"/>
      <c r="VQD17" s="319"/>
      <c r="VQE17" s="319"/>
      <c r="VQF17" s="319"/>
      <c r="VQG17" s="319"/>
      <c r="VQH17" s="319"/>
      <c r="VQI17" s="319"/>
      <c r="VQJ17" s="319"/>
      <c r="VQK17" s="319"/>
      <c r="VQL17" s="319"/>
      <c r="VQM17" s="319"/>
      <c r="VQN17" s="319"/>
      <c r="VQO17" s="319"/>
      <c r="VQP17" s="319"/>
      <c r="VQQ17" s="319"/>
      <c r="VQR17" s="319"/>
      <c r="VQS17" s="319"/>
      <c r="VQT17" s="319"/>
      <c r="VQU17" s="319"/>
      <c r="VQV17" s="319"/>
      <c r="VQW17" s="319"/>
      <c r="VQX17" s="319"/>
      <c r="VQY17" s="319"/>
      <c r="VQZ17" s="319"/>
      <c r="VRA17" s="319"/>
      <c r="VRB17" s="319"/>
      <c r="VRC17" s="319"/>
      <c r="VRD17" s="319"/>
      <c r="VRE17" s="319"/>
      <c r="VRF17" s="319"/>
      <c r="VRG17" s="319"/>
      <c r="VRH17" s="319"/>
      <c r="VRI17" s="319"/>
      <c r="VRJ17" s="319"/>
      <c r="VRK17" s="319"/>
      <c r="VRL17" s="319"/>
      <c r="VRM17" s="319"/>
      <c r="VRN17" s="319"/>
      <c r="VRO17" s="319"/>
      <c r="VRP17" s="319"/>
      <c r="VRQ17" s="319"/>
      <c r="VRR17" s="319"/>
      <c r="VRS17" s="319"/>
      <c r="VRT17" s="319"/>
      <c r="VRU17" s="319"/>
      <c r="VRV17" s="319"/>
      <c r="VRW17" s="319"/>
      <c r="VRX17" s="319"/>
      <c r="VRY17" s="319"/>
      <c r="VRZ17" s="319"/>
      <c r="VSA17" s="319"/>
      <c r="VSB17" s="319"/>
      <c r="VSC17" s="319"/>
      <c r="VSD17" s="319"/>
      <c r="VSE17" s="319"/>
      <c r="VSF17" s="319"/>
      <c r="VSG17" s="319"/>
      <c r="VSH17" s="319"/>
      <c r="VSI17" s="319"/>
      <c r="VSJ17" s="319"/>
      <c r="VSK17" s="319"/>
      <c r="VSL17" s="319"/>
      <c r="VSM17" s="319"/>
      <c r="VSN17" s="319"/>
      <c r="VSO17" s="319"/>
      <c r="VSP17" s="319"/>
      <c r="VSQ17" s="319"/>
      <c r="VSR17" s="319"/>
      <c r="VSS17" s="319"/>
      <c r="VST17" s="319"/>
      <c r="VSU17" s="319"/>
      <c r="VSV17" s="319"/>
      <c r="VSW17" s="319"/>
      <c r="VSX17" s="319"/>
      <c r="VSY17" s="319"/>
      <c r="VSZ17" s="319"/>
      <c r="VTA17" s="319"/>
      <c r="VTB17" s="319"/>
      <c r="VTC17" s="319"/>
      <c r="VTD17" s="319"/>
      <c r="VTE17" s="319"/>
      <c r="VTF17" s="319"/>
      <c r="VTG17" s="319"/>
      <c r="VTH17" s="319"/>
      <c r="VTI17" s="319"/>
      <c r="VTJ17" s="319"/>
      <c r="VTK17" s="319"/>
      <c r="VTL17" s="319"/>
      <c r="VTM17" s="319"/>
      <c r="VTN17" s="319"/>
      <c r="VTO17" s="319"/>
      <c r="VTP17" s="319"/>
      <c r="VTQ17" s="319"/>
      <c r="VTR17" s="319"/>
      <c r="VTS17" s="319"/>
      <c r="VTT17" s="319"/>
      <c r="VTU17" s="319"/>
      <c r="VTV17" s="319"/>
      <c r="VTW17" s="319"/>
      <c r="VTX17" s="319"/>
      <c r="VTY17" s="319"/>
      <c r="VTZ17" s="319"/>
      <c r="VUA17" s="319"/>
      <c r="VUB17" s="319"/>
      <c r="VUC17" s="319"/>
      <c r="VUD17" s="319"/>
      <c r="VUE17" s="319"/>
      <c r="VUF17" s="319"/>
      <c r="VUG17" s="319"/>
      <c r="VUH17" s="319"/>
      <c r="VUI17" s="319"/>
      <c r="VUJ17" s="319"/>
      <c r="VUK17" s="319"/>
      <c r="VUL17" s="319"/>
      <c r="VUM17" s="319"/>
      <c r="VUN17" s="319"/>
      <c r="VUO17" s="319"/>
      <c r="VUP17" s="319"/>
      <c r="VUQ17" s="319"/>
      <c r="VUR17" s="319"/>
      <c r="VUS17" s="319"/>
      <c r="VUT17" s="319"/>
      <c r="VUU17" s="319"/>
      <c r="VUV17" s="319"/>
      <c r="VUW17" s="319"/>
      <c r="VUX17" s="319"/>
      <c r="VUY17" s="319"/>
      <c r="VUZ17" s="319"/>
      <c r="VVA17" s="319"/>
      <c r="VVB17" s="319"/>
      <c r="VVC17" s="319"/>
      <c r="VVD17" s="319"/>
      <c r="VVE17" s="319"/>
      <c r="VVF17" s="319"/>
      <c r="VVG17" s="319"/>
      <c r="VVH17" s="319"/>
      <c r="VVI17" s="319"/>
      <c r="VVJ17" s="319"/>
      <c r="VVK17" s="319"/>
      <c r="VVL17" s="319"/>
      <c r="VVM17" s="319"/>
      <c r="VVN17" s="319"/>
      <c r="VVO17" s="319"/>
      <c r="VVP17" s="319"/>
      <c r="VVQ17" s="319"/>
      <c r="VVR17" s="319"/>
      <c r="VVS17" s="319"/>
      <c r="VVT17" s="319"/>
      <c r="VVU17" s="319"/>
      <c r="VVV17" s="319"/>
      <c r="VVW17" s="319"/>
      <c r="VVX17" s="319"/>
      <c r="VVY17" s="319"/>
      <c r="VVZ17" s="319"/>
      <c r="VWA17" s="319"/>
      <c r="VWB17" s="319"/>
      <c r="VWC17" s="319"/>
      <c r="VWD17" s="319"/>
      <c r="VWE17" s="319"/>
      <c r="VWF17" s="319"/>
      <c r="VWG17" s="319"/>
      <c r="VWH17" s="319"/>
      <c r="VWI17" s="319"/>
      <c r="VWJ17" s="319"/>
      <c r="VWK17" s="319"/>
      <c r="VWL17" s="319"/>
      <c r="VWM17" s="319"/>
      <c r="VWN17" s="319"/>
      <c r="VWO17" s="319"/>
      <c r="VWP17" s="319"/>
      <c r="VWQ17" s="319"/>
      <c r="VWR17" s="319"/>
      <c r="VWS17" s="319"/>
      <c r="VWT17" s="319"/>
      <c r="VWU17" s="319"/>
      <c r="VWV17" s="319"/>
      <c r="VWW17" s="319"/>
      <c r="VWX17" s="319"/>
      <c r="VWY17" s="319"/>
      <c r="VWZ17" s="319"/>
      <c r="VXA17" s="319"/>
      <c r="VXB17" s="319"/>
      <c r="VXC17" s="319"/>
      <c r="VXD17" s="319"/>
      <c r="VXE17" s="319"/>
      <c r="VXF17" s="319"/>
      <c r="VXG17" s="319"/>
      <c r="VXH17" s="319"/>
      <c r="VXI17" s="319"/>
      <c r="VXJ17" s="319"/>
      <c r="VXK17" s="319"/>
      <c r="VXL17" s="319"/>
      <c r="VXM17" s="319"/>
      <c r="VXN17" s="319"/>
      <c r="VXO17" s="319"/>
      <c r="VXP17" s="319"/>
      <c r="VXQ17" s="319"/>
      <c r="VXR17" s="319"/>
      <c r="VXS17" s="319"/>
      <c r="VXT17" s="319"/>
      <c r="VXU17" s="319"/>
      <c r="VXV17" s="319"/>
      <c r="VXW17" s="319"/>
      <c r="VXX17" s="319"/>
      <c r="VXY17" s="319"/>
      <c r="VXZ17" s="319"/>
      <c r="VYA17" s="319"/>
      <c r="VYB17" s="319"/>
      <c r="VYC17" s="319"/>
      <c r="VYD17" s="319"/>
      <c r="VYE17" s="319"/>
      <c r="VYF17" s="319"/>
      <c r="VYG17" s="319"/>
      <c r="VYH17" s="319"/>
      <c r="VYI17" s="319"/>
      <c r="VYJ17" s="319"/>
      <c r="VYK17" s="319"/>
      <c r="VYL17" s="319"/>
      <c r="VYM17" s="319"/>
      <c r="VYN17" s="319"/>
      <c r="VYO17" s="319"/>
      <c r="VYP17" s="319"/>
      <c r="VYQ17" s="319"/>
      <c r="VYR17" s="319"/>
      <c r="VYS17" s="319"/>
      <c r="VYT17" s="319"/>
      <c r="VYU17" s="319"/>
      <c r="VYV17" s="319"/>
      <c r="VYW17" s="319"/>
      <c r="VYX17" s="319"/>
      <c r="VYY17" s="319"/>
      <c r="VYZ17" s="319"/>
      <c r="VZA17" s="319"/>
      <c r="VZB17" s="319"/>
      <c r="VZC17" s="319"/>
      <c r="VZD17" s="319"/>
      <c r="VZE17" s="319"/>
      <c r="VZF17" s="319"/>
      <c r="VZG17" s="319"/>
      <c r="VZH17" s="319"/>
      <c r="VZI17" s="319"/>
      <c r="VZJ17" s="319"/>
      <c r="VZK17" s="319"/>
      <c r="VZL17" s="319"/>
      <c r="VZM17" s="319"/>
      <c r="VZN17" s="319"/>
      <c r="VZO17" s="319"/>
      <c r="VZP17" s="319"/>
      <c r="VZQ17" s="319"/>
      <c r="VZR17" s="319"/>
      <c r="VZS17" s="319"/>
      <c r="VZT17" s="319"/>
      <c r="VZU17" s="319"/>
      <c r="VZV17" s="319"/>
      <c r="VZW17" s="319"/>
      <c r="VZX17" s="319"/>
      <c r="VZY17" s="319"/>
      <c r="VZZ17" s="319"/>
      <c r="WAA17" s="319"/>
      <c r="WAB17" s="319"/>
      <c r="WAC17" s="319"/>
      <c r="WAD17" s="319"/>
      <c r="WAE17" s="319"/>
      <c r="WAF17" s="319"/>
      <c r="WAG17" s="319"/>
      <c r="WAH17" s="319"/>
      <c r="WAI17" s="319"/>
      <c r="WAJ17" s="319"/>
      <c r="WAK17" s="319"/>
      <c r="WAL17" s="319"/>
      <c r="WAM17" s="319"/>
      <c r="WAN17" s="319"/>
      <c r="WAO17" s="319"/>
      <c r="WAP17" s="319"/>
      <c r="WAQ17" s="319"/>
      <c r="WAR17" s="319"/>
      <c r="WAS17" s="319"/>
      <c r="WAT17" s="319"/>
      <c r="WAU17" s="319"/>
      <c r="WAV17" s="319"/>
      <c r="WAW17" s="319"/>
      <c r="WAX17" s="319"/>
      <c r="WAY17" s="319"/>
      <c r="WAZ17" s="319"/>
      <c r="WBA17" s="319"/>
      <c r="WBB17" s="319"/>
      <c r="WBC17" s="319"/>
      <c r="WBD17" s="319"/>
      <c r="WBE17" s="319"/>
      <c r="WBF17" s="319"/>
      <c r="WBG17" s="319"/>
      <c r="WBH17" s="319"/>
      <c r="WBI17" s="319"/>
      <c r="WBJ17" s="319"/>
      <c r="WBK17" s="319"/>
      <c r="WBL17" s="319"/>
      <c r="WBM17" s="319"/>
      <c r="WBN17" s="319"/>
      <c r="WBO17" s="319"/>
      <c r="WBP17" s="319"/>
      <c r="WBQ17" s="319"/>
      <c r="WBR17" s="319"/>
      <c r="WBS17" s="319"/>
      <c r="WBT17" s="319"/>
      <c r="WBU17" s="319"/>
      <c r="WBV17" s="319"/>
      <c r="WBW17" s="319"/>
      <c r="WBX17" s="319"/>
      <c r="WBY17" s="319"/>
      <c r="WBZ17" s="319"/>
      <c r="WCA17" s="319"/>
      <c r="WCB17" s="319"/>
      <c r="WCC17" s="319"/>
      <c r="WCD17" s="319"/>
      <c r="WCE17" s="319"/>
      <c r="WCF17" s="319"/>
      <c r="WCG17" s="319"/>
      <c r="WCH17" s="319"/>
      <c r="WCI17" s="319"/>
      <c r="WCJ17" s="319"/>
      <c r="WCK17" s="319"/>
      <c r="WCL17" s="319"/>
      <c r="WCM17" s="319"/>
      <c r="WCN17" s="319"/>
      <c r="WCO17" s="319"/>
      <c r="WCP17" s="319"/>
      <c r="WCQ17" s="319"/>
      <c r="WCR17" s="319"/>
      <c r="WCS17" s="319"/>
      <c r="WCT17" s="319"/>
      <c r="WCU17" s="319"/>
      <c r="WCV17" s="319"/>
      <c r="WCW17" s="319"/>
      <c r="WCX17" s="319"/>
      <c r="WCY17" s="319"/>
      <c r="WCZ17" s="319"/>
      <c r="WDA17" s="319"/>
      <c r="WDB17" s="319"/>
      <c r="WDC17" s="319"/>
      <c r="WDD17" s="319"/>
      <c r="WDE17" s="319"/>
      <c r="WDF17" s="319"/>
      <c r="WDG17" s="319"/>
      <c r="WDH17" s="319"/>
      <c r="WDI17" s="319"/>
      <c r="WDJ17" s="319"/>
      <c r="WDK17" s="319"/>
      <c r="WDL17" s="319"/>
      <c r="WDM17" s="319"/>
      <c r="WDN17" s="319"/>
      <c r="WDO17" s="319"/>
      <c r="WDP17" s="319"/>
      <c r="WDQ17" s="319"/>
      <c r="WDR17" s="319"/>
      <c r="WDS17" s="319"/>
      <c r="WDT17" s="319"/>
      <c r="WDU17" s="319"/>
      <c r="WDV17" s="319"/>
      <c r="WDW17" s="319"/>
      <c r="WDX17" s="319"/>
      <c r="WDY17" s="319"/>
      <c r="WDZ17" s="319"/>
      <c r="WEA17" s="319"/>
      <c r="WEB17" s="319"/>
      <c r="WEC17" s="319"/>
      <c r="WED17" s="319"/>
      <c r="WEE17" s="319"/>
      <c r="WEF17" s="319"/>
      <c r="WEG17" s="319"/>
      <c r="WEH17" s="319"/>
      <c r="WEI17" s="319"/>
      <c r="WEJ17" s="319"/>
      <c r="WEK17" s="319"/>
      <c r="WEL17" s="319"/>
      <c r="WEM17" s="319"/>
      <c r="WEN17" s="319"/>
      <c r="WEO17" s="319"/>
      <c r="WEP17" s="319"/>
      <c r="WEQ17" s="319"/>
      <c r="WER17" s="319"/>
      <c r="WES17" s="319"/>
      <c r="WET17" s="319"/>
      <c r="WEU17" s="319"/>
      <c r="WEV17" s="319"/>
      <c r="WEW17" s="319"/>
      <c r="WEX17" s="319"/>
      <c r="WEY17" s="319"/>
      <c r="WEZ17" s="319"/>
      <c r="WFA17" s="319"/>
      <c r="WFB17" s="319"/>
      <c r="WFC17" s="319"/>
      <c r="WFD17" s="319"/>
      <c r="WFE17" s="319"/>
      <c r="WFF17" s="319"/>
      <c r="WFG17" s="319"/>
      <c r="WFH17" s="319"/>
      <c r="WFI17" s="319"/>
      <c r="WFJ17" s="319"/>
      <c r="WFK17" s="319"/>
      <c r="WFL17" s="319"/>
      <c r="WFM17" s="319"/>
      <c r="WFN17" s="319"/>
      <c r="WFO17" s="319"/>
      <c r="WFP17" s="319"/>
      <c r="WFQ17" s="319"/>
      <c r="WFR17" s="319"/>
      <c r="WFS17" s="319"/>
      <c r="WFT17" s="319"/>
      <c r="WFU17" s="319"/>
      <c r="WFV17" s="319"/>
      <c r="WFW17" s="319"/>
      <c r="WFX17" s="319"/>
      <c r="WFY17" s="319"/>
      <c r="WFZ17" s="319"/>
      <c r="WGA17" s="319"/>
      <c r="WGB17" s="319"/>
      <c r="WGC17" s="319"/>
      <c r="WGD17" s="319"/>
      <c r="WGE17" s="319"/>
      <c r="WGF17" s="319"/>
      <c r="WGG17" s="319"/>
      <c r="WGH17" s="319"/>
      <c r="WGI17" s="319"/>
      <c r="WGJ17" s="319"/>
      <c r="WGK17" s="319"/>
      <c r="WGL17" s="319"/>
      <c r="WGM17" s="319"/>
      <c r="WGN17" s="319"/>
      <c r="WGO17" s="319"/>
      <c r="WGP17" s="319"/>
      <c r="WGQ17" s="319"/>
      <c r="WGR17" s="319"/>
      <c r="WGS17" s="319"/>
      <c r="WGT17" s="319"/>
      <c r="WGU17" s="319"/>
      <c r="WGV17" s="319"/>
      <c r="WGW17" s="319"/>
      <c r="WGX17" s="319"/>
      <c r="WGY17" s="319"/>
      <c r="WGZ17" s="319"/>
      <c r="WHA17" s="319"/>
      <c r="WHB17" s="319"/>
      <c r="WHC17" s="319"/>
      <c r="WHD17" s="319"/>
      <c r="WHE17" s="319"/>
      <c r="WHF17" s="319"/>
      <c r="WHG17" s="319"/>
      <c r="WHH17" s="319"/>
      <c r="WHI17" s="319"/>
      <c r="WHJ17" s="319"/>
      <c r="WHK17" s="319"/>
      <c r="WHL17" s="319"/>
      <c r="WHM17" s="319"/>
      <c r="WHN17" s="319"/>
      <c r="WHO17" s="319"/>
      <c r="WHP17" s="319"/>
      <c r="WHQ17" s="319"/>
      <c r="WHR17" s="319"/>
      <c r="WHS17" s="319"/>
      <c r="WHT17" s="319"/>
      <c r="WHU17" s="319"/>
      <c r="WHV17" s="319"/>
      <c r="WHW17" s="319"/>
      <c r="WHX17" s="319"/>
      <c r="WHY17" s="319"/>
      <c r="WHZ17" s="319"/>
      <c r="WIA17" s="319"/>
      <c r="WIB17" s="319"/>
      <c r="WIC17" s="319"/>
      <c r="WID17" s="319"/>
      <c r="WIE17" s="319"/>
      <c r="WIF17" s="319"/>
      <c r="WIG17" s="319"/>
      <c r="WIH17" s="319"/>
      <c r="WII17" s="319"/>
      <c r="WIJ17" s="319"/>
      <c r="WIK17" s="319"/>
      <c r="WIL17" s="319"/>
      <c r="WIM17" s="319"/>
      <c r="WIN17" s="319"/>
      <c r="WIO17" s="319"/>
      <c r="WIP17" s="319"/>
      <c r="WIQ17" s="319"/>
      <c r="WIR17" s="319"/>
      <c r="WIS17" s="319"/>
      <c r="WIT17" s="319"/>
      <c r="WIU17" s="319"/>
      <c r="WIV17" s="319"/>
      <c r="WIW17" s="319"/>
      <c r="WIX17" s="319"/>
      <c r="WIY17" s="319"/>
      <c r="WIZ17" s="319"/>
      <c r="WJA17" s="319"/>
      <c r="WJB17" s="319"/>
      <c r="WJC17" s="319"/>
      <c r="WJD17" s="319"/>
      <c r="WJE17" s="319"/>
      <c r="WJF17" s="319"/>
      <c r="WJG17" s="319"/>
      <c r="WJH17" s="319"/>
      <c r="WJI17" s="319"/>
      <c r="WJJ17" s="319"/>
      <c r="WJK17" s="319"/>
      <c r="WJL17" s="319"/>
      <c r="WJM17" s="319"/>
      <c r="WJN17" s="319"/>
      <c r="WJO17" s="319"/>
      <c r="WJP17" s="319"/>
      <c r="WJQ17" s="319"/>
      <c r="WJR17" s="319"/>
      <c r="WJS17" s="319"/>
      <c r="WJT17" s="319"/>
      <c r="WJU17" s="319"/>
      <c r="WJV17" s="319"/>
      <c r="WJW17" s="319"/>
      <c r="WJX17" s="319"/>
      <c r="WJY17" s="319"/>
      <c r="WJZ17" s="319"/>
      <c r="WKA17" s="319"/>
      <c r="WKB17" s="319"/>
      <c r="WKC17" s="319"/>
      <c r="WKD17" s="319"/>
      <c r="WKE17" s="319"/>
      <c r="WKF17" s="319"/>
      <c r="WKG17" s="319"/>
      <c r="WKH17" s="319"/>
      <c r="WKI17" s="319"/>
      <c r="WKJ17" s="319"/>
      <c r="WKK17" s="319"/>
      <c r="WKL17" s="319"/>
      <c r="WKM17" s="319"/>
      <c r="WKN17" s="319"/>
      <c r="WKO17" s="319"/>
      <c r="WKP17" s="319"/>
      <c r="WKQ17" s="319"/>
      <c r="WKR17" s="319"/>
      <c r="WKS17" s="319"/>
      <c r="WKT17" s="319"/>
      <c r="WKU17" s="319"/>
      <c r="WKV17" s="319"/>
      <c r="WKW17" s="319"/>
      <c r="WKX17" s="319"/>
      <c r="WKY17" s="319"/>
      <c r="WKZ17" s="319"/>
      <c r="WLA17" s="319"/>
      <c r="WLB17" s="319"/>
      <c r="WLC17" s="319"/>
      <c r="WLD17" s="319"/>
      <c r="WLE17" s="319"/>
      <c r="WLF17" s="319"/>
      <c r="WLG17" s="319"/>
      <c r="WLH17" s="319"/>
      <c r="WLI17" s="319"/>
      <c r="WLJ17" s="319"/>
      <c r="WLK17" s="319"/>
      <c r="WLL17" s="319"/>
      <c r="WLM17" s="319"/>
      <c r="WLN17" s="319"/>
      <c r="WLO17" s="319"/>
      <c r="WLP17" s="319"/>
      <c r="WLQ17" s="319"/>
      <c r="WLR17" s="319"/>
      <c r="WLS17" s="319"/>
      <c r="WLT17" s="319"/>
      <c r="WLU17" s="319"/>
      <c r="WLV17" s="319"/>
      <c r="WLW17" s="319"/>
      <c r="WLX17" s="319"/>
      <c r="WLY17" s="319"/>
      <c r="WLZ17" s="319"/>
      <c r="WMA17" s="319"/>
      <c r="WMB17" s="319"/>
      <c r="WMC17" s="319"/>
      <c r="WMD17" s="319"/>
      <c r="WME17" s="319"/>
      <c r="WMF17" s="319"/>
      <c r="WMG17" s="319"/>
      <c r="WMH17" s="319"/>
      <c r="WMI17" s="319"/>
      <c r="WMJ17" s="319"/>
      <c r="WMK17" s="319"/>
      <c r="WML17" s="319"/>
      <c r="WMM17" s="319"/>
      <c r="WMN17" s="319"/>
      <c r="WMO17" s="319"/>
      <c r="WMP17" s="319"/>
      <c r="WMQ17" s="319"/>
      <c r="WMR17" s="319"/>
      <c r="WMS17" s="319"/>
      <c r="WMT17" s="319"/>
      <c r="WMU17" s="319"/>
      <c r="WMV17" s="319"/>
      <c r="WMW17" s="319"/>
      <c r="WMX17" s="319"/>
      <c r="WMY17" s="319"/>
      <c r="WMZ17" s="319"/>
      <c r="WNA17" s="319"/>
      <c r="WNB17" s="319"/>
      <c r="WNC17" s="319"/>
      <c r="WND17" s="319"/>
      <c r="WNE17" s="319"/>
      <c r="WNF17" s="319"/>
      <c r="WNG17" s="319"/>
      <c r="WNH17" s="319"/>
      <c r="WNI17" s="319"/>
      <c r="WNJ17" s="319"/>
      <c r="WNK17" s="319"/>
      <c r="WNL17" s="319"/>
      <c r="WNM17" s="319"/>
      <c r="WNN17" s="319"/>
      <c r="WNO17" s="319"/>
      <c r="WNP17" s="319"/>
      <c r="WNQ17" s="319"/>
      <c r="WNR17" s="319"/>
      <c r="WNS17" s="319"/>
      <c r="WNT17" s="319"/>
      <c r="WNU17" s="319"/>
      <c r="WNV17" s="319"/>
      <c r="WNW17" s="319"/>
      <c r="WNX17" s="319"/>
      <c r="WNY17" s="319"/>
      <c r="WNZ17" s="319"/>
      <c r="WOA17" s="319"/>
      <c r="WOB17" s="319"/>
      <c r="WOC17" s="319"/>
      <c r="WOD17" s="319"/>
      <c r="WOE17" s="319"/>
      <c r="WOF17" s="319"/>
      <c r="WOG17" s="319"/>
      <c r="WOH17" s="319"/>
      <c r="WOI17" s="319"/>
      <c r="WOJ17" s="319"/>
      <c r="WOK17" s="319"/>
      <c r="WOL17" s="319"/>
      <c r="WOM17" s="319"/>
      <c r="WON17" s="319"/>
      <c r="WOO17" s="319"/>
      <c r="WOP17" s="319"/>
      <c r="WOQ17" s="319"/>
      <c r="WOR17" s="319"/>
      <c r="WOS17" s="319"/>
      <c r="WOT17" s="319"/>
      <c r="WOU17" s="319"/>
      <c r="WOV17" s="319"/>
      <c r="WOW17" s="319"/>
      <c r="WOX17" s="319"/>
      <c r="WOY17" s="319"/>
      <c r="WOZ17" s="319"/>
      <c r="WPA17" s="319"/>
      <c r="WPB17" s="319"/>
      <c r="WPC17" s="319"/>
      <c r="WPD17" s="319"/>
      <c r="WPE17" s="319"/>
      <c r="WPF17" s="319"/>
      <c r="WPG17" s="319"/>
      <c r="WPH17" s="319"/>
      <c r="WPI17" s="319"/>
      <c r="WPJ17" s="319"/>
      <c r="WPK17" s="319"/>
      <c r="WPL17" s="319"/>
      <c r="WPM17" s="319"/>
      <c r="WPN17" s="319"/>
      <c r="WPO17" s="319"/>
      <c r="WPP17" s="319"/>
      <c r="WPQ17" s="319"/>
      <c r="WPR17" s="319"/>
      <c r="WPS17" s="319"/>
      <c r="WPT17" s="319"/>
      <c r="WPU17" s="319"/>
      <c r="WPV17" s="319"/>
      <c r="WPW17" s="319"/>
      <c r="WPX17" s="319"/>
      <c r="WPY17" s="319"/>
      <c r="WPZ17" s="319"/>
      <c r="WQA17" s="319"/>
      <c r="WQB17" s="319"/>
      <c r="WQC17" s="319"/>
      <c r="WQD17" s="319"/>
      <c r="WQE17" s="319"/>
      <c r="WQF17" s="319"/>
      <c r="WQG17" s="319"/>
      <c r="WQH17" s="319"/>
      <c r="WQI17" s="319"/>
      <c r="WQJ17" s="319"/>
      <c r="WQK17" s="319"/>
      <c r="WQL17" s="319"/>
      <c r="WQM17" s="319"/>
      <c r="WQN17" s="319"/>
      <c r="WQO17" s="319"/>
      <c r="WQP17" s="319"/>
      <c r="WQQ17" s="319"/>
      <c r="WQR17" s="319"/>
      <c r="WQS17" s="319"/>
      <c r="WQT17" s="319"/>
      <c r="WQU17" s="319"/>
      <c r="WQV17" s="319"/>
      <c r="WQW17" s="319"/>
      <c r="WQX17" s="319"/>
      <c r="WQY17" s="319"/>
      <c r="WQZ17" s="319"/>
      <c r="WRA17" s="319"/>
      <c r="WRB17" s="319"/>
      <c r="WRC17" s="319"/>
      <c r="WRD17" s="319"/>
      <c r="WRE17" s="319"/>
      <c r="WRF17" s="319"/>
      <c r="WRG17" s="319"/>
      <c r="WRH17" s="319"/>
      <c r="WRI17" s="319"/>
      <c r="WRJ17" s="319"/>
      <c r="WRK17" s="319"/>
      <c r="WRL17" s="319"/>
      <c r="WRM17" s="319"/>
      <c r="WRN17" s="319"/>
      <c r="WRO17" s="319"/>
      <c r="WRP17" s="319"/>
      <c r="WRQ17" s="319"/>
      <c r="WRR17" s="319"/>
      <c r="WRS17" s="319"/>
      <c r="WRT17" s="319"/>
      <c r="WRU17" s="319"/>
      <c r="WRV17" s="319"/>
      <c r="WRW17" s="319"/>
      <c r="WRX17" s="319"/>
      <c r="WRY17" s="319"/>
      <c r="WRZ17" s="319"/>
      <c r="WSA17" s="319"/>
      <c r="WSB17" s="319"/>
      <c r="WSC17" s="319"/>
      <c r="WSD17" s="319"/>
      <c r="WSE17" s="319"/>
      <c r="WSF17" s="319"/>
      <c r="WSG17" s="319"/>
      <c r="WSH17" s="319"/>
      <c r="WSI17" s="319"/>
      <c r="WSJ17" s="319"/>
      <c r="WSK17" s="319"/>
      <c r="WSL17" s="319"/>
      <c r="WSM17" s="319"/>
      <c r="WSN17" s="319"/>
      <c r="WSO17" s="319"/>
      <c r="WSP17" s="319"/>
      <c r="WSQ17" s="319"/>
      <c r="WSR17" s="319"/>
      <c r="WSS17" s="319"/>
      <c r="WST17" s="319"/>
      <c r="WSU17" s="319"/>
      <c r="WSV17" s="319"/>
      <c r="WSW17" s="319"/>
      <c r="WSX17" s="319"/>
      <c r="WSY17" s="319"/>
      <c r="WSZ17" s="319"/>
      <c r="WTA17" s="319"/>
      <c r="WTB17" s="319"/>
      <c r="WTC17" s="319"/>
      <c r="WTD17" s="319"/>
      <c r="WTE17" s="319"/>
      <c r="WTF17" s="319"/>
      <c r="WTG17" s="319"/>
      <c r="WTH17" s="319"/>
      <c r="WTI17" s="319"/>
      <c r="WTJ17" s="319"/>
      <c r="WTK17" s="319"/>
      <c r="WTL17" s="319"/>
      <c r="WTM17" s="319"/>
      <c r="WTN17" s="319"/>
      <c r="WTO17" s="319"/>
      <c r="WTP17" s="319"/>
      <c r="WTQ17" s="319"/>
      <c r="WTR17" s="319"/>
      <c r="WTS17" s="319"/>
      <c r="WTT17" s="319"/>
      <c r="WTU17" s="319"/>
      <c r="WTV17" s="319"/>
      <c r="WTW17" s="319"/>
      <c r="WTX17" s="319"/>
      <c r="WTY17" s="319"/>
      <c r="WTZ17" s="319"/>
      <c r="WUA17" s="319"/>
      <c r="WUB17" s="319"/>
      <c r="WUC17" s="319"/>
      <c r="WUD17" s="319"/>
      <c r="WUE17" s="319"/>
      <c r="WUF17" s="319"/>
      <c r="WUG17" s="319"/>
      <c r="WUH17" s="319"/>
      <c r="WUI17" s="319"/>
      <c r="WUJ17" s="319"/>
      <c r="WUK17" s="319"/>
      <c r="WUL17" s="319"/>
      <c r="WUM17" s="319"/>
      <c r="WUN17" s="319"/>
      <c r="WUO17" s="319"/>
      <c r="WUP17" s="319"/>
      <c r="WUQ17" s="319"/>
      <c r="WUR17" s="319"/>
      <c r="WUS17" s="319"/>
      <c r="WUT17" s="319"/>
      <c r="WUU17" s="319"/>
      <c r="WUV17" s="319"/>
      <c r="WUW17" s="319"/>
      <c r="WUX17" s="319"/>
      <c r="WUY17" s="319"/>
      <c r="WUZ17" s="319"/>
      <c r="WVA17" s="319"/>
      <c r="WVB17" s="319"/>
      <c r="WVC17" s="319"/>
      <c r="WVD17" s="319"/>
      <c r="WVE17" s="319"/>
      <c r="WVF17" s="319"/>
      <c r="WVG17" s="319"/>
      <c r="WVH17" s="319"/>
      <c r="WVI17" s="319"/>
      <c r="WVJ17" s="319"/>
      <c r="WVK17" s="319"/>
      <c r="WVL17" s="319"/>
      <c r="WVM17" s="319"/>
      <c r="WVN17" s="319"/>
      <c r="WVO17" s="319"/>
      <c r="WVP17" s="319"/>
      <c r="WVQ17" s="319"/>
      <c r="WVR17" s="319"/>
      <c r="WVS17" s="319"/>
      <c r="WVT17" s="319"/>
      <c r="WVU17" s="319"/>
      <c r="WVV17" s="319"/>
      <c r="WVW17" s="319"/>
      <c r="WVX17" s="319"/>
      <c r="WVY17" s="319"/>
      <c r="WVZ17" s="319"/>
      <c r="WWA17" s="319"/>
      <c r="WWB17" s="319"/>
      <c r="WWC17" s="319"/>
      <c r="WWD17" s="319"/>
      <c r="WWE17" s="319"/>
      <c r="WWF17" s="319"/>
      <c r="WWG17" s="319"/>
      <c r="WWH17" s="319"/>
      <c r="WWI17" s="319"/>
      <c r="WWJ17" s="319"/>
      <c r="WWK17" s="319"/>
      <c r="WWL17" s="319"/>
      <c r="WWM17" s="319"/>
      <c r="WWN17" s="319"/>
      <c r="WWO17" s="319"/>
      <c r="WWP17" s="319"/>
      <c r="WWQ17" s="319"/>
      <c r="WWR17" s="319"/>
      <c r="WWS17" s="319"/>
      <c r="WWT17" s="319"/>
      <c r="WWU17" s="319"/>
      <c r="WWV17" s="319"/>
      <c r="WWW17" s="319"/>
      <c r="WWX17" s="319"/>
      <c r="WWY17" s="319"/>
      <c r="WWZ17" s="319"/>
      <c r="WXA17" s="319"/>
      <c r="WXB17" s="319"/>
      <c r="WXC17" s="319"/>
      <c r="WXD17" s="319"/>
      <c r="WXE17" s="319"/>
      <c r="WXF17" s="319"/>
      <c r="WXG17" s="319"/>
      <c r="WXH17" s="319"/>
      <c r="WXI17" s="319"/>
      <c r="WXJ17" s="319"/>
      <c r="WXK17" s="319"/>
      <c r="WXL17" s="319"/>
      <c r="WXM17" s="319"/>
      <c r="WXN17" s="319"/>
      <c r="WXO17" s="319"/>
      <c r="WXP17" s="319"/>
      <c r="WXQ17" s="319"/>
      <c r="WXR17" s="319"/>
      <c r="WXS17" s="319"/>
      <c r="WXT17" s="319"/>
      <c r="WXU17" s="319"/>
      <c r="WXV17" s="319"/>
      <c r="WXW17" s="319"/>
      <c r="WXX17" s="319"/>
      <c r="WXY17" s="319"/>
      <c r="WXZ17" s="319"/>
      <c r="WYA17" s="319"/>
      <c r="WYB17" s="319"/>
      <c r="WYC17" s="319"/>
      <c r="WYD17" s="319"/>
      <c r="WYE17" s="319"/>
      <c r="WYF17" s="319"/>
      <c r="WYG17" s="319"/>
      <c r="WYH17" s="319"/>
      <c r="WYI17" s="319"/>
      <c r="WYJ17" s="319"/>
      <c r="WYK17" s="319"/>
      <c r="WYL17" s="319"/>
      <c r="WYM17" s="319"/>
      <c r="WYN17" s="319"/>
      <c r="WYO17" s="319"/>
      <c r="WYP17" s="319"/>
      <c r="WYQ17" s="319"/>
      <c r="WYR17" s="319"/>
      <c r="WYS17" s="319"/>
      <c r="WYT17" s="319"/>
      <c r="WYU17" s="319"/>
      <c r="WYV17" s="319"/>
      <c r="WYW17" s="319"/>
      <c r="WYX17" s="319"/>
      <c r="WYY17" s="319"/>
      <c r="WYZ17" s="319"/>
      <c r="WZA17" s="319"/>
      <c r="WZB17" s="319"/>
      <c r="WZC17" s="319"/>
      <c r="WZD17" s="319"/>
      <c r="WZE17" s="319"/>
      <c r="WZF17" s="319"/>
      <c r="WZG17" s="319"/>
      <c r="WZH17" s="319"/>
      <c r="WZI17" s="319"/>
      <c r="WZJ17" s="319"/>
      <c r="WZK17" s="319"/>
      <c r="WZL17" s="319"/>
      <c r="WZM17" s="319"/>
      <c r="WZN17" s="319"/>
      <c r="WZO17" s="319"/>
      <c r="WZP17" s="319"/>
      <c r="WZQ17" s="319"/>
      <c r="WZR17" s="319"/>
      <c r="WZS17" s="319"/>
      <c r="WZT17" s="319"/>
      <c r="WZU17" s="319"/>
      <c r="WZV17" s="319"/>
      <c r="WZW17" s="319"/>
      <c r="WZX17" s="319"/>
      <c r="WZY17" s="319"/>
      <c r="WZZ17" s="319"/>
      <c r="XAA17" s="319"/>
      <c r="XAB17" s="319"/>
      <c r="XAC17" s="319"/>
      <c r="XAD17" s="319"/>
      <c r="XAE17" s="319"/>
      <c r="XAF17" s="319"/>
      <c r="XAG17" s="319"/>
      <c r="XAH17" s="319"/>
      <c r="XAI17" s="319"/>
      <c r="XAJ17" s="319"/>
      <c r="XAK17" s="319"/>
      <c r="XAL17" s="319"/>
      <c r="XAM17" s="319"/>
      <c r="XAN17" s="319"/>
      <c r="XAO17" s="319"/>
      <c r="XAP17" s="319"/>
      <c r="XAQ17" s="319"/>
      <c r="XAR17" s="319"/>
      <c r="XAS17" s="319"/>
      <c r="XAT17" s="319"/>
      <c r="XAU17" s="319"/>
      <c r="XAV17" s="319"/>
      <c r="XAW17" s="319"/>
      <c r="XAX17" s="319"/>
      <c r="XAY17" s="319"/>
      <c r="XAZ17" s="319"/>
      <c r="XBA17" s="319"/>
      <c r="XBB17" s="319"/>
      <c r="XBC17" s="319"/>
      <c r="XBD17" s="319"/>
      <c r="XBE17" s="319"/>
      <c r="XBF17" s="319"/>
      <c r="XBG17" s="319"/>
      <c r="XBH17" s="319"/>
      <c r="XBI17" s="319"/>
      <c r="XBJ17" s="319"/>
      <c r="XBK17" s="319"/>
      <c r="XBL17" s="319"/>
      <c r="XBM17" s="319"/>
      <c r="XBN17" s="319"/>
      <c r="XBO17" s="319"/>
      <c r="XBP17" s="319"/>
      <c r="XBQ17" s="319"/>
      <c r="XBR17" s="319"/>
      <c r="XBS17" s="319"/>
      <c r="XBT17" s="319"/>
      <c r="XBU17" s="319"/>
      <c r="XBV17" s="319"/>
      <c r="XBW17" s="319"/>
      <c r="XBX17" s="319"/>
      <c r="XBY17" s="319"/>
      <c r="XBZ17" s="319"/>
      <c r="XCA17" s="319"/>
      <c r="XCB17" s="319"/>
      <c r="XCC17" s="319"/>
      <c r="XCD17" s="319"/>
      <c r="XCE17" s="319"/>
      <c r="XCF17" s="319"/>
      <c r="XCG17" s="319"/>
      <c r="XCH17" s="319"/>
      <c r="XCI17" s="319"/>
      <c r="XCJ17" s="319"/>
      <c r="XCK17" s="319"/>
      <c r="XCL17" s="319"/>
      <c r="XCM17" s="319"/>
      <c r="XCN17" s="319"/>
      <c r="XCO17" s="319"/>
      <c r="XCP17" s="319"/>
      <c r="XCQ17" s="319"/>
      <c r="XCR17" s="319"/>
      <c r="XCS17" s="319"/>
      <c r="XCT17" s="319"/>
      <c r="XCU17" s="319"/>
      <c r="XCV17" s="319"/>
      <c r="XCW17" s="319"/>
      <c r="XCX17" s="319"/>
      <c r="XCY17" s="319"/>
      <c r="XCZ17" s="319"/>
      <c r="XDA17" s="319"/>
      <c r="XDB17" s="319"/>
      <c r="XDC17" s="319"/>
      <c r="XDD17" s="319"/>
      <c r="XDE17" s="319"/>
      <c r="XDF17" s="319"/>
      <c r="XDG17" s="319"/>
      <c r="XDH17" s="319"/>
      <c r="XDI17" s="319"/>
      <c r="XDJ17" s="319"/>
      <c r="XDK17" s="319"/>
      <c r="XDL17" s="319"/>
      <c r="XDM17" s="319"/>
      <c r="XDN17" s="319"/>
      <c r="XDO17" s="319"/>
      <c r="XDP17" s="319"/>
      <c r="XDQ17" s="319"/>
      <c r="XDR17" s="319"/>
      <c r="XDS17" s="319"/>
      <c r="XDT17" s="319"/>
      <c r="XDU17" s="319"/>
      <c r="XDV17" s="319"/>
      <c r="XDW17" s="319"/>
      <c r="XDX17" s="319"/>
      <c r="XDY17" s="319"/>
      <c r="XDZ17" s="319"/>
      <c r="XEA17" s="319"/>
      <c r="XEB17" s="319"/>
      <c r="XEC17" s="319"/>
      <c r="XED17" s="319"/>
      <c r="XEE17" s="319"/>
      <c r="XEF17" s="319"/>
      <c r="XEG17" s="319"/>
      <c r="XEH17" s="319"/>
      <c r="XEI17" s="319"/>
      <c r="XEJ17" s="319"/>
      <c r="XEK17" s="319"/>
      <c r="XEL17" s="319"/>
      <c r="XEM17" s="319"/>
      <c r="XEN17" s="319"/>
      <c r="XEO17" s="319"/>
      <c r="XEP17" s="319"/>
      <c r="XEQ17" s="319"/>
      <c r="XER17" s="319"/>
      <c r="XES17" s="319"/>
      <c r="XET17" s="319"/>
      <c r="XEU17" s="319"/>
      <c r="XEV17" s="319"/>
      <c r="XEW17" s="319"/>
      <c r="XEX17" s="319"/>
      <c r="XEY17" s="319"/>
      <c r="XEZ17" s="319"/>
      <c r="XFA17" s="319"/>
      <c r="XFB17" s="319"/>
      <c r="XFC17" s="319"/>
      <c r="XFD17" s="319"/>
    </row>
    <row r="18" spans="1:16384" ht="59.25" customHeight="1">
      <c r="A18" s="348" t="s">
        <v>237</v>
      </c>
      <c r="B18" s="348"/>
      <c r="C18" s="348"/>
      <c r="D18" s="348"/>
      <c r="E18" s="348"/>
      <c r="F18" s="348"/>
      <c r="G18" s="348"/>
      <c r="H18" s="348"/>
      <c r="I18" s="348"/>
      <c r="J18" s="348"/>
      <c r="K18" s="348"/>
      <c r="L18" s="348"/>
    </row>
    <row r="19" spans="1:16384" ht="55.5" customHeight="1">
      <c r="A19" s="348" t="s">
        <v>242</v>
      </c>
      <c r="B19" s="348"/>
      <c r="C19" s="348"/>
      <c r="D19" s="348"/>
      <c r="E19" s="348"/>
      <c r="F19" s="348"/>
      <c r="G19" s="348"/>
      <c r="H19" s="348"/>
      <c r="I19" s="348"/>
      <c r="J19" s="348"/>
      <c r="K19" s="348"/>
      <c r="L19" s="348"/>
    </row>
    <row r="20" spans="1:16384" ht="79.5" customHeight="1">
      <c r="A20" s="348" t="s">
        <v>238</v>
      </c>
      <c r="B20" s="348"/>
      <c r="C20" s="348"/>
      <c r="D20" s="348"/>
      <c r="E20" s="348"/>
      <c r="F20" s="348"/>
      <c r="G20" s="348"/>
      <c r="H20" s="348"/>
      <c r="I20" s="348"/>
      <c r="J20" s="348"/>
      <c r="K20" s="348"/>
      <c r="L20" s="348"/>
    </row>
    <row r="21" spans="1:16384" ht="58.5" customHeight="1">
      <c r="A21" s="348" t="s">
        <v>259</v>
      </c>
      <c r="B21" s="348"/>
      <c r="C21" s="348"/>
      <c r="D21" s="348"/>
      <c r="E21" s="348"/>
      <c r="F21" s="348"/>
      <c r="G21" s="348"/>
      <c r="H21" s="348"/>
      <c r="I21" s="348"/>
      <c r="J21" s="348"/>
      <c r="K21" s="348"/>
      <c r="L21" s="348"/>
    </row>
    <row r="22" spans="1:16384">
      <c r="A22" s="155"/>
      <c r="B22" s="155"/>
      <c r="C22" s="155"/>
      <c r="D22" s="155"/>
      <c r="E22" s="155"/>
      <c r="F22" s="155"/>
      <c r="G22" s="155"/>
      <c r="H22" s="155"/>
      <c r="I22" s="155"/>
      <c r="J22" s="155"/>
      <c r="K22" s="155"/>
      <c r="L22" s="155"/>
    </row>
    <row r="23" spans="1:16384">
      <c r="A23" s="155"/>
      <c r="B23" s="155"/>
      <c r="C23" s="155"/>
      <c r="D23" s="155"/>
      <c r="E23" s="155"/>
      <c r="F23" s="155"/>
      <c r="G23" s="155"/>
      <c r="H23" s="155"/>
      <c r="I23" s="155"/>
      <c r="J23" s="155"/>
      <c r="K23" s="155"/>
      <c r="L23" s="155"/>
    </row>
  </sheetData>
  <sheetProtection password="D74B" sheet="1" objects="1" scenarios="1"/>
  <mergeCells count="1384">
    <mergeCell ref="A20:L20"/>
    <mergeCell ref="A21:L21"/>
    <mergeCell ref="XEC11:XEN11"/>
    <mergeCell ref="XEO11:XEZ11"/>
    <mergeCell ref="XFA11:XFD11"/>
    <mergeCell ref="A12:L15"/>
    <mergeCell ref="Q12:AB14"/>
    <mergeCell ref="A16:L16"/>
    <mergeCell ref="XBI11:XBT11"/>
    <mergeCell ref="XBU11:XCF11"/>
    <mergeCell ref="XCG11:XCR11"/>
    <mergeCell ref="XCS11:XDD11"/>
    <mergeCell ref="XDE11:XDP11"/>
    <mergeCell ref="XDQ11:XEB11"/>
    <mergeCell ref="WYO11:WYZ11"/>
    <mergeCell ref="WZA11:WZL11"/>
    <mergeCell ref="WZM11:WZX11"/>
    <mergeCell ref="WZY11:XAJ11"/>
    <mergeCell ref="XAK11:XAV11"/>
    <mergeCell ref="XAW11:XBH11"/>
    <mergeCell ref="WVU11:WWF11"/>
    <mergeCell ref="WWG11:WWR11"/>
    <mergeCell ref="WWS11:WXD11"/>
    <mergeCell ref="WXE11:WXP11"/>
    <mergeCell ref="WXQ11:WYB11"/>
    <mergeCell ref="WYC11:WYN11"/>
    <mergeCell ref="WTA11:WTL11"/>
    <mergeCell ref="WTM11:WTX11"/>
    <mergeCell ref="WTY11:WUJ11"/>
    <mergeCell ref="WUK11:WUV11"/>
    <mergeCell ref="WUW11:WVH11"/>
    <mergeCell ref="WVI11:WVT11"/>
    <mergeCell ref="WQG11:WQR11"/>
    <mergeCell ref="WQS11:WRD11"/>
    <mergeCell ref="WRE11:WRP11"/>
    <mergeCell ref="WRQ11:WSB11"/>
    <mergeCell ref="WSC11:WSN11"/>
    <mergeCell ref="WSO11:WSZ11"/>
    <mergeCell ref="WNM11:WNX11"/>
    <mergeCell ref="WNY11:WOJ11"/>
    <mergeCell ref="WOK11:WOV11"/>
    <mergeCell ref="WOW11:WPH11"/>
    <mergeCell ref="WPI11:WPT11"/>
    <mergeCell ref="WPU11:WQF11"/>
    <mergeCell ref="WKS11:WLD11"/>
    <mergeCell ref="WLE11:WLP11"/>
    <mergeCell ref="WLQ11:WMB11"/>
    <mergeCell ref="WMC11:WMN11"/>
    <mergeCell ref="WMO11:WMZ11"/>
    <mergeCell ref="WNA11:WNL11"/>
    <mergeCell ref="WHY11:WIJ11"/>
    <mergeCell ref="WIK11:WIV11"/>
    <mergeCell ref="WIW11:WJH11"/>
    <mergeCell ref="WJI11:WJT11"/>
    <mergeCell ref="WJU11:WKF11"/>
    <mergeCell ref="WKG11:WKR11"/>
    <mergeCell ref="WFE11:WFP11"/>
    <mergeCell ref="WFQ11:WGB11"/>
    <mergeCell ref="WGC11:WGN11"/>
    <mergeCell ref="WGO11:WGZ11"/>
    <mergeCell ref="WHA11:WHL11"/>
    <mergeCell ref="WHM11:WHX11"/>
    <mergeCell ref="WCK11:WCV11"/>
    <mergeCell ref="WCW11:WDH11"/>
    <mergeCell ref="WDI11:WDT11"/>
    <mergeCell ref="WDU11:WEF11"/>
    <mergeCell ref="WEG11:WER11"/>
    <mergeCell ref="WES11:WFD11"/>
    <mergeCell ref="VZQ11:WAB11"/>
    <mergeCell ref="WAC11:WAN11"/>
    <mergeCell ref="WAO11:WAZ11"/>
    <mergeCell ref="WBA11:WBL11"/>
    <mergeCell ref="WBM11:WBX11"/>
    <mergeCell ref="WBY11:WCJ11"/>
    <mergeCell ref="VWW11:VXH11"/>
    <mergeCell ref="VXI11:VXT11"/>
    <mergeCell ref="VXU11:VYF11"/>
    <mergeCell ref="VYG11:VYR11"/>
    <mergeCell ref="VYS11:VZD11"/>
    <mergeCell ref="VZE11:VZP11"/>
    <mergeCell ref="VUC11:VUN11"/>
    <mergeCell ref="VUO11:VUZ11"/>
    <mergeCell ref="VVA11:VVL11"/>
    <mergeCell ref="VVM11:VVX11"/>
    <mergeCell ref="VVY11:VWJ11"/>
    <mergeCell ref="VWK11:VWV11"/>
    <mergeCell ref="VRI11:VRT11"/>
    <mergeCell ref="VRU11:VSF11"/>
    <mergeCell ref="VSG11:VSR11"/>
    <mergeCell ref="VSS11:VTD11"/>
    <mergeCell ref="VTE11:VTP11"/>
    <mergeCell ref="VTQ11:VUB11"/>
    <mergeCell ref="VOO11:VOZ11"/>
    <mergeCell ref="VPA11:VPL11"/>
    <mergeCell ref="VPM11:VPX11"/>
    <mergeCell ref="VPY11:VQJ11"/>
    <mergeCell ref="VQK11:VQV11"/>
    <mergeCell ref="VQW11:VRH11"/>
    <mergeCell ref="VLU11:VMF11"/>
    <mergeCell ref="VMG11:VMR11"/>
    <mergeCell ref="VMS11:VND11"/>
    <mergeCell ref="VNE11:VNP11"/>
    <mergeCell ref="VNQ11:VOB11"/>
    <mergeCell ref="VOC11:VON11"/>
    <mergeCell ref="VJA11:VJL11"/>
    <mergeCell ref="VJM11:VJX11"/>
    <mergeCell ref="VJY11:VKJ11"/>
    <mergeCell ref="VKK11:VKV11"/>
    <mergeCell ref="VKW11:VLH11"/>
    <mergeCell ref="VLI11:VLT11"/>
    <mergeCell ref="VGG11:VGR11"/>
    <mergeCell ref="VGS11:VHD11"/>
    <mergeCell ref="VHE11:VHP11"/>
    <mergeCell ref="VHQ11:VIB11"/>
    <mergeCell ref="VIC11:VIN11"/>
    <mergeCell ref="VIO11:VIZ11"/>
    <mergeCell ref="VDM11:VDX11"/>
    <mergeCell ref="VDY11:VEJ11"/>
    <mergeCell ref="VEK11:VEV11"/>
    <mergeCell ref="VEW11:VFH11"/>
    <mergeCell ref="VFI11:VFT11"/>
    <mergeCell ref="VFU11:VGF11"/>
    <mergeCell ref="VAS11:VBD11"/>
    <mergeCell ref="VBE11:VBP11"/>
    <mergeCell ref="VBQ11:VCB11"/>
    <mergeCell ref="VCC11:VCN11"/>
    <mergeCell ref="VCO11:VCZ11"/>
    <mergeCell ref="VDA11:VDL11"/>
    <mergeCell ref="UXY11:UYJ11"/>
    <mergeCell ref="UYK11:UYV11"/>
    <mergeCell ref="UYW11:UZH11"/>
    <mergeCell ref="UZI11:UZT11"/>
    <mergeCell ref="UZU11:VAF11"/>
    <mergeCell ref="VAG11:VAR11"/>
    <mergeCell ref="UVE11:UVP11"/>
    <mergeCell ref="UVQ11:UWB11"/>
    <mergeCell ref="UWC11:UWN11"/>
    <mergeCell ref="UWO11:UWZ11"/>
    <mergeCell ref="UXA11:UXL11"/>
    <mergeCell ref="UXM11:UXX11"/>
    <mergeCell ref="USK11:USV11"/>
    <mergeCell ref="USW11:UTH11"/>
    <mergeCell ref="UTI11:UTT11"/>
    <mergeCell ref="UTU11:UUF11"/>
    <mergeCell ref="UUG11:UUR11"/>
    <mergeCell ref="UUS11:UVD11"/>
    <mergeCell ref="UPQ11:UQB11"/>
    <mergeCell ref="UQC11:UQN11"/>
    <mergeCell ref="UQO11:UQZ11"/>
    <mergeCell ref="URA11:URL11"/>
    <mergeCell ref="URM11:URX11"/>
    <mergeCell ref="URY11:USJ11"/>
    <mergeCell ref="UMW11:UNH11"/>
    <mergeCell ref="UNI11:UNT11"/>
    <mergeCell ref="UNU11:UOF11"/>
    <mergeCell ref="UOG11:UOR11"/>
    <mergeCell ref="UOS11:UPD11"/>
    <mergeCell ref="UPE11:UPP11"/>
    <mergeCell ref="UKC11:UKN11"/>
    <mergeCell ref="UKO11:UKZ11"/>
    <mergeCell ref="ULA11:ULL11"/>
    <mergeCell ref="ULM11:ULX11"/>
    <mergeCell ref="ULY11:UMJ11"/>
    <mergeCell ref="UMK11:UMV11"/>
    <mergeCell ref="UHI11:UHT11"/>
    <mergeCell ref="UHU11:UIF11"/>
    <mergeCell ref="UIG11:UIR11"/>
    <mergeCell ref="UIS11:UJD11"/>
    <mergeCell ref="UJE11:UJP11"/>
    <mergeCell ref="UJQ11:UKB11"/>
    <mergeCell ref="UEO11:UEZ11"/>
    <mergeCell ref="UFA11:UFL11"/>
    <mergeCell ref="UFM11:UFX11"/>
    <mergeCell ref="UFY11:UGJ11"/>
    <mergeCell ref="UGK11:UGV11"/>
    <mergeCell ref="UGW11:UHH11"/>
    <mergeCell ref="UBU11:UCF11"/>
    <mergeCell ref="UCG11:UCR11"/>
    <mergeCell ref="UCS11:UDD11"/>
    <mergeCell ref="UDE11:UDP11"/>
    <mergeCell ref="UDQ11:UEB11"/>
    <mergeCell ref="UEC11:UEN11"/>
    <mergeCell ref="TZA11:TZL11"/>
    <mergeCell ref="TZM11:TZX11"/>
    <mergeCell ref="TZY11:UAJ11"/>
    <mergeCell ref="UAK11:UAV11"/>
    <mergeCell ref="UAW11:UBH11"/>
    <mergeCell ref="UBI11:UBT11"/>
    <mergeCell ref="TWG11:TWR11"/>
    <mergeCell ref="TWS11:TXD11"/>
    <mergeCell ref="TXE11:TXP11"/>
    <mergeCell ref="TXQ11:TYB11"/>
    <mergeCell ref="TYC11:TYN11"/>
    <mergeCell ref="TYO11:TYZ11"/>
    <mergeCell ref="TTM11:TTX11"/>
    <mergeCell ref="TTY11:TUJ11"/>
    <mergeCell ref="TUK11:TUV11"/>
    <mergeCell ref="TUW11:TVH11"/>
    <mergeCell ref="TVI11:TVT11"/>
    <mergeCell ref="TVU11:TWF11"/>
    <mergeCell ref="TQS11:TRD11"/>
    <mergeCell ref="TRE11:TRP11"/>
    <mergeCell ref="TRQ11:TSB11"/>
    <mergeCell ref="TSC11:TSN11"/>
    <mergeCell ref="TSO11:TSZ11"/>
    <mergeCell ref="TTA11:TTL11"/>
    <mergeCell ref="TNY11:TOJ11"/>
    <mergeCell ref="TOK11:TOV11"/>
    <mergeCell ref="TOW11:TPH11"/>
    <mergeCell ref="TPI11:TPT11"/>
    <mergeCell ref="TPU11:TQF11"/>
    <mergeCell ref="TQG11:TQR11"/>
    <mergeCell ref="TLE11:TLP11"/>
    <mergeCell ref="TLQ11:TMB11"/>
    <mergeCell ref="TMC11:TMN11"/>
    <mergeCell ref="TMO11:TMZ11"/>
    <mergeCell ref="TNA11:TNL11"/>
    <mergeCell ref="TNM11:TNX11"/>
    <mergeCell ref="TIK11:TIV11"/>
    <mergeCell ref="TIW11:TJH11"/>
    <mergeCell ref="TJI11:TJT11"/>
    <mergeCell ref="TJU11:TKF11"/>
    <mergeCell ref="TKG11:TKR11"/>
    <mergeCell ref="TKS11:TLD11"/>
    <mergeCell ref="TFQ11:TGB11"/>
    <mergeCell ref="TGC11:TGN11"/>
    <mergeCell ref="TGO11:TGZ11"/>
    <mergeCell ref="THA11:THL11"/>
    <mergeCell ref="THM11:THX11"/>
    <mergeCell ref="THY11:TIJ11"/>
    <mergeCell ref="TCW11:TDH11"/>
    <mergeCell ref="TDI11:TDT11"/>
    <mergeCell ref="TDU11:TEF11"/>
    <mergeCell ref="TEG11:TER11"/>
    <mergeCell ref="TES11:TFD11"/>
    <mergeCell ref="TFE11:TFP11"/>
    <mergeCell ref="TAC11:TAN11"/>
    <mergeCell ref="TAO11:TAZ11"/>
    <mergeCell ref="TBA11:TBL11"/>
    <mergeCell ref="TBM11:TBX11"/>
    <mergeCell ref="TBY11:TCJ11"/>
    <mergeCell ref="TCK11:TCV11"/>
    <mergeCell ref="SXI11:SXT11"/>
    <mergeCell ref="SXU11:SYF11"/>
    <mergeCell ref="SYG11:SYR11"/>
    <mergeCell ref="SYS11:SZD11"/>
    <mergeCell ref="SZE11:SZP11"/>
    <mergeCell ref="SZQ11:TAB11"/>
    <mergeCell ref="SUO11:SUZ11"/>
    <mergeCell ref="SVA11:SVL11"/>
    <mergeCell ref="SVM11:SVX11"/>
    <mergeCell ref="SVY11:SWJ11"/>
    <mergeCell ref="SWK11:SWV11"/>
    <mergeCell ref="SWW11:SXH11"/>
    <mergeCell ref="SRU11:SSF11"/>
    <mergeCell ref="SSG11:SSR11"/>
    <mergeCell ref="SSS11:STD11"/>
    <mergeCell ref="STE11:STP11"/>
    <mergeCell ref="STQ11:SUB11"/>
    <mergeCell ref="SUC11:SUN11"/>
    <mergeCell ref="SPA11:SPL11"/>
    <mergeCell ref="SPM11:SPX11"/>
    <mergeCell ref="SPY11:SQJ11"/>
    <mergeCell ref="SQK11:SQV11"/>
    <mergeCell ref="SQW11:SRH11"/>
    <mergeCell ref="SRI11:SRT11"/>
    <mergeCell ref="SMG11:SMR11"/>
    <mergeCell ref="SMS11:SND11"/>
    <mergeCell ref="SNE11:SNP11"/>
    <mergeCell ref="SNQ11:SOB11"/>
    <mergeCell ref="SOC11:SON11"/>
    <mergeCell ref="SOO11:SOZ11"/>
    <mergeCell ref="SJM11:SJX11"/>
    <mergeCell ref="SJY11:SKJ11"/>
    <mergeCell ref="SKK11:SKV11"/>
    <mergeCell ref="SKW11:SLH11"/>
    <mergeCell ref="SLI11:SLT11"/>
    <mergeCell ref="SLU11:SMF11"/>
    <mergeCell ref="SGS11:SHD11"/>
    <mergeCell ref="SHE11:SHP11"/>
    <mergeCell ref="SHQ11:SIB11"/>
    <mergeCell ref="SIC11:SIN11"/>
    <mergeCell ref="SIO11:SIZ11"/>
    <mergeCell ref="SJA11:SJL11"/>
    <mergeCell ref="SDY11:SEJ11"/>
    <mergeCell ref="SEK11:SEV11"/>
    <mergeCell ref="SEW11:SFH11"/>
    <mergeCell ref="SFI11:SFT11"/>
    <mergeCell ref="SFU11:SGF11"/>
    <mergeCell ref="SGG11:SGR11"/>
    <mergeCell ref="SBE11:SBP11"/>
    <mergeCell ref="SBQ11:SCB11"/>
    <mergeCell ref="SCC11:SCN11"/>
    <mergeCell ref="SCO11:SCZ11"/>
    <mergeCell ref="SDA11:SDL11"/>
    <mergeCell ref="SDM11:SDX11"/>
    <mergeCell ref="RYK11:RYV11"/>
    <mergeCell ref="RYW11:RZH11"/>
    <mergeCell ref="RZI11:RZT11"/>
    <mergeCell ref="RZU11:SAF11"/>
    <mergeCell ref="SAG11:SAR11"/>
    <mergeCell ref="SAS11:SBD11"/>
    <mergeCell ref="RVQ11:RWB11"/>
    <mergeCell ref="RWC11:RWN11"/>
    <mergeCell ref="RWO11:RWZ11"/>
    <mergeCell ref="RXA11:RXL11"/>
    <mergeCell ref="RXM11:RXX11"/>
    <mergeCell ref="RXY11:RYJ11"/>
    <mergeCell ref="RSW11:RTH11"/>
    <mergeCell ref="RTI11:RTT11"/>
    <mergeCell ref="RTU11:RUF11"/>
    <mergeCell ref="RUG11:RUR11"/>
    <mergeCell ref="RUS11:RVD11"/>
    <mergeCell ref="RVE11:RVP11"/>
    <mergeCell ref="RQC11:RQN11"/>
    <mergeCell ref="RQO11:RQZ11"/>
    <mergeCell ref="RRA11:RRL11"/>
    <mergeCell ref="RRM11:RRX11"/>
    <mergeCell ref="RRY11:RSJ11"/>
    <mergeCell ref="RSK11:RSV11"/>
    <mergeCell ref="RNI11:RNT11"/>
    <mergeCell ref="RNU11:ROF11"/>
    <mergeCell ref="ROG11:ROR11"/>
    <mergeCell ref="ROS11:RPD11"/>
    <mergeCell ref="RPE11:RPP11"/>
    <mergeCell ref="RPQ11:RQB11"/>
    <mergeCell ref="RKO11:RKZ11"/>
    <mergeCell ref="RLA11:RLL11"/>
    <mergeCell ref="RLM11:RLX11"/>
    <mergeCell ref="RLY11:RMJ11"/>
    <mergeCell ref="RMK11:RMV11"/>
    <mergeCell ref="RMW11:RNH11"/>
    <mergeCell ref="RHU11:RIF11"/>
    <mergeCell ref="RIG11:RIR11"/>
    <mergeCell ref="RIS11:RJD11"/>
    <mergeCell ref="RJE11:RJP11"/>
    <mergeCell ref="RJQ11:RKB11"/>
    <mergeCell ref="RKC11:RKN11"/>
    <mergeCell ref="RFA11:RFL11"/>
    <mergeCell ref="RFM11:RFX11"/>
    <mergeCell ref="RFY11:RGJ11"/>
    <mergeCell ref="RGK11:RGV11"/>
    <mergeCell ref="RGW11:RHH11"/>
    <mergeCell ref="RHI11:RHT11"/>
    <mergeCell ref="RCG11:RCR11"/>
    <mergeCell ref="RCS11:RDD11"/>
    <mergeCell ref="RDE11:RDP11"/>
    <mergeCell ref="RDQ11:REB11"/>
    <mergeCell ref="REC11:REN11"/>
    <mergeCell ref="REO11:REZ11"/>
    <mergeCell ref="QZM11:QZX11"/>
    <mergeCell ref="QZY11:RAJ11"/>
    <mergeCell ref="RAK11:RAV11"/>
    <mergeCell ref="RAW11:RBH11"/>
    <mergeCell ref="RBI11:RBT11"/>
    <mergeCell ref="RBU11:RCF11"/>
    <mergeCell ref="QWS11:QXD11"/>
    <mergeCell ref="QXE11:QXP11"/>
    <mergeCell ref="QXQ11:QYB11"/>
    <mergeCell ref="QYC11:QYN11"/>
    <mergeCell ref="QYO11:QYZ11"/>
    <mergeCell ref="QZA11:QZL11"/>
    <mergeCell ref="QTY11:QUJ11"/>
    <mergeCell ref="QUK11:QUV11"/>
    <mergeCell ref="QUW11:QVH11"/>
    <mergeCell ref="QVI11:QVT11"/>
    <mergeCell ref="QVU11:QWF11"/>
    <mergeCell ref="QWG11:QWR11"/>
    <mergeCell ref="QRE11:QRP11"/>
    <mergeCell ref="QRQ11:QSB11"/>
    <mergeCell ref="QSC11:QSN11"/>
    <mergeCell ref="QSO11:QSZ11"/>
    <mergeCell ref="QTA11:QTL11"/>
    <mergeCell ref="QTM11:QTX11"/>
    <mergeCell ref="QOK11:QOV11"/>
    <mergeCell ref="QOW11:QPH11"/>
    <mergeCell ref="QPI11:QPT11"/>
    <mergeCell ref="QPU11:QQF11"/>
    <mergeCell ref="QQG11:QQR11"/>
    <mergeCell ref="QQS11:QRD11"/>
    <mergeCell ref="QLQ11:QMB11"/>
    <mergeCell ref="QMC11:QMN11"/>
    <mergeCell ref="QMO11:QMZ11"/>
    <mergeCell ref="QNA11:QNL11"/>
    <mergeCell ref="QNM11:QNX11"/>
    <mergeCell ref="QNY11:QOJ11"/>
    <mergeCell ref="QIW11:QJH11"/>
    <mergeCell ref="QJI11:QJT11"/>
    <mergeCell ref="QJU11:QKF11"/>
    <mergeCell ref="QKG11:QKR11"/>
    <mergeCell ref="QKS11:QLD11"/>
    <mergeCell ref="QLE11:QLP11"/>
    <mergeCell ref="QGC11:QGN11"/>
    <mergeCell ref="QGO11:QGZ11"/>
    <mergeCell ref="QHA11:QHL11"/>
    <mergeCell ref="QHM11:QHX11"/>
    <mergeCell ref="QHY11:QIJ11"/>
    <mergeCell ref="QIK11:QIV11"/>
    <mergeCell ref="QDI11:QDT11"/>
    <mergeCell ref="QDU11:QEF11"/>
    <mergeCell ref="QEG11:QER11"/>
    <mergeCell ref="QES11:QFD11"/>
    <mergeCell ref="QFE11:QFP11"/>
    <mergeCell ref="QFQ11:QGB11"/>
    <mergeCell ref="QAO11:QAZ11"/>
    <mergeCell ref="QBA11:QBL11"/>
    <mergeCell ref="QBM11:QBX11"/>
    <mergeCell ref="QBY11:QCJ11"/>
    <mergeCell ref="QCK11:QCV11"/>
    <mergeCell ref="QCW11:QDH11"/>
    <mergeCell ref="PXU11:PYF11"/>
    <mergeCell ref="PYG11:PYR11"/>
    <mergeCell ref="PYS11:PZD11"/>
    <mergeCell ref="PZE11:PZP11"/>
    <mergeCell ref="PZQ11:QAB11"/>
    <mergeCell ref="QAC11:QAN11"/>
    <mergeCell ref="PVA11:PVL11"/>
    <mergeCell ref="PVM11:PVX11"/>
    <mergeCell ref="PVY11:PWJ11"/>
    <mergeCell ref="PWK11:PWV11"/>
    <mergeCell ref="PWW11:PXH11"/>
    <mergeCell ref="PXI11:PXT11"/>
    <mergeCell ref="PSG11:PSR11"/>
    <mergeCell ref="PSS11:PTD11"/>
    <mergeCell ref="PTE11:PTP11"/>
    <mergeCell ref="PTQ11:PUB11"/>
    <mergeCell ref="PUC11:PUN11"/>
    <mergeCell ref="PUO11:PUZ11"/>
    <mergeCell ref="PPM11:PPX11"/>
    <mergeCell ref="PPY11:PQJ11"/>
    <mergeCell ref="PQK11:PQV11"/>
    <mergeCell ref="PQW11:PRH11"/>
    <mergeCell ref="PRI11:PRT11"/>
    <mergeCell ref="PRU11:PSF11"/>
    <mergeCell ref="PMS11:PND11"/>
    <mergeCell ref="PNE11:PNP11"/>
    <mergeCell ref="PNQ11:POB11"/>
    <mergeCell ref="POC11:PON11"/>
    <mergeCell ref="POO11:POZ11"/>
    <mergeCell ref="PPA11:PPL11"/>
    <mergeCell ref="PJY11:PKJ11"/>
    <mergeCell ref="PKK11:PKV11"/>
    <mergeCell ref="PKW11:PLH11"/>
    <mergeCell ref="PLI11:PLT11"/>
    <mergeCell ref="PLU11:PMF11"/>
    <mergeCell ref="PMG11:PMR11"/>
    <mergeCell ref="PHE11:PHP11"/>
    <mergeCell ref="PHQ11:PIB11"/>
    <mergeCell ref="PIC11:PIN11"/>
    <mergeCell ref="PIO11:PIZ11"/>
    <mergeCell ref="PJA11:PJL11"/>
    <mergeCell ref="PJM11:PJX11"/>
    <mergeCell ref="PEK11:PEV11"/>
    <mergeCell ref="PEW11:PFH11"/>
    <mergeCell ref="PFI11:PFT11"/>
    <mergeCell ref="PFU11:PGF11"/>
    <mergeCell ref="PGG11:PGR11"/>
    <mergeCell ref="PGS11:PHD11"/>
    <mergeCell ref="PBQ11:PCB11"/>
    <mergeCell ref="PCC11:PCN11"/>
    <mergeCell ref="PCO11:PCZ11"/>
    <mergeCell ref="PDA11:PDL11"/>
    <mergeCell ref="PDM11:PDX11"/>
    <mergeCell ref="PDY11:PEJ11"/>
    <mergeCell ref="OYW11:OZH11"/>
    <mergeCell ref="OZI11:OZT11"/>
    <mergeCell ref="OZU11:PAF11"/>
    <mergeCell ref="PAG11:PAR11"/>
    <mergeCell ref="PAS11:PBD11"/>
    <mergeCell ref="PBE11:PBP11"/>
    <mergeCell ref="OWC11:OWN11"/>
    <mergeCell ref="OWO11:OWZ11"/>
    <mergeCell ref="OXA11:OXL11"/>
    <mergeCell ref="OXM11:OXX11"/>
    <mergeCell ref="OXY11:OYJ11"/>
    <mergeCell ref="OYK11:OYV11"/>
    <mergeCell ref="OTI11:OTT11"/>
    <mergeCell ref="OTU11:OUF11"/>
    <mergeCell ref="OUG11:OUR11"/>
    <mergeCell ref="OUS11:OVD11"/>
    <mergeCell ref="OVE11:OVP11"/>
    <mergeCell ref="OVQ11:OWB11"/>
    <mergeCell ref="OQO11:OQZ11"/>
    <mergeCell ref="ORA11:ORL11"/>
    <mergeCell ref="ORM11:ORX11"/>
    <mergeCell ref="ORY11:OSJ11"/>
    <mergeCell ref="OSK11:OSV11"/>
    <mergeCell ref="OSW11:OTH11"/>
    <mergeCell ref="ONU11:OOF11"/>
    <mergeCell ref="OOG11:OOR11"/>
    <mergeCell ref="OOS11:OPD11"/>
    <mergeCell ref="OPE11:OPP11"/>
    <mergeCell ref="OPQ11:OQB11"/>
    <mergeCell ref="OQC11:OQN11"/>
    <mergeCell ref="OLA11:OLL11"/>
    <mergeCell ref="OLM11:OLX11"/>
    <mergeCell ref="OLY11:OMJ11"/>
    <mergeCell ref="OMK11:OMV11"/>
    <mergeCell ref="OMW11:ONH11"/>
    <mergeCell ref="ONI11:ONT11"/>
    <mergeCell ref="OIG11:OIR11"/>
    <mergeCell ref="OIS11:OJD11"/>
    <mergeCell ref="OJE11:OJP11"/>
    <mergeCell ref="OJQ11:OKB11"/>
    <mergeCell ref="OKC11:OKN11"/>
    <mergeCell ref="OKO11:OKZ11"/>
    <mergeCell ref="OFM11:OFX11"/>
    <mergeCell ref="OFY11:OGJ11"/>
    <mergeCell ref="OGK11:OGV11"/>
    <mergeCell ref="OGW11:OHH11"/>
    <mergeCell ref="OHI11:OHT11"/>
    <mergeCell ref="OHU11:OIF11"/>
    <mergeCell ref="OCS11:ODD11"/>
    <mergeCell ref="ODE11:ODP11"/>
    <mergeCell ref="ODQ11:OEB11"/>
    <mergeCell ref="OEC11:OEN11"/>
    <mergeCell ref="OEO11:OEZ11"/>
    <mergeCell ref="OFA11:OFL11"/>
    <mergeCell ref="NZY11:OAJ11"/>
    <mergeCell ref="OAK11:OAV11"/>
    <mergeCell ref="OAW11:OBH11"/>
    <mergeCell ref="OBI11:OBT11"/>
    <mergeCell ref="OBU11:OCF11"/>
    <mergeCell ref="OCG11:OCR11"/>
    <mergeCell ref="NXE11:NXP11"/>
    <mergeCell ref="NXQ11:NYB11"/>
    <mergeCell ref="NYC11:NYN11"/>
    <mergeCell ref="NYO11:NYZ11"/>
    <mergeCell ref="NZA11:NZL11"/>
    <mergeCell ref="NZM11:NZX11"/>
    <mergeCell ref="NUK11:NUV11"/>
    <mergeCell ref="NUW11:NVH11"/>
    <mergeCell ref="NVI11:NVT11"/>
    <mergeCell ref="NVU11:NWF11"/>
    <mergeCell ref="NWG11:NWR11"/>
    <mergeCell ref="NWS11:NXD11"/>
    <mergeCell ref="NRQ11:NSB11"/>
    <mergeCell ref="NSC11:NSN11"/>
    <mergeCell ref="NSO11:NSZ11"/>
    <mergeCell ref="NTA11:NTL11"/>
    <mergeCell ref="NTM11:NTX11"/>
    <mergeCell ref="NTY11:NUJ11"/>
    <mergeCell ref="NOW11:NPH11"/>
    <mergeCell ref="NPI11:NPT11"/>
    <mergeCell ref="NPU11:NQF11"/>
    <mergeCell ref="NQG11:NQR11"/>
    <mergeCell ref="NQS11:NRD11"/>
    <mergeCell ref="NRE11:NRP11"/>
    <mergeCell ref="NMC11:NMN11"/>
    <mergeCell ref="NMO11:NMZ11"/>
    <mergeCell ref="NNA11:NNL11"/>
    <mergeCell ref="NNM11:NNX11"/>
    <mergeCell ref="NNY11:NOJ11"/>
    <mergeCell ref="NOK11:NOV11"/>
    <mergeCell ref="NJI11:NJT11"/>
    <mergeCell ref="NJU11:NKF11"/>
    <mergeCell ref="NKG11:NKR11"/>
    <mergeCell ref="NKS11:NLD11"/>
    <mergeCell ref="NLE11:NLP11"/>
    <mergeCell ref="NLQ11:NMB11"/>
    <mergeCell ref="NGO11:NGZ11"/>
    <mergeCell ref="NHA11:NHL11"/>
    <mergeCell ref="NHM11:NHX11"/>
    <mergeCell ref="NHY11:NIJ11"/>
    <mergeCell ref="NIK11:NIV11"/>
    <mergeCell ref="NIW11:NJH11"/>
    <mergeCell ref="NDU11:NEF11"/>
    <mergeCell ref="NEG11:NER11"/>
    <mergeCell ref="NES11:NFD11"/>
    <mergeCell ref="NFE11:NFP11"/>
    <mergeCell ref="NFQ11:NGB11"/>
    <mergeCell ref="NGC11:NGN11"/>
    <mergeCell ref="NBA11:NBL11"/>
    <mergeCell ref="NBM11:NBX11"/>
    <mergeCell ref="NBY11:NCJ11"/>
    <mergeCell ref="NCK11:NCV11"/>
    <mergeCell ref="NCW11:NDH11"/>
    <mergeCell ref="NDI11:NDT11"/>
    <mergeCell ref="MYG11:MYR11"/>
    <mergeCell ref="MYS11:MZD11"/>
    <mergeCell ref="MZE11:MZP11"/>
    <mergeCell ref="MZQ11:NAB11"/>
    <mergeCell ref="NAC11:NAN11"/>
    <mergeCell ref="NAO11:NAZ11"/>
    <mergeCell ref="MVM11:MVX11"/>
    <mergeCell ref="MVY11:MWJ11"/>
    <mergeCell ref="MWK11:MWV11"/>
    <mergeCell ref="MWW11:MXH11"/>
    <mergeCell ref="MXI11:MXT11"/>
    <mergeCell ref="MXU11:MYF11"/>
    <mergeCell ref="MSS11:MTD11"/>
    <mergeCell ref="MTE11:MTP11"/>
    <mergeCell ref="MTQ11:MUB11"/>
    <mergeCell ref="MUC11:MUN11"/>
    <mergeCell ref="MUO11:MUZ11"/>
    <mergeCell ref="MVA11:MVL11"/>
    <mergeCell ref="MPY11:MQJ11"/>
    <mergeCell ref="MQK11:MQV11"/>
    <mergeCell ref="MQW11:MRH11"/>
    <mergeCell ref="MRI11:MRT11"/>
    <mergeCell ref="MRU11:MSF11"/>
    <mergeCell ref="MSG11:MSR11"/>
    <mergeCell ref="MNE11:MNP11"/>
    <mergeCell ref="MNQ11:MOB11"/>
    <mergeCell ref="MOC11:MON11"/>
    <mergeCell ref="MOO11:MOZ11"/>
    <mergeCell ref="MPA11:MPL11"/>
    <mergeCell ref="MPM11:MPX11"/>
    <mergeCell ref="MKK11:MKV11"/>
    <mergeCell ref="MKW11:MLH11"/>
    <mergeCell ref="MLI11:MLT11"/>
    <mergeCell ref="MLU11:MMF11"/>
    <mergeCell ref="MMG11:MMR11"/>
    <mergeCell ref="MMS11:MND11"/>
    <mergeCell ref="MHQ11:MIB11"/>
    <mergeCell ref="MIC11:MIN11"/>
    <mergeCell ref="MIO11:MIZ11"/>
    <mergeCell ref="MJA11:MJL11"/>
    <mergeCell ref="MJM11:MJX11"/>
    <mergeCell ref="MJY11:MKJ11"/>
    <mergeCell ref="MEW11:MFH11"/>
    <mergeCell ref="MFI11:MFT11"/>
    <mergeCell ref="MFU11:MGF11"/>
    <mergeCell ref="MGG11:MGR11"/>
    <mergeCell ref="MGS11:MHD11"/>
    <mergeCell ref="MHE11:MHP11"/>
    <mergeCell ref="MCC11:MCN11"/>
    <mergeCell ref="MCO11:MCZ11"/>
    <mergeCell ref="MDA11:MDL11"/>
    <mergeCell ref="MDM11:MDX11"/>
    <mergeCell ref="MDY11:MEJ11"/>
    <mergeCell ref="MEK11:MEV11"/>
    <mergeCell ref="LZI11:LZT11"/>
    <mergeCell ref="LZU11:MAF11"/>
    <mergeCell ref="MAG11:MAR11"/>
    <mergeCell ref="MAS11:MBD11"/>
    <mergeCell ref="MBE11:MBP11"/>
    <mergeCell ref="MBQ11:MCB11"/>
    <mergeCell ref="LWO11:LWZ11"/>
    <mergeCell ref="LXA11:LXL11"/>
    <mergeCell ref="LXM11:LXX11"/>
    <mergeCell ref="LXY11:LYJ11"/>
    <mergeCell ref="LYK11:LYV11"/>
    <mergeCell ref="LYW11:LZH11"/>
    <mergeCell ref="LTU11:LUF11"/>
    <mergeCell ref="LUG11:LUR11"/>
    <mergeCell ref="LUS11:LVD11"/>
    <mergeCell ref="LVE11:LVP11"/>
    <mergeCell ref="LVQ11:LWB11"/>
    <mergeCell ref="LWC11:LWN11"/>
    <mergeCell ref="LRA11:LRL11"/>
    <mergeCell ref="LRM11:LRX11"/>
    <mergeCell ref="LRY11:LSJ11"/>
    <mergeCell ref="LSK11:LSV11"/>
    <mergeCell ref="LSW11:LTH11"/>
    <mergeCell ref="LTI11:LTT11"/>
    <mergeCell ref="LOG11:LOR11"/>
    <mergeCell ref="LOS11:LPD11"/>
    <mergeCell ref="LPE11:LPP11"/>
    <mergeCell ref="LPQ11:LQB11"/>
    <mergeCell ref="LQC11:LQN11"/>
    <mergeCell ref="LQO11:LQZ11"/>
    <mergeCell ref="LLM11:LLX11"/>
    <mergeCell ref="LLY11:LMJ11"/>
    <mergeCell ref="LMK11:LMV11"/>
    <mergeCell ref="LMW11:LNH11"/>
    <mergeCell ref="LNI11:LNT11"/>
    <mergeCell ref="LNU11:LOF11"/>
    <mergeCell ref="LIS11:LJD11"/>
    <mergeCell ref="LJE11:LJP11"/>
    <mergeCell ref="LJQ11:LKB11"/>
    <mergeCell ref="LKC11:LKN11"/>
    <mergeCell ref="LKO11:LKZ11"/>
    <mergeCell ref="LLA11:LLL11"/>
    <mergeCell ref="LFY11:LGJ11"/>
    <mergeCell ref="LGK11:LGV11"/>
    <mergeCell ref="LGW11:LHH11"/>
    <mergeCell ref="LHI11:LHT11"/>
    <mergeCell ref="LHU11:LIF11"/>
    <mergeCell ref="LIG11:LIR11"/>
    <mergeCell ref="LDE11:LDP11"/>
    <mergeCell ref="LDQ11:LEB11"/>
    <mergeCell ref="LEC11:LEN11"/>
    <mergeCell ref="LEO11:LEZ11"/>
    <mergeCell ref="LFA11:LFL11"/>
    <mergeCell ref="LFM11:LFX11"/>
    <mergeCell ref="LAK11:LAV11"/>
    <mergeCell ref="LAW11:LBH11"/>
    <mergeCell ref="LBI11:LBT11"/>
    <mergeCell ref="LBU11:LCF11"/>
    <mergeCell ref="LCG11:LCR11"/>
    <mergeCell ref="LCS11:LDD11"/>
    <mergeCell ref="KXQ11:KYB11"/>
    <mergeCell ref="KYC11:KYN11"/>
    <mergeCell ref="KYO11:KYZ11"/>
    <mergeCell ref="KZA11:KZL11"/>
    <mergeCell ref="KZM11:KZX11"/>
    <mergeCell ref="KZY11:LAJ11"/>
    <mergeCell ref="KUW11:KVH11"/>
    <mergeCell ref="KVI11:KVT11"/>
    <mergeCell ref="KVU11:KWF11"/>
    <mergeCell ref="KWG11:KWR11"/>
    <mergeCell ref="KWS11:KXD11"/>
    <mergeCell ref="KXE11:KXP11"/>
    <mergeCell ref="KSC11:KSN11"/>
    <mergeCell ref="KSO11:KSZ11"/>
    <mergeCell ref="KTA11:KTL11"/>
    <mergeCell ref="KTM11:KTX11"/>
    <mergeCell ref="KTY11:KUJ11"/>
    <mergeCell ref="KUK11:KUV11"/>
    <mergeCell ref="KPI11:KPT11"/>
    <mergeCell ref="KPU11:KQF11"/>
    <mergeCell ref="KQG11:KQR11"/>
    <mergeCell ref="KQS11:KRD11"/>
    <mergeCell ref="KRE11:KRP11"/>
    <mergeCell ref="KRQ11:KSB11"/>
    <mergeCell ref="KMO11:KMZ11"/>
    <mergeCell ref="KNA11:KNL11"/>
    <mergeCell ref="KNM11:KNX11"/>
    <mergeCell ref="KNY11:KOJ11"/>
    <mergeCell ref="KOK11:KOV11"/>
    <mergeCell ref="KOW11:KPH11"/>
    <mergeCell ref="KJU11:KKF11"/>
    <mergeCell ref="KKG11:KKR11"/>
    <mergeCell ref="KKS11:KLD11"/>
    <mergeCell ref="KLE11:KLP11"/>
    <mergeCell ref="KLQ11:KMB11"/>
    <mergeCell ref="KMC11:KMN11"/>
    <mergeCell ref="KHA11:KHL11"/>
    <mergeCell ref="KHM11:KHX11"/>
    <mergeCell ref="KHY11:KIJ11"/>
    <mergeCell ref="KIK11:KIV11"/>
    <mergeCell ref="KIW11:KJH11"/>
    <mergeCell ref="KJI11:KJT11"/>
    <mergeCell ref="KEG11:KER11"/>
    <mergeCell ref="KES11:KFD11"/>
    <mergeCell ref="KFE11:KFP11"/>
    <mergeCell ref="KFQ11:KGB11"/>
    <mergeCell ref="KGC11:KGN11"/>
    <mergeCell ref="KGO11:KGZ11"/>
    <mergeCell ref="KBM11:KBX11"/>
    <mergeCell ref="KBY11:KCJ11"/>
    <mergeCell ref="KCK11:KCV11"/>
    <mergeCell ref="KCW11:KDH11"/>
    <mergeCell ref="KDI11:KDT11"/>
    <mergeCell ref="KDU11:KEF11"/>
    <mergeCell ref="JYS11:JZD11"/>
    <mergeCell ref="JZE11:JZP11"/>
    <mergeCell ref="JZQ11:KAB11"/>
    <mergeCell ref="KAC11:KAN11"/>
    <mergeCell ref="KAO11:KAZ11"/>
    <mergeCell ref="KBA11:KBL11"/>
    <mergeCell ref="JVY11:JWJ11"/>
    <mergeCell ref="JWK11:JWV11"/>
    <mergeCell ref="JWW11:JXH11"/>
    <mergeCell ref="JXI11:JXT11"/>
    <mergeCell ref="JXU11:JYF11"/>
    <mergeCell ref="JYG11:JYR11"/>
    <mergeCell ref="JTE11:JTP11"/>
    <mergeCell ref="JTQ11:JUB11"/>
    <mergeCell ref="JUC11:JUN11"/>
    <mergeCell ref="JUO11:JUZ11"/>
    <mergeCell ref="JVA11:JVL11"/>
    <mergeCell ref="JVM11:JVX11"/>
    <mergeCell ref="JQK11:JQV11"/>
    <mergeCell ref="JQW11:JRH11"/>
    <mergeCell ref="JRI11:JRT11"/>
    <mergeCell ref="JRU11:JSF11"/>
    <mergeCell ref="JSG11:JSR11"/>
    <mergeCell ref="JSS11:JTD11"/>
    <mergeCell ref="JNQ11:JOB11"/>
    <mergeCell ref="JOC11:JON11"/>
    <mergeCell ref="JOO11:JOZ11"/>
    <mergeCell ref="JPA11:JPL11"/>
    <mergeCell ref="JPM11:JPX11"/>
    <mergeCell ref="JPY11:JQJ11"/>
    <mergeCell ref="JKW11:JLH11"/>
    <mergeCell ref="JLI11:JLT11"/>
    <mergeCell ref="JLU11:JMF11"/>
    <mergeCell ref="JMG11:JMR11"/>
    <mergeCell ref="JMS11:JND11"/>
    <mergeCell ref="JNE11:JNP11"/>
    <mergeCell ref="JIC11:JIN11"/>
    <mergeCell ref="JIO11:JIZ11"/>
    <mergeCell ref="JJA11:JJL11"/>
    <mergeCell ref="JJM11:JJX11"/>
    <mergeCell ref="JJY11:JKJ11"/>
    <mergeCell ref="JKK11:JKV11"/>
    <mergeCell ref="JFI11:JFT11"/>
    <mergeCell ref="JFU11:JGF11"/>
    <mergeCell ref="JGG11:JGR11"/>
    <mergeCell ref="JGS11:JHD11"/>
    <mergeCell ref="JHE11:JHP11"/>
    <mergeCell ref="JHQ11:JIB11"/>
    <mergeCell ref="JCO11:JCZ11"/>
    <mergeCell ref="JDA11:JDL11"/>
    <mergeCell ref="JDM11:JDX11"/>
    <mergeCell ref="JDY11:JEJ11"/>
    <mergeCell ref="JEK11:JEV11"/>
    <mergeCell ref="JEW11:JFH11"/>
    <mergeCell ref="IZU11:JAF11"/>
    <mergeCell ref="JAG11:JAR11"/>
    <mergeCell ref="JAS11:JBD11"/>
    <mergeCell ref="JBE11:JBP11"/>
    <mergeCell ref="JBQ11:JCB11"/>
    <mergeCell ref="JCC11:JCN11"/>
    <mergeCell ref="IXA11:IXL11"/>
    <mergeCell ref="IXM11:IXX11"/>
    <mergeCell ref="IXY11:IYJ11"/>
    <mergeCell ref="IYK11:IYV11"/>
    <mergeCell ref="IYW11:IZH11"/>
    <mergeCell ref="IZI11:IZT11"/>
    <mergeCell ref="IUG11:IUR11"/>
    <mergeCell ref="IUS11:IVD11"/>
    <mergeCell ref="IVE11:IVP11"/>
    <mergeCell ref="IVQ11:IWB11"/>
    <mergeCell ref="IWC11:IWN11"/>
    <mergeCell ref="IWO11:IWZ11"/>
    <mergeCell ref="IRM11:IRX11"/>
    <mergeCell ref="IRY11:ISJ11"/>
    <mergeCell ref="ISK11:ISV11"/>
    <mergeCell ref="ISW11:ITH11"/>
    <mergeCell ref="ITI11:ITT11"/>
    <mergeCell ref="ITU11:IUF11"/>
    <mergeCell ref="IOS11:IPD11"/>
    <mergeCell ref="IPE11:IPP11"/>
    <mergeCell ref="IPQ11:IQB11"/>
    <mergeCell ref="IQC11:IQN11"/>
    <mergeCell ref="IQO11:IQZ11"/>
    <mergeCell ref="IRA11:IRL11"/>
    <mergeCell ref="ILY11:IMJ11"/>
    <mergeCell ref="IMK11:IMV11"/>
    <mergeCell ref="IMW11:INH11"/>
    <mergeCell ref="INI11:INT11"/>
    <mergeCell ref="INU11:IOF11"/>
    <mergeCell ref="IOG11:IOR11"/>
    <mergeCell ref="IJE11:IJP11"/>
    <mergeCell ref="IJQ11:IKB11"/>
    <mergeCell ref="IKC11:IKN11"/>
    <mergeCell ref="IKO11:IKZ11"/>
    <mergeCell ref="ILA11:ILL11"/>
    <mergeCell ref="ILM11:ILX11"/>
    <mergeCell ref="IGK11:IGV11"/>
    <mergeCell ref="IGW11:IHH11"/>
    <mergeCell ref="IHI11:IHT11"/>
    <mergeCell ref="IHU11:IIF11"/>
    <mergeCell ref="IIG11:IIR11"/>
    <mergeCell ref="IIS11:IJD11"/>
    <mergeCell ref="IDQ11:IEB11"/>
    <mergeCell ref="IEC11:IEN11"/>
    <mergeCell ref="IEO11:IEZ11"/>
    <mergeCell ref="IFA11:IFL11"/>
    <mergeCell ref="IFM11:IFX11"/>
    <mergeCell ref="IFY11:IGJ11"/>
    <mergeCell ref="IAW11:IBH11"/>
    <mergeCell ref="IBI11:IBT11"/>
    <mergeCell ref="IBU11:ICF11"/>
    <mergeCell ref="ICG11:ICR11"/>
    <mergeCell ref="ICS11:IDD11"/>
    <mergeCell ref="IDE11:IDP11"/>
    <mergeCell ref="HYC11:HYN11"/>
    <mergeCell ref="HYO11:HYZ11"/>
    <mergeCell ref="HZA11:HZL11"/>
    <mergeCell ref="HZM11:HZX11"/>
    <mergeCell ref="HZY11:IAJ11"/>
    <mergeCell ref="IAK11:IAV11"/>
    <mergeCell ref="HVI11:HVT11"/>
    <mergeCell ref="HVU11:HWF11"/>
    <mergeCell ref="HWG11:HWR11"/>
    <mergeCell ref="HWS11:HXD11"/>
    <mergeCell ref="HXE11:HXP11"/>
    <mergeCell ref="HXQ11:HYB11"/>
    <mergeCell ref="HSO11:HSZ11"/>
    <mergeCell ref="HTA11:HTL11"/>
    <mergeCell ref="HTM11:HTX11"/>
    <mergeCell ref="HTY11:HUJ11"/>
    <mergeCell ref="HUK11:HUV11"/>
    <mergeCell ref="HUW11:HVH11"/>
    <mergeCell ref="HPU11:HQF11"/>
    <mergeCell ref="HQG11:HQR11"/>
    <mergeCell ref="HQS11:HRD11"/>
    <mergeCell ref="HRE11:HRP11"/>
    <mergeCell ref="HRQ11:HSB11"/>
    <mergeCell ref="HSC11:HSN11"/>
    <mergeCell ref="HNA11:HNL11"/>
    <mergeCell ref="HNM11:HNX11"/>
    <mergeCell ref="HNY11:HOJ11"/>
    <mergeCell ref="HOK11:HOV11"/>
    <mergeCell ref="HOW11:HPH11"/>
    <mergeCell ref="HPI11:HPT11"/>
    <mergeCell ref="HKG11:HKR11"/>
    <mergeCell ref="HKS11:HLD11"/>
    <mergeCell ref="HLE11:HLP11"/>
    <mergeCell ref="HLQ11:HMB11"/>
    <mergeCell ref="HMC11:HMN11"/>
    <mergeCell ref="HMO11:HMZ11"/>
    <mergeCell ref="HHM11:HHX11"/>
    <mergeCell ref="HHY11:HIJ11"/>
    <mergeCell ref="HIK11:HIV11"/>
    <mergeCell ref="HIW11:HJH11"/>
    <mergeCell ref="HJI11:HJT11"/>
    <mergeCell ref="HJU11:HKF11"/>
    <mergeCell ref="HES11:HFD11"/>
    <mergeCell ref="HFE11:HFP11"/>
    <mergeCell ref="HFQ11:HGB11"/>
    <mergeCell ref="HGC11:HGN11"/>
    <mergeCell ref="HGO11:HGZ11"/>
    <mergeCell ref="HHA11:HHL11"/>
    <mergeCell ref="HBY11:HCJ11"/>
    <mergeCell ref="HCK11:HCV11"/>
    <mergeCell ref="HCW11:HDH11"/>
    <mergeCell ref="HDI11:HDT11"/>
    <mergeCell ref="HDU11:HEF11"/>
    <mergeCell ref="HEG11:HER11"/>
    <mergeCell ref="GZE11:GZP11"/>
    <mergeCell ref="GZQ11:HAB11"/>
    <mergeCell ref="HAC11:HAN11"/>
    <mergeCell ref="HAO11:HAZ11"/>
    <mergeCell ref="HBA11:HBL11"/>
    <mergeCell ref="HBM11:HBX11"/>
    <mergeCell ref="GWK11:GWV11"/>
    <mergeCell ref="GWW11:GXH11"/>
    <mergeCell ref="GXI11:GXT11"/>
    <mergeCell ref="GXU11:GYF11"/>
    <mergeCell ref="GYG11:GYR11"/>
    <mergeCell ref="GYS11:GZD11"/>
    <mergeCell ref="GTQ11:GUB11"/>
    <mergeCell ref="GUC11:GUN11"/>
    <mergeCell ref="GUO11:GUZ11"/>
    <mergeCell ref="GVA11:GVL11"/>
    <mergeCell ref="GVM11:GVX11"/>
    <mergeCell ref="GVY11:GWJ11"/>
    <mergeCell ref="GQW11:GRH11"/>
    <mergeCell ref="GRI11:GRT11"/>
    <mergeCell ref="GRU11:GSF11"/>
    <mergeCell ref="GSG11:GSR11"/>
    <mergeCell ref="GSS11:GTD11"/>
    <mergeCell ref="GTE11:GTP11"/>
    <mergeCell ref="GOC11:GON11"/>
    <mergeCell ref="GOO11:GOZ11"/>
    <mergeCell ref="GPA11:GPL11"/>
    <mergeCell ref="GPM11:GPX11"/>
    <mergeCell ref="GPY11:GQJ11"/>
    <mergeCell ref="GQK11:GQV11"/>
    <mergeCell ref="GLI11:GLT11"/>
    <mergeCell ref="GLU11:GMF11"/>
    <mergeCell ref="GMG11:GMR11"/>
    <mergeCell ref="GMS11:GND11"/>
    <mergeCell ref="GNE11:GNP11"/>
    <mergeCell ref="GNQ11:GOB11"/>
    <mergeCell ref="GIO11:GIZ11"/>
    <mergeCell ref="GJA11:GJL11"/>
    <mergeCell ref="GJM11:GJX11"/>
    <mergeCell ref="GJY11:GKJ11"/>
    <mergeCell ref="GKK11:GKV11"/>
    <mergeCell ref="GKW11:GLH11"/>
    <mergeCell ref="GFU11:GGF11"/>
    <mergeCell ref="GGG11:GGR11"/>
    <mergeCell ref="GGS11:GHD11"/>
    <mergeCell ref="GHE11:GHP11"/>
    <mergeCell ref="GHQ11:GIB11"/>
    <mergeCell ref="GIC11:GIN11"/>
    <mergeCell ref="GDA11:GDL11"/>
    <mergeCell ref="GDM11:GDX11"/>
    <mergeCell ref="GDY11:GEJ11"/>
    <mergeCell ref="GEK11:GEV11"/>
    <mergeCell ref="GEW11:GFH11"/>
    <mergeCell ref="GFI11:GFT11"/>
    <mergeCell ref="GAG11:GAR11"/>
    <mergeCell ref="GAS11:GBD11"/>
    <mergeCell ref="GBE11:GBP11"/>
    <mergeCell ref="GBQ11:GCB11"/>
    <mergeCell ref="GCC11:GCN11"/>
    <mergeCell ref="GCO11:GCZ11"/>
    <mergeCell ref="FXM11:FXX11"/>
    <mergeCell ref="FXY11:FYJ11"/>
    <mergeCell ref="FYK11:FYV11"/>
    <mergeCell ref="FYW11:FZH11"/>
    <mergeCell ref="FZI11:FZT11"/>
    <mergeCell ref="FZU11:GAF11"/>
    <mergeCell ref="FUS11:FVD11"/>
    <mergeCell ref="FVE11:FVP11"/>
    <mergeCell ref="FVQ11:FWB11"/>
    <mergeCell ref="FWC11:FWN11"/>
    <mergeCell ref="FWO11:FWZ11"/>
    <mergeCell ref="FXA11:FXL11"/>
    <mergeCell ref="FRY11:FSJ11"/>
    <mergeCell ref="FSK11:FSV11"/>
    <mergeCell ref="FSW11:FTH11"/>
    <mergeCell ref="FTI11:FTT11"/>
    <mergeCell ref="FTU11:FUF11"/>
    <mergeCell ref="FUG11:FUR11"/>
    <mergeCell ref="FPE11:FPP11"/>
    <mergeCell ref="FPQ11:FQB11"/>
    <mergeCell ref="FQC11:FQN11"/>
    <mergeCell ref="FQO11:FQZ11"/>
    <mergeCell ref="FRA11:FRL11"/>
    <mergeCell ref="FRM11:FRX11"/>
    <mergeCell ref="FMK11:FMV11"/>
    <mergeCell ref="FMW11:FNH11"/>
    <mergeCell ref="FNI11:FNT11"/>
    <mergeCell ref="FNU11:FOF11"/>
    <mergeCell ref="FOG11:FOR11"/>
    <mergeCell ref="FOS11:FPD11"/>
    <mergeCell ref="FJQ11:FKB11"/>
    <mergeCell ref="FKC11:FKN11"/>
    <mergeCell ref="FKO11:FKZ11"/>
    <mergeCell ref="FLA11:FLL11"/>
    <mergeCell ref="FLM11:FLX11"/>
    <mergeCell ref="FLY11:FMJ11"/>
    <mergeCell ref="FGW11:FHH11"/>
    <mergeCell ref="FHI11:FHT11"/>
    <mergeCell ref="FHU11:FIF11"/>
    <mergeCell ref="FIG11:FIR11"/>
    <mergeCell ref="FIS11:FJD11"/>
    <mergeCell ref="FJE11:FJP11"/>
    <mergeCell ref="FEC11:FEN11"/>
    <mergeCell ref="FEO11:FEZ11"/>
    <mergeCell ref="FFA11:FFL11"/>
    <mergeCell ref="FFM11:FFX11"/>
    <mergeCell ref="FFY11:FGJ11"/>
    <mergeCell ref="FGK11:FGV11"/>
    <mergeCell ref="FBI11:FBT11"/>
    <mergeCell ref="FBU11:FCF11"/>
    <mergeCell ref="FCG11:FCR11"/>
    <mergeCell ref="FCS11:FDD11"/>
    <mergeCell ref="FDE11:FDP11"/>
    <mergeCell ref="FDQ11:FEB11"/>
    <mergeCell ref="EYO11:EYZ11"/>
    <mergeCell ref="EZA11:EZL11"/>
    <mergeCell ref="EZM11:EZX11"/>
    <mergeCell ref="EZY11:FAJ11"/>
    <mergeCell ref="FAK11:FAV11"/>
    <mergeCell ref="FAW11:FBH11"/>
    <mergeCell ref="EVU11:EWF11"/>
    <mergeCell ref="EWG11:EWR11"/>
    <mergeCell ref="EWS11:EXD11"/>
    <mergeCell ref="EXE11:EXP11"/>
    <mergeCell ref="EXQ11:EYB11"/>
    <mergeCell ref="EYC11:EYN11"/>
    <mergeCell ref="ETA11:ETL11"/>
    <mergeCell ref="ETM11:ETX11"/>
    <mergeCell ref="ETY11:EUJ11"/>
    <mergeCell ref="EUK11:EUV11"/>
    <mergeCell ref="EUW11:EVH11"/>
    <mergeCell ref="EVI11:EVT11"/>
    <mergeCell ref="EQG11:EQR11"/>
    <mergeCell ref="EQS11:ERD11"/>
    <mergeCell ref="ERE11:ERP11"/>
    <mergeCell ref="ERQ11:ESB11"/>
    <mergeCell ref="ESC11:ESN11"/>
    <mergeCell ref="ESO11:ESZ11"/>
    <mergeCell ref="ENM11:ENX11"/>
    <mergeCell ref="ENY11:EOJ11"/>
    <mergeCell ref="EOK11:EOV11"/>
    <mergeCell ref="EOW11:EPH11"/>
    <mergeCell ref="EPI11:EPT11"/>
    <mergeCell ref="EPU11:EQF11"/>
    <mergeCell ref="EKS11:ELD11"/>
    <mergeCell ref="ELE11:ELP11"/>
    <mergeCell ref="ELQ11:EMB11"/>
    <mergeCell ref="EMC11:EMN11"/>
    <mergeCell ref="EMO11:EMZ11"/>
    <mergeCell ref="ENA11:ENL11"/>
    <mergeCell ref="EHY11:EIJ11"/>
    <mergeCell ref="EIK11:EIV11"/>
    <mergeCell ref="EIW11:EJH11"/>
    <mergeCell ref="EJI11:EJT11"/>
    <mergeCell ref="EJU11:EKF11"/>
    <mergeCell ref="EKG11:EKR11"/>
    <mergeCell ref="EFE11:EFP11"/>
    <mergeCell ref="EFQ11:EGB11"/>
    <mergeCell ref="EGC11:EGN11"/>
    <mergeCell ref="EGO11:EGZ11"/>
    <mergeCell ref="EHA11:EHL11"/>
    <mergeCell ref="EHM11:EHX11"/>
    <mergeCell ref="ECK11:ECV11"/>
    <mergeCell ref="ECW11:EDH11"/>
    <mergeCell ref="EDI11:EDT11"/>
    <mergeCell ref="EDU11:EEF11"/>
    <mergeCell ref="EEG11:EER11"/>
    <mergeCell ref="EES11:EFD11"/>
    <mergeCell ref="DZQ11:EAB11"/>
    <mergeCell ref="EAC11:EAN11"/>
    <mergeCell ref="EAO11:EAZ11"/>
    <mergeCell ref="EBA11:EBL11"/>
    <mergeCell ref="EBM11:EBX11"/>
    <mergeCell ref="EBY11:ECJ11"/>
    <mergeCell ref="DWW11:DXH11"/>
    <mergeCell ref="DXI11:DXT11"/>
    <mergeCell ref="DXU11:DYF11"/>
    <mergeCell ref="DYG11:DYR11"/>
    <mergeCell ref="DYS11:DZD11"/>
    <mergeCell ref="DZE11:DZP11"/>
    <mergeCell ref="DUC11:DUN11"/>
    <mergeCell ref="DUO11:DUZ11"/>
    <mergeCell ref="DVA11:DVL11"/>
    <mergeCell ref="DVM11:DVX11"/>
    <mergeCell ref="DVY11:DWJ11"/>
    <mergeCell ref="DWK11:DWV11"/>
    <mergeCell ref="DRI11:DRT11"/>
    <mergeCell ref="DRU11:DSF11"/>
    <mergeCell ref="DSG11:DSR11"/>
    <mergeCell ref="DSS11:DTD11"/>
    <mergeCell ref="DTE11:DTP11"/>
    <mergeCell ref="DTQ11:DUB11"/>
    <mergeCell ref="DOO11:DOZ11"/>
    <mergeCell ref="DPA11:DPL11"/>
    <mergeCell ref="DPM11:DPX11"/>
    <mergeCell ref="DPY11:DQJ11"/>
    <mergeCell ref="DQK11:DQV11"/>
    <mergeCell ref="DQW11:DRH11"/>
    <mergeCell ref="DLU11:DMF11"/>
    <mergeCell ref="DMG11:DMR11"/>
    <mergeCell ref="DMS11:DND11"/>
    <mergeCell ref="DNE11:DNP11"/>
    <mergeCell ref="DNQ11:DOB11"/>
    <mergeCell ref="DOC11:DON11"/>
    <mergeCell ref="DJA11:DJL11"/>
    <mergeCell ref="DJM11:DJX11"/>
    <mergeCell ref="DJY11:DKJ11"/>
    <mergeCell ref="DKK11:DKV11"/>
    <mergeCell ref="DKW11:DLH11"/>
    <mergeCell ref="DLI11:DLT11"/>
    <mergeCell ref="DGG11:DGR11"/>
    <mergeCell ref="DGS11:DHD11"/>
    <mergeCell ref="DHE11:DHP11"/>
    <mergeCell ref="DHQ11:DIB11"/>
    <mergeCell ref="DIC11:DIN11"/>
    <mergeCell ref="DIO11:DIZ11"/>
    <mergeCell ref="DDM11:DDX11"/>
    <mergeCell ref="DDY11:DEJ11"/>
    <mergeCell ref="DEK11:DEV11"/>
    <mergeCell ref="DEW11:DFH11"/>
    <mergeCell ref="DFI11:DFT11"/>
    <mergeCell ref="DFU11:DGF11"/>
    <mergeCell ref="DAS11:DBD11"/>
    <mergeCell ref="DBE11:DBP11"/>
    <mergeCell ref="DBQ11:DCB11"/>
    <mergeCell ref="DCC11:DCN11"/>
    <mergeCell ref="DCO11:DCZ11"/>
    <mergeCell ref="DDA11:DDL11"/>
    <mergeCell ref="CXY11:CYJ11"/>
    <mergeCell ref="CYK11:CYV11"/>
    <mergeCell ref="CYW11:CZH11"/>
    <mergeCell ref="CZI11:CZT11"/>
    <mergeCell ref="CZU11:DAF11"/>
    <mergeCell ref="DAG11:DAR11"/>
    <mergeCell ref="CVE11:CVP11"/>
    <mergeCell ref="CVQ11:CWB11"/>
    <mergeCell ref="CWC11:CWN11"/>
    <mergeCell ref="CWO11:CWZ11"/>
    <mergeCell ref="CXA11:CXL11"/>
    <mergeCell ref="CXM11:CXX11"/>
    <mergeCell ref="CSK11:CSV11"/>
    <mergeCell ref="CSW11:CTH11"/>
    <mergeCell ref="CTI11:CTT11"/>
    <mergeCell ref="CTU11:CUF11"/>
    <mergeCell ref="CUG11:CUR11"/>
    <mergeCell ref="CUS11:CVD11"/>
    <mergeCell ref="CPQ11:CQB11"/>
    <mergeCell ref="CQC11:CQN11"/>
    <mergeCell ref="CQO11:CQZ11"/>
    <mergeCell ref="CRA11:CRL11"/>
    <mergeCell ref="CRM11:CRX11"/>
    <mergeCell ref="CRY11:CSJ11"/>
    <mergeCell ref="CMW11:CNH11"/>
    <mergeCell ref="CNI11:CNT11"/>
    <mergeCell ref="CNU11:COF11"/>
    <mergeCell ref="COG11:COR11"/>
    <mergeCell ref="COS11:CPD11"/>
    <mergeCell ref="CPE11:CPP11"/>
    <mergeCell ref="CKC11:CKN11"/>
    <mergeCell ref="CKO11:CKZ11"/>
    <mergeCell ref="CLA11:CLL11"/>
    <mergeCell ref="CLM11:CLX11"/>
    <mergeCell ref="CLY11:CMJ11"/>
    <mergeCell ref="CMK11:CMV11"/>
    <mergeCell ref="CHI11:CHT11"/>
    <mergeCell ref="CHU11:CIF11"/>
    <mergeCell ref="CIG11:CIR11"/>
    <mergeCell ref="CIS11:CJD11"/>
    <mergeCell ref="CJE11:CJP11"/>
    <mergeCell ref="CJQ11:CKB11"/>
    <mergeCell ref="CEO11:CEZ11"/>
    <mergeCell ref="CFA11:CFL11"/>
    <mergeCell ref="CFM11:CFX11"/>
    <mergeCell ref="CFY11:CGJ11"/>
    <mergeCell ref="CGK11:CGV11"/>
    <mergeCell ref="CGW11:CHH11"/>
    <mergeCell ref="CBU11:CCF11"/>
    <mergeCell ref="CCG11:CCR11"/>
    <mergeCell ref="CCS11:CDD11"/>
    <mergeCell ref="CDE11:CDP11"/>
    <mergeCell ref="CDQ11:CEB11"/>
    <mergeCell ref="CEC11:CEN11"/>
    <mergeCell ref="BZA11:BZL11"/>
    <mergeCell ref="BZM11:BZX11"/>
    <mergeCell ref="BZY11:CAJ11"/>
    <mergeCell ref="CAK11:CAV11"/>
    <mergeCell ref="CAW11:CBH11"/>
    <mergeCell ref="CBI11:CBT11"/>
    <mergeCell ref="BWG11:BWR11"/>
    <mergeCell ref="BWS11:BXD11"/>
    <mergeCell ref="BXE11:BXP11"/>
    <mergeCell ref="BXQ11:BYB11"/>
    <mergeCell ref="BYC11:BYN11"/>
    <mergeCell ref="BYO11:BYZ11"/>
    <mergeCell ref="BTM11:BTX11"/>
    <mergeCell ref="BTY11:BUJ11"/>
    <mergeCell ref="BUK11:BUV11"/>
    <mergeCell ref="BUW11:BVH11"/>
    <mergeCell ref="BVI11:BVT11"/>
    <mergeCell ref="BVU11:BWF11"/>
    <mergeCell ref="BQS11:BRD11"/>
    <mergeCell ref="BRE11:BRP11"/>
    <mergeCell ref="BRQ11:BSB11"/>
    <mergeCell ref="BSC11:BSN11"/>
    <mergeCell ref="BSO11:BSZ11"/>
    <mergeCell ref="BTA11:BTL11"/>
    <mergeCell ref="BNY11:BOJ11"/>
    <mergeCell ref="BOK11:BOV11"/>
    <mergeCell ref="BOW11:BPH11"/>
    <mergeCell ref="BPI11:BPT11"/>
    <mergeCell ref="BPU11:BQF11"/>
    <mergeCell ref="BQG11:BQR11"/>
    <mergeCell ref="BLE11:BLP11"/>
    <mergeCell ref="BLQ11:BMB11"/>
    <mergeCell ref="BMC11:BMN11"/>
    <mergeCell ref="BMO11:BMZ11"/>
    <mergeCell ref="BNA11:BNL11"/>
    <mergeCell ref="BNM11:BNX11"/>
    <mergeCell ref="BIK11:BIV11"/>
    <mergeCell ref="BIW11:BJH11"/>
    <mergeCell ref="BJI11:BJT11"/>
    <mergeCell ref="BJU11:BKF11"/>
    <mergeCell ref="BKG11:BKR11"/>
    <mergeCell ref="BKS11:BLD11"/>
    <mergeCell ref="BFQ11:BGB11"/>
    <mergeCell ref="BGC11:BGN11"/>
    <mergeCell ref="BGO11:BGZ11"/>
    <mergeCell ref="BHA11:BHL11"/>
    <mergeCell ref="BHM11:BHX11"/>
    <mergeCell ref="BHY11:BIJ11"/>
    <mergeCell ref="BCW11:BDH11"/>
    <mergeCell ref="BDI11:BDT11"/>
    <mergeCell ref="BDU11:BEF11"/>
    <mergeCell ref="BEG11:BER11"/>
    <mergeCell ref="BES11:BFD11"/>
    <mergeCell ref="BFE11:BFP11"/>
    <mergeCell ref="BAC11:BAN11"/>
    <mergeCell ref="BAO11:BAZ11"/>
    <mergeCell ref="BBA11:BBL11"/>
    <mergeCell ref="BBM11:BBX11"/>
    <mergeCell ref="BBY11:BCJ11"/>
    <mergeCell ref="BCK11:BCV11"/>
    <mergeCell ref="AXI11:AXT11"/>
    <mergeCell ref="AXU11:AYF11"/>
    <mergeCell ref="AYG11:AYR11"/>
    <mergeCell ref="AYS11:AZD11"/>
    <mergeCell ref="AZE11:AZP11"/>
    <mergeCell ref="AZQ11:BAB11"/>
    <mergeCell ref="AUO11:AUZ11"/>
    <mergeCell ref="AVA11:AVL11"/>
    <mergeCell ref="AVM11:AVX11"/>
    <mergeCell ref="AVY11:AWJ11"/>
    <mergeCell ref="AWK11:AWV11"/>
    <mergeCell ref="AWW11:AXH11"/>
    <mergeCell ref="ARU11:ASF11"/>
    <mergeCell ref="ASG11:ASR11"/>
    <mergeCell ref="ASS11:ATD11"/>
    <mergeCell ref="ATE11:ATP11"/>
    <mergeCell ref="ATQ11:AUB11"/>
    <mergeCell ref="AUC11:AUN11"/>
    <mergeCell ref="APA11:APL11"/>
    <mergeCell ref="APM11:APX11"/>
    <mergeCell ref="APY11:AQJ11"/>
    <mergeCell ref="AQK11:AQV11"/>
    <mergeCell ref="AQW11:ARH11"/>
    <mergeCell ref="ARI11:ART11"/>
    <mergeCell ref="AMG11:AMR11"/>
    <mergeCell ref="AMS11:AND11"/>
    <mergeCell ref="ANE11:ANP11"/>
    <mergeCell ref="ANQ11:AOB11"/>
    <mergeCell ref="AOC11:AON11"/>
    <mergeCell ref="AOO11:AOZ11"/>
    <mergeCell ref="AJM11:AJX11"/>
    <mergeCell ref="AJY11:AKJ11"/>
    <mergeCell ref="AKK11:AKV11"/>
    <mergeCell ref="AKW11:ALH11"/>
    <mergeCell ref="ALI11:ALT11"/>
    <mergeCell ref="ALU11:AMF11"/>
    <mergeCell ref="AGS11:AHD11"/>
    <mergeCell ref="AHE11:AHP11"/>
    <mergeCell ref="AHQ11:AIB11"/>
    <mergeCell ref="AIC11:AIN11"/>
    <mergeCell ref="AIO11:AIZ11"/>
    <mergeCell ref="AJA11:AJL11"/>
    <mergeCell ref="ADY11:AEJ11"/>
    <mergeCell ref="AEK11:AEV11"/>
    <mergeCell ref="AEW11:AFH11"/>
    <mergeCell ref="AFI11:AFT11"/>
    <mergeCell ref="AFU11:AGF11"/>
    <mergeCell ref="AGG11:AGR11"/>
    <mergeCell ref="ABE11:ABP11"/>
    <mergeCell ref="ABQ11:ACB11"/>
    <mergeCell ref="ACC11:ACN11"/>
    <mergeCell ref="ACO11:ACZ11"/>
    <mergeCell ref="ADA11:ADL11"/>
    <mergeCell ref="ADM11:ADX11"/>
    <mergeCell ref="YK11:YV11"/>
    <mergeCell ref="YW11:ZH11"/>
    <mergeCell ref="ZI11:ZT11"/>
    <mergeCell ref="ZU11:AAF11"/>
    <mergeCell ref="AAG11:AAR11"/>
    <mergeCell ref="AAS11:ABD11"/>
    <mergeCell ref="VQ11:WB11"/>
    <mergeCell ref="WC11:WN11"/>
    <mergeCell ref="WO11:WZ11"/>
    <mergeCell ref="XA11:XL11"/>
    <mergeCell ref="XM11:XX11"/>
    <mergeCell ref="XY11:YJ11"/>
    <mergeCell ref="SW11:TH11"/>
    <mergeCell ref="TI11:TT11"/>
    <mergeCell ref="TU11:UF11"/>
    <mergeCell ref="UG11:UR11"/>
    <mergeCell ref="US11:VD11"/>
    <mergeCell ref="VE11:VP11"/>
    <mergeCell ref="QC11:QN11"/>
    <mergeCell ref="QO11:QZ11"/>
    <mergeCell ref="RA11:RL11"/>
    <mergeCell ref="RM11:RX11"/>
    <mergeCell ref="RY11:SJ11"/>
    <mergeCell ref="SK11:SV11"/>
    <mergeCell ref="NI11:NT11"/>
    <mergeCell ref="NU11:OF11"/>
    <mergeCell ref="OG11:OR11"/>
    <mergeCell ref="OS11:PD11"/>
    <mergeCell ref="PE11:PP11"/>
    <mergeCell ref="PQ11:QB11"/>
    <mergeCell ref="KO11:KZ11"/>
    <mergeCell ref="LA11:LL11"/>
    <mergeCell ref="LM11:LX11"/>
    <mergeCell ref="LY11:MJ11"/>
    <mergeCell ref="MK11:MV11"/>
    <mergeCell ref="MW11:NH11"/>
    <mergeCell ref="HU11:IF11"/>
    <mergeCell ref="IG11:IR11"/>
    <mergeCell ref="IS11:JD11"/>
    <mergeCell ref="JE11:JP11"/>
    <mergeCell ref="JQ11:KB11"/>
    <mergeCell ref="KC11:KN11"/>
    <mergeCell ref="FA11:FL11"/>
    <mergeCell ref="FM11:FX11"/>
    <mergeCell ref="FY11:GJ11"/>
    <mergeCell ref="GK11:GV11"/>
    <mergeCell ref="GW11:HH11"/>
    <mergeCell ref="HI11:HT11"/>
    <mergeCell ref="CG11:CR11"/>
    <mergeCell ref="CS11:DD11"/>
    <mergeCell ref="DE11:DP11"/>
    <mergeCell ref="DQ11:EB11"/>
    <mergeCell ref="EC11:EN11"/>
    <mergeCell ref="EO11:EZ11"/>
    <mergeCell ref="A19:L19"/>
    <mergeCell ref="M11:X11"/>
    <mergeCell ref="Y11:AJ11"/>
    <mergeCell ref="AK11:AV11"/>
    <mergeCell ref="AW11:BH11"/>
    <mergeCell ref="BI11:BT11"/>
    <mergeCell ref="BU11:CF11"/>
    <mergeCell ref="A7:L7"/>
    <mergeCell ref="A8:L8"/>
    <mergeCell ref="A9:L9"/>
    <mergeCell ref="A10:L10"/>
    <mergeCell ref="A11:K11"/>
    <mergeCell ref="A1:J1"/>
    <mergeCell ref="A2:L2"/>
    <mergeCell ref="A3:L3"/>
    <mergeCell ref="A4:L4"/>
    <mergeCell ref="A5:L5"/>
    <mergeCell ref="A6:L6"/>
    <mergeCell ref="A17:L17"/>
    <mergeCell ref="A18:L1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32"/>
  <sheetViews>
    <sheetView zoomScale="85" zoomScaleNormal="85" workbookViewId="0">
      <selection activeCell="K2" sqref="K2"/>
    </sheetView>
  </sheetViews>
  <sheetFormatPr defaultColWidth="9.140625" defaultRowHeight="12.75"/>
  <cols>
    <col min="1" max="1" width="23.5703125" style="2" customWidth="1"/>
    <col min="2" max="2" width="20.85546875" style="2" customWidth="1"/>
    <col min="3" max="3" width="21.5703125" style="2" customWidth="1"/>
    <col min="4" max="4" width="99.28515625" style="2" customWidth="1"/>
    <col min="5" max="5" width="9.140625" style="2" customWidth="1"/>
    <col min="6" max="16384" width="9.140625" style="2"/>
  </cols>
  <sheetData>
    <row r="1" spans="1:4" ht="13.5" thickBot="1">
      <c r="A1" s="355" t="s">
        <v>129</v>
      </c>
      <c r="B1" s="356"/>
      <c r="C1" s="356"/>
      <c r="D1" s="160" t="s">
        <v>157</v>
      </c>
    </row>
    <row r="2" spans="1:4">
      <c r="A2" s="161" t="s">
        <v>10</v>
      </c>
      <c r="B2" s="353" t="s">
        <v>122</v>
      </c>
      <c r="C2" s="354"/>
      <c r="D2" s="169"/>
    </row>
    <row r="3" spans="1:4" ht="13.5" thickBot="1">
      <c r="A3" s="162"/>
      <c r="B3" s="172" t="s">
        <v>109</v>
      </c>
      <c r="C3" s="173" t="s">
        <v>128</v>
      </c>
      <c r="D3" s="170"/>
    </row>
    <row r="4" spans="1:4" ht="12.75" customHeight="1">
      <c r="A4" s="163" t="s">
        <v>11</v>
      </c>
      <c r="B4" s="174">
        <v>0.216</v>
      </c>
      <c r="C4" s="175">
        <v>0.21</v>
      </c>
      <c r="D4" s="360" t="s">
        <v>158</v>
      </c>
    </row>
    <row r="5" spans="1:4" ht="13.5" thickBot="1">
      <c r="A5" s="164" t="s">
        <v>22</v>
      </c>
      <c r="B5" s="176">
        <v>0.51900000000000002</v>
      </c>
      <c r="C5" s="177">
        <v>0.23300000000000001</v>
      </c>
      <c r="D5" s="361"/>
    </row>
    <row r="6" spans="1:4">
      <c r="A6" s="165" t="s">
        <v>153</v>
      </c>
      <c r="B6" s="338"/>
      <c r="C6" s="339"/>
      <c r="D6" s="368" t="s">
        <v>260</v>
      </c>
    </row>
    <row r="7" spans="1:4">
      <c r="A7" s="166" t="s">
        <v>154</v>
      </c>
      <c r="B7" s="340"/>
      <c r="C7" s="341"/>
      <c r="D7" s="369"/>
    </row>
    <row r="8" spans="1:4">
      <c r="A8" s="167" t="s">
        <v>155</v>
      </c>
      <c r="B8" s="340"/>
      <c r="C8" s="341"/>
      <c r="D8" s="369"/>
    </row>
    <row r="9" spans="1:4" ht="13.5" thickBot="1">
      <c r="A9" s="168" t="s">
        <v>156</v>
      </c>
      <c r="B9" s="342"/>
      <c r="C9" s="343"/>
      <c r="D9" s="370"/>
    </row>
    <row r="10" spans="1:4" ht="51.75" thickBot="1">
      <c r="A10" s="337" t="s">
        <v>244</v>
      </c>
      <c r="B10" s="344"/>
      <c r="C10" s="345"/>
      <c r="D10" s="171" t="s">
        <v>246</v>
      </c>
    </row>
    <row r="12" spans="1:4" ht="13.5" thickBot="1"/>
    <row r="13" spans="1:4">
      <c r="A13" s="357" t="s">
        <v>245</v>
      </c>
      <c r="B13" s="358"/>
      <c r="C13" s="359"/>
      <c r="D13" s="159"/>
    </row>
    <row r="14" spans="1:4" ht="12.75" customHeight="1">
      <c r="A14" s="362" t="s">
        <v>88</v>
      </c>
      <c r="B14" s="363"/>
      <c r="C14" s="363"/>
      <c r="D14" s="364"/>
    </row>
    <row r="15" spans="1:4">
      <c r="A15" s="362"/>
      <c r="B15" s="363"/>
      <c r="C15" s="363"/>
      <c r="D15" s="364"/>
    </row>
    <row r="16" spans="1:4">
      <c r="A16" s="362"/>
      <c r="B16" s="363"/>
      <c r="C16" s="363"/>
      <c r="D16" s="364"/>
    </row>
    <row r="17" spans="1:4">
      <c r="A17" s="362"/>
      <c r="B17" s="363"/>
      <c r="C17" s="363"/>
      <c r="D17" s="364"/>
    </row>
    <row r="18" spans="1:4">
      <c r="A18" s="362"/>
      <c r="B18" s="363"/>
      <c r="C18" s="363"/>
      <c r="D18" s="364"/>
    </row>
    <row r="19" spans="1:4">
      <c r="A19" s="362"/>
      <c r="B19" s="363"/>
      <c r="C19" s="363"/>
      <c r="D19" s="364"/>
    </row>
    <row r="20" spans="1:4">
      <c r="A20" s="362"/>
      <c r="B20" s="363"/>
      <c r="C20" s="363"/>
      <c r="D20" s="364"/>
    </row>
    <row r="21" spans="1:4">
      <c r="A21" s="362"/>
      <c r="B21" s="363"/>
      <c r="C21" s="363"/>
      <c r="D21" s="364"/>
    </row>
    <row r="22" spans="1:4">
      <c r="A22" s="362"/>
      <c r="B22" s="363"/>
      <c r="C22" s="363"/>
      <c r="D22" s="364"/>
    </row>
    <row r="23" spans="1:4">
      <c r="A23" s="362"/>
      <c r="B23" s="363"/>
      <c r="C23" s="363"/>
      <c r="D23" s="364"/>
    </row>
    <row r="24" spans="1:4">
      <c r="A24" s="362"/>
      <c r="B24" s="363"/>
      <c r="C24" s="363"/>
      <c r="D24" s="364"/>
    </row>
    <row r="25" spans="1:4">
      <c r="A25" s="362"/>
      <c r="B25" s="363"/>
      <c r="C25" s="363"/>
      <c r="D25" s="364"/>
    </row>
    <row r="26" spans="1:4">
      <c r="A26" s="362"/>
      <c r="B26" s="363"/>
      <c r="C26" s="363"/>
      <c r="D26" s="364"/>
    </row>
    <row r="27" spans="1:4">
      <c r="A27" s="362"/>
      <c r="B27" s="363"/>
      <c r="C27" s="363"/>
      <c r="D27" s="364"/>
    </row>
    <row r="28" spans="1:4">
      <c r="A28" s="362"/>
      <c r="B28" s="363"/>
      <c r="C28" s="363"/>
      <c r="D28" s="364"/>
    </row>
    <row r="29" spans="1:4">
      <c r="A29" s="362"/>
      <c r="B29" s="363"/>
      <c r="C29" s="363"/>
      <c r="D29" s="364"/>
    </row>
    <row r="30" spans="1:4">
      <c r="A30" s="362"/>
      <c r="B30" s="363"/>
      <c r="C30" s="363"/>
      <c r="D30" s="364"/>
    </row>
    <row r="31" spans="1:4">
      <c r="A31" s="362"/>
      <c r="B31" s="363"/>
      <c r="C31" s="363"/>
      <c r="D31" s="364"/>
    </row>
    <row r="32" spans="1:4" ht="13.5" thickBot="1">
      <c r="A32" s="365"/>
      <c r="B32" s="366"/>
      <c r="C32" s="366"/>
      <c r="D32" s="367"/>
    </row>
  </sheetData>
  <sheetProtection algorithmName="SHA-512" hashValue="ejPzzwQNDtdROteaNRro0cgrQO+WzDpBhqsxGmNkFeT1z64ucpbrXAyPeeHkyxBLR524uIGe3iwqtae+rbY0Bg==" saltValue="5qUbi7btJfP+3a5PSCeTwg==" spinCount="100000" sheet="1" objects="1" scenarios="1"/>
  <mergeCells count="6">
    <mergeCell ref="B2:C2"/>
    <mergeCell ref="A1:C1"/>
    <mergeCell ref="A13:C13"/>
    <mergeCell ref="D4:D5"/>
    <mergeCell ref="A14:D32"/>
    <mergeCell ref="D6:D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A131"/>
  <sheetViews>
    <sheetView topLeftCell="A59" zoomScale="85" zoomScaleNormal="85" workbookViewId="0">
      <selection activeCell="P77" sqref="P77"/>
    </sheetView>
  </sheetViews>
  <sheetFormatPr defaultColWidth="9.140625" defaultRowHeight="12.75"/>
  <cols>
    <col min="1" max="1" width="15.7109375" style="34" customWidth="1"/>
    <col min="2" max="4" width="12.42578125" style="35" customWidth="1"/>
    <col min="5" max="5" width="15.28515625" style="35" customWidth="1"/>
    <col min="6" max="6" width="16.140625" style="35" bestFit="1" customWidth="1"/>
    <col min="7" max="7" width="15.28515625" style="35" customWidth="1"/>
    <col min="8" max="8" width="18.42578125" style="35" customWidth="1"/>
    <col min="9" max="18" width="15.28515625" style="35" customWidth="1"/>
    <col min="19" max="25" width="15.28515625" style="36" customWidth="1"/>
    <col min="26" max="26" width="17.85546875" style="36" customWidth="1"/>
    <col min="27" max="43" width="15.28515625" style="36" customWidth="1"/>
    <col min="44" max="44" width="10" style="36" customWidth="1"/>
    <col min="45" max="45" width="35" style="36" customWidth="1"/>
    <col min="46" max="46" width="19.5703125" style="36" customWidth="1"/>
    <col min="47" max="47" width="14" style="36" customWidth="1"/>
    <col min="48" max="48" width="14.5703125" style="36" customWidth="1"/>
    <col min="49" max="49" width="13.5703125" style="36" customWidth="1"/>
    <col min="50" max="50" width="11.42578125" style="36" customWidth="1"/>
    <col min="51" max="51" width="10.42578125" style="36" customWidth="1"/>
    <col min="52" max="52" width="12" style="36" customWidth="1"/>
    <col min="53" max="16384" width="9.140625" style="36"/>
  </cols>
  <sheetData>
    <row r="1" spans="1:27" ht="28.5" customHeight="1">
      <c r="A1" s="427" t="s">
        <v>105</v>
      </c>
      <c r="B1" s="427"/>
      <c r="C1" s="427"/>
      <c r="D1" s="427"/>
      <c r="E1" s="427"/>
      <c r="F1" s="427"/>
      <c r="G1" s="427"/>
      <c r="H1" s="427"/>
      <c r="I1" s="427"/>
      <c r="J1" s="427"/>
      <c r="K1" s="427"/>
      <c r="L1" s="427"/>
      <c r="M1" s="427"/>
      <c r="N1" s="422" t="s">
        <v>110</v>
      </c>
      <c r="O1" s="422"/>
      <c r="P1" s="422"/>
      <c r="Q1" s="422"/>
      <c r="R1" s="422"/>
      <c r="S1" s="423"/>
      <c r="T1" s="419" t="s">
        <v>111</v>
      </c>
      <c r="U1" s="420"/>
      <c r="V1" s="420"/>
      <c r="W1" s="420"/>
      <c r="X1" s="420"/>
      <c r="Y1" s="420"/>
      <c r="Z1" s="420"/>
      <c r="AA1" s="35"/>
    </row>
    <row r="2" spans="1:27" s="77" customFormat="1" ht="27" customHeight="1">
      <c r="A2" s="424" t="s">
        <v>180</v>
      </c>
      <c r="B2" s="425"/>
      <c r="C2" s="425"/>
      <c r="D2" s="425"/>
      <c r="E2" s="425"/>
      <c r="F2" s="425"/>
      <c r="G2" s="425"/>
      <c r="H2" s="425"/>
      <c r="I2" s="425"/>
      <c r="J2" s="425"/>
      <c r="K2" s="425"/>
      <c r="L2" s="425"/>
      <c r="M2" s="425"/>
      <c r="N2" s="425"/>
      <c r="O2" s="425"/>
      <c r="P2" s="425"/>
      <c r="Q2" s="425"/>
      <c r="R2" s="425"/>
      <c r="S2" s="425"/>
      <c r="T2" s="425"/>
      <c r="U2" s="425"/>
      <c r="V2" s="425"/>
      <c r="W2" s="425"/>
      <c r="X2" s="425"/>
      <c r="Y2" s="425"/>
      <c r="Z2" s="426"/>
      <c r="AA2" s="274" t="s">
        <v>212</v>
      </c>
    </row>
    <row r="3" spans="1:27" ht="30.75" customHeight="1">
      <c r="A3" s="421" t="s">
        <v>198</v>
      </c>
      <c r="B3" s="385" t="s">
        <v>213</v>
      </c>
      <c r="C3" s="385" t="s">
        <v>1</v>
      </c>
      <c r="D3" s="429" t="s">
        <v>220</v>
      </c>
      <c r="E3" s="428" t="s">
        <v>201</v>
      </c>
      <c r="F3" s="397"/>
      <c r="G3" s="371" t="s">
        <v>189</v>
      </c>
      <c r="H3" s="372"/>
      <c r="I3" s="372"/>
      <c r="J3" s="372"/>
      <c r="K3" s="372"/>
      <c r="L3" s="372"/>
      <c r="M3" s="373"/>
      <c r="N3" s="396" t="s">
        <v>152</v>
      </c>
      <c r="O3" s="428"/>
      <c r="P3" s="428"/>
      <c r="Q3" s="428"/>
      <c r="R3" s="428"/>
      <c r="S3" s="428"/>
      <c r="T3" s="431" t="s">
        <v>18</v>
      </c>
      <c r="U3" s="432"/>
      <c r="V3" s="432"/>
      <c r="W3" s="432"/>
      <c r="X3" s="432"/>
      <c r="Y3" s="433"/>
      <c r="Z3" s="434"/>
      <c r="AA3" s="283" t="s">
        <v>81</v>
      </c>
    </row>
    <row r="4" spans="1:27" s="181" customFormat="1" ht="58.5" customHeight="1">
      <c r="A4" s="381"/>
      <c r="B4" s="385"/>
      <c r="C4" s="385"/>
      <c r="D4" s="430"/>
      <c r="E4" s="251" t="s">
        <v>23</v>
      </c>
      <c r="F4" s="179" t="s">
        <v>24</v>
      </c>
      <c r="G4" s="156" t="s">
        <v>130</v>
      </c>
      <c r="H4" s="251" t="s">
        <v>20</v>
      </c>
      <c r="I4" s="251" t="s">
        <v>187</v>
      </c>
      <c r="J4" s="251" t="s">
        <v>21</v>
      </c>
      <c r="K4" s="251" t="s">
        <v>132</v>
      </c>
      <c r="L4" s="251" t="s">
        <v>188</v>
      </c>
      <c r="M4" s="158" t="s">
        <v>134</v>
      </c>
      <c r="N4" s="156" t="s">
        <v>136</v>
      </c>
      <c r="O4" s="251" t="s">
        <v>137</v>
      </c>
      <c r="P4" s="251" t="s">
        <v>139</v>
      </c>
      <c r="Q4" s="251" t="s">
        <v>140</v>
      </c>
      <c r="R4" s="251" t="s">
        <v>141</v>
      </c>
      <c r="S4" s="269" t="s">
        <v>96</v>
      </c>
      <c r="T4" s="178" t="s">
        <v>136</v>
      </c>
      <c r="U4" s="251" t="s">
        <v>137</v>
      </c>
      <c r="V4" s="251" t="s">
        <v>139</v>
      </c>
      <c r="W4" s="251" t="s">
        <v>140</v>
      </c>
      <c r="X4" s="251" t="s">
        <v>141</v>
      </c>
      <c r="Y4" s="148" t="s">
        <v>114</v>
      </c>
      <c r="Z4" s="229" t="s">
        <v>118</v>
      </c>
      <c r="AA4" s="158" t="s">
        <v>89</v>
      </c>
    </row>
    <row r="5" spans="1:27" s="181" customFormat="1" ht="51" customHeight="1">
      <c r="A5" s="294"/>
      <c r="B5" s="149" t="s">
        <v>214</v>
      </c>
      <c r="C5" s="149"/>
      <c r="D5" s="229"/>
      <c r="E5" s="149"/>
      <c r="F5" s="228" t="s">
        <v>219</v>
      </c>
      <c r="G5" s="149" t="s">
        <v>215</v>
      </c>
      <c r="H5" s="292"/>
      <c r="I5" s="149" t="s">
        <v>216</v>
      </c>
      <c r="J5" s="292"/>
      <c r="K5" s="149" t="s">
        <v>217</v>
      </c>
      <c r="L5" s="149" t="s">
        <v>218</v>
      </c>
      <c r="M5" s="149" t="s">
        <v>123</v>
      </c>
      <c r="N5" s="148"/>
      <c r="O5" s="149"/>
      <c r="P5" s="149"/>
      <c r="Q5" s="149"/>
      <c r="R5" s="149"/>
      <c r="S5" s="295"/>
      <c r="T5" s="296"/>
      <c r="U5" s="149"/>
      <c r="V5" s="149"/>
      <c r="W5" s="149"/>
      <c r="X5" s="149"/>
      <c r="Y5" s="148"/>
      <c r="Z5" s="229"/>
      <c r="AA5" s="229"/>
    </row>
    <row r="6" spans="1:27" ht="13.5" customHeight="1">
      <c r="A6" s="99" t="s">
        <v>281</v>
      </c>
      <c r="B6" s="100">
        <v>83</v>
      </c>
      <c r="C6" s="100">
        <v>17</v>
      </c>
      <c r="D6" s="101">
        <f>B6*C6</f>
        <v>1411</v>
      </c>
      <c r="E6" s="96">
        <f t="shared" ref="E6:E37" si="0">IFERROR(S6/$B6,"")</f>
        <v>14.840191084337349</v>
      </c>
      <c r="F6" s="109">
        <v>14.84</v>
      </c>
      <c r="G6" s="100">
        <v>2513.2199999999998</v>
      </c>
      <c r="H6" s="141" t="str">
        <f>IF(G6&gt;0,"Natural Gas","")</f>
        <v>Natural Gas</v>
      </c>
      <c r="I6" s="100">
        <v>2152.27</v>
      </c>
      <c r="J6" s="141" t="str">
        <f>IF(I6&gt;0,"Natural Gas","")</f>
        <v>Natural Gas</v>
      </c>
      <c r="K6" s="100">
        <v>356.58</v>
      </c>
      <c r="L6" s="100">
        <v>75</v>
      </c>
      <c r="M6" s="141"/>
      <c r="N6" s="119">
        <f>IFERROR($G6*INDEX('Carbon factors'!$B$4:$B$10,MATCH($H6,Fuel_Type,0),1),"")</f>
        <v>542.85551999999996</v>
      </c>
      <c r="O6" s="120">
        <f>IFERROR($I6*INDEX('Carbon factors'!$B$4:$B$10,MATCH($J6,Fuel_Type,0),1),"")</f>
        <v>464.89031999999997</v>
      </c>
      <c r="P6" s="120">
        <f>IF(K6="","",K6*'Carbon factors'!$B$5)</f>
        <v>185.06502</v>
      </c>
      <c r="Q6" s="120">
        <f>IF(L6="","",L6*'Carbon factors'!$B$5)</f>
        <v>38.925000000000004</v>
      </c>
      <c r="R6" s="120" t="str">
        <f>IF(M6="","",M6*'Carbon factors'!$B$5)</f>
        <v/>
      </c>
      <c r="S6" s="263">
        <f>IF(SUM(N6:R6)=0,"",(SUM(N6:R6)))</f>
        <v>1231.73586</v>
      </c>
      <c r="T6" s="125">
        <f>IFERROR($G6*INDEX('Carbon factors'!$C$4:$C$10,MATCH($H6,Fuel_Type,0),1),"")</f>
        <v>527.7761999999999</v>
      </c>
      <c r="U6" s="120">
        <f>IFERROR($I6*INDEX('Carbon factors'!$C$4:$C$10,MATCH($J6,Fuel_Type,0),1),"")</f>
        <v>451.97669999999999</v>
      </c>
      <c r="V6" s="120">
        <f>IF(K6="","",K6*'Carbon factors'!$C$5)</f>
        <v>83.08314</v>
      </c>
      <c r="W6" s="120">
        <f>IF(L6="","",L6*'Carbon factors'!$C$5)</f>
        <v>17.475000000000001</v>
      </c>
      <c r="X6" s="120" t="str">
        <f>IF(M6="","",M6*'Carbon factors'!$C$5)</f>
        <v/>
      </c>
      <c r="Y6" s="221">
        <f>IF(SUM(T6:X6)=0,"",(SUM(T6:X6)))</f>
        <v>1080.3110399999998</v>
      </c>
      <c r="Z6" s="61">
        <f>IFERROR(Y6/$B6,"")</f>
        <v>13.0157956626506</v>
      </c>
      <c r="AA6" s="281">
        <v>39.799999999999997</v>
      </c>
    </row>
    <row r="7" spans="1:27" ht="13.5" customHeight="1">
      <c r="A7" s="99" t="s">
        <v>282</v>
      </c>
      <c r="B7" s="100">
        <v>173</v>
      </c>
      <c r="C7" s="100">
        <v>1</v>
      </c>
      <c r="D7" s="101">
        <f t="shared" ref="D7:D49" si="1">B7*C7</f>
        <v>173</v>
      </c>
      <c r="E7" s="96">
        <f t="shared" si="0"/>
        <v>14.234264393063587</v>
      </c>
      <c r="F7" s="109">
        <v>14.23</v>
      </c>
      <c r="G7" s="320">
        <v>7607.85</v>
      </c>
      <c r="H7" s="141" t="str">
        <f t="shared" ref="H7:H56" si="2">IF(G7&gt;0,"Natural Gas","")</f>
        <v>Natural Gas</v>
      </c>
      <c r="I7" s="320">
        <v>2308.9299999999998</v>
      </c>
      <c r="J7" s="321" t="str">
        <f t="shared" ref="J7:J56" si="3">IF(I7&gt;0,"Natural Gas","")</f>
        <v>Natural Gas</v>
      </c>
      <c r="K7" s="320">
        <v>542.54</v>
      </c>
      <c r="L7" s="320">
        <v>75</v>
      </c>
      <c r="M7" s="321"/>
      <c r="N7" s="119">
        <f>IFERROR($G7*INDEX('Carbon factors'!$B$4:$B$10,MATCH($H7,Fuel_Type,0),1),"")</f>
        <v>1643.2956000000001</v>
      </c>
      <c r="O7" s="120">
        <f>IFERROR($I7*INDEX('Carbon factors'!$B$4:$B$10,MATCH($J7,Fuel_Type,0),1),"")</f>
        <v>498.72887999999995</v>
      </c>
      <c r="P7" s="120">
        <f>IF(K7="","",K7*'Carbon factors'!$B$5)</f>
        <v>281.57826</v>
      </c>
      <c r="Q7" s="120">
        <f>IF(L7="","",L7*'Carbon factors'!$B$5)</f>
        <v>38.925000000000004</v>
      </c>
      <c r="R7" s="120" t="str">
        <f>IF(M7="","",M7*'Carbon factors'!$B$5)</f>
        <v/>
      </c>
      <c r="S7" s="263">
        <f t="shared" ref="S7:S56" si="4">IF(SUM(N7:R7)=0,"",(SUM(N7:R7)))</f>
        <v>2462.5277400000004</v>
      </c>
      <c r="T7" s="125">
        <f>IFERROR($G7*INDEX('Carbon factors'!$C$4:$C$10,MATCH($H7,Fuel_Type,0),1),"")</f>
        <v>1597.6485</v>
      </c>
      <c r="U7" s="120">
        <f>IFERROR($I7*INDEX('Carbon factors'!$C$4:$C$10,MATCH($J7,Fuel_Type,0),1),"")</f>
        <v>484.87529999999992</v>
      </c>
      <c r="V7" s="120">
        <f>IF(K7="","",K7*'Carbon factors'!$C$5)</f>
        <v>126.41181999999999</v>
      </c>
      <c r="W7" s="120">
        <f>IF(L7="","",L7*'Carbon factors'!$C$5)</f>
        <v>17.475000000000001</v>
      </c>
      <c r="X7" s="120" t="str">
        <f>IF(M7="","",M7*'Carbon factors'!$C$5)</f>
        <v/>
      </c>
      <c r="Y7" s="221">
        <f t="shared" ref="Y7:Y56" si="5">IF(SUM(T7:X7)=0,"",(SUM(T7:X7)))</f>
        <v>2226.4106199999997</v>
      </c>
      <c r="Z7" s="61">
        <f t="shared" ref="Z7:Z56" si="6">IFERROR(Y7/$B7,"")</f>
        <v>12.869425549132947</v>
      </c>
      <c r="AA7" s="281">
        <v>52.7</v>
      </c>
    </row>
    <row r="8" spans="1:27" ht="13.5" customHeight="1">
      <c r="A8" s="99" t="s">
        <v>283</v>
      </c>
      <c r="B8" s="100">
        <v>149</v>
      </c>
      <c r="C8" s="100">
        <v>2</v>
      </c>
      <c r="D8" s="101">
        <f t="shared" si="1"/>
        <v>298</v>
      </c>
      <c r="E8" s="96">
        <f t="shared" si="0"/>
        <v>15.545626308724831</v>
      </c>
      <c r="F8" s="109">
        <v>15.55</v>
      </c>
      <c r="G8" s="320">
        <v>7038.95</v>
      </c>
      <c r="H8" s="141" t="str">
        <f t="shared" si="2"/>
        <v>Natural Gas</v>
      </c>
      <c r="I8" s="320">
        <v>2296.04</v>
      </c>
      <c r="J8" s="321" t="str">
        <f t="shared" si="3"/>
        <v>Natural Gas</v>
      </c>
      <c r="K8" s="320">
        <v>502.92</v>
      </c>
      <c r="L8" s="320">
        <v>75</v>
      </c>
      <c r="M8" s="321"/>
      <c r="N8" s="119">
        <f>IFERROR($G8*INDEX('Carbon factors'!$B$4:$B$10,MATCH($H8,Fuel_Type,0),1),"")</f>
        <v>1520.4132</v>
      </c>
      <c r="O8" s="120">
        <f>IFERROR($I8*INDEX('Carbon factors'!$B$4:$B$10,MATCH($J8,Fuel_Type,0),1),"")</f>
        <v>495.94463999999999</v>
      </c>
      <c r="P8" s="120">
        <f>IF(K8="","",K8*'Carbon factors'!$B$5)</f>
        <v>261.01548000000003</v>
      </c>
      <c r="Q8" s="120">
        <f>IF(L8="","",L8*'Carbon factors'!$B$5)</f>
        <v>38.925000000000004</v>
      </c>
      <c r="R8" s="120" t="str">
        <f>IF(M8="","",M8*'Carbon factors'!$B$5)</f>
        <v/>
      </c>
      <c r="S8" s="263">
        <f t="shared" si="4"/>
        <v>2316.2983199999999</v>
      </c>
      <c r="T8" s="125">
        <f>IFERROR($G8*INDEX('Carbon factors'!$C$4:$C$10,MATCH($H8,Fuel_Type,0),1),"")</f>
        <v>1478.1795</v>
      </c>
      <c r="U8" s="120">
        <f>IFERROR($I8*INDEX('Carbon factors'!$C$4:$C$10,MATCH($J8,Fuel_Type,0),1),"")</f>
        <v>482.16839999999996</v>
      </c>
      <c r="V8" s="120">
        <f>IF(K8="","",K8*'Carbon factors'!$C$5)</f>
        <v>117.18036000000001</v>
      </c>
      <c r="W8" s="120">
        <f>IF(L8="","",L8*'Carbon factors'!$C$5)</f>
        <v>17.475000000000001</v>
      </c>
      <c r="X8" s="120" t="str">
        <f>IF(M8="","",M8*'Carbon factors'!$C$5)</f>
        <v/>
      </c>
      <c r="Y8" s="221">
        <f t="shared" si="5"/>
        <v>2095.00326</v>
      </c>
      <c r="Z8" s="61">
        <f t="shared" si="6"/>
        <v>14.060424563758389</v>
      </c>
      <c r="AA8" s="281">
        <v>56.9</v>
      </c>
    </row>
    <row r="9" spans="1:27" ht="13.5" customHeight="1">
      <c r="A9" s="99" t="s">
        <v>284</v>
      </c>
      <c r="B9" s="100">
        <v>65</v>
      </c>
      <c r="C9" s="100">
        <v>1</v>
      </c>
      <c r="D9" s="101">
        <f t="shared" si="1"/>
        <v>65</v>
      </c>
      <c r="E9" s="96">
        <f t="shared" si="0"/>
        <v>19.095925846153847</v>
      </c>
      <c r="F9" s="109">
        <v>19.100000000000001</v>
      </c>
      <c r="G9" s="320">
        <v>2901.8</v>
      </c>
      <c r="H9" s="141" t="str">
        <f t="shared" si="2"/>
        <v>Natural Gas</v>
      </c>
      <c r="I9" s="320">
        <v>1963.08</v>
      </c>
      <c r="J9" s="321" t="str">
        <f t="shared" si="3"/>
        <v>Natural Gas</v>
      </c>
      <c r="K9" s="320">
        <v>291.89999999999998</v>
      </c>
      <c r="L9" s="320">
        <v>75</v>
      </c>
      <c r="M9" s="321"/>
      <c r="N9" s="119">
        <f>IFERROR($G9*INDEX('Carbon factors'!$B$4:$B$10,MATCH($H9,Fuel_Type,0),1),"")</f>
        <v>626.78880000000004</v>
      </c>
      <c r="O9" s="120">
        <f>IFERROR($I9*INDEX('Carbon factors'!$B$4:$B$10,MATCH($J9,Fuel_Type,0),1),"")</f>
        <v>424.02527999999995</v>
      </c>
      <c r="P9" s="120">
        <f>IF(K9="","",K9*'Carbon factors'!$B$5)</f>
        <v>151.49609999999998</v>
      </c>
      <c r="Q9" s="120">
        <f>IF(L9="","",L9*'Carbon factors'!$B$5)</f>
        <v>38.925000000000004</v>
      </c>
      <c r="R9" s="120" t="str">
        <f>IF(M9="","",M9*'Carbon factors'!$B$5)</f>
        <v/>
      </c>
      <c r="S9" s="263">
        <f t="shared" si="4"/>
        <v>1241.2351800000001</v>
      </c>
      <c r="T9" s="125">
        <f>IFERROR($G9*INDEX('Carbon factors'!$C$4:$C$10,MATCH($H9,Fuel_Type,0),1),"")</f>
        <v>609.37800000000004</v>
      </c>
      <c r="U9" s="120">
        <f>IFERROR($I9*INDEX('Carbon factors'!$C$4:$C$10,MATCH($J9,Fuel_Type,0),1),"")</f>
        <v>412.24679999999995</v>
      </c>
      <c r="V9" s="120">
        <f>IF(K9="","",K9*'Carbon factors'!$C$5)</f>
        <v>68.012699999999995</v>
      </c>
      <c r="W9" s="120">
        <f>IF(L9="","",L9*'Carbon factors'!$C$5)</f>
        <v>17.475000000000001</v>
      </c>
      <c r="X9" s="120" t="str">
        <f>IF(M9="","",M9*'Carbon factors'!$C$5)</f>
        <v/>
      </c>
      <c r="Y9" s="221">
        <f t="shared" si="5"/>
        <v>1107.1125</v>
      </c>
      <c r="Z9" s="61">
        <f t="shared" si="6"/>
        <v>17.032499999999999</v>
      </c>
      <c r="AA9" s="281">
        <v>55.9</v>
      </c>
    </row>
    <row r="10" spans="1:27" ht="13.5" customHeight="1">
      <c r="A10" s="99" t="s">
        <v>285</v>
      </c>
      <c r="B10" s="100">
        <v>120</v>
      </c>
      <c r="C10" s="100">
        <v>2</v>
      </c>
      <c r="D10" s="101">
        <f t="shared" si="1"/>
        <v>240</v>
      </c>
      <c r="E10" s="96">
        <f t="shared" si="0"/>
        <v>16.33457825</v>
      </c>
      <c r="F10" s="109">
        <v>16.329999999999998</v>
      </c>
      <c r="G10" s="320">
        <v>5541.97</v>
      </c>
      <c r="H10" s="141" t="str">
        <f t="shared" si="2"/>
        <v>Natural Gas</v>
      </c>
      <c r="I10" s="320">
        <v>2273.62</v>
      </c>
      <c r="J10" s="321" t="str">
        <f t="shared" si="3"/>
        <v>Natural Gas</v>
      </c>
      <c r="K10" s="320">
        <v>449.05</v>
      </c>
      <c r="L10" s="320">
        <v>75</v>
      </c>
      <c r="M10" s="321"/>
      <c r="N10" s="119">
        <f>IFERROR($G10*INDEX('Carbon factors'!$B$4:$B$10,MATCH($H10,Fuel_Type,0),1),"")</f>
        <v>1197.0655200000001</v>
      </c>
      <c r="O10" s="120">
        <f>IFERROR($I10*INDEX('Carbon factors'!$B$4:$B$10,MATCH($J10,Fuel_Type,0),1),"")</f>
        <v>491.10191999999995</v>
      </c>
      <c r="P10" s="120">
        <f>IF(K10="","",K10*'Carbon factors'!$B$5)</f>
        <v>233.05695</v>
      </c>
      <c r="Q10" s="120">
        <f>IF(L10="","",L10*'Carbon factors'!$B$5)</f>
        <v>38.925000000000004</v>
      </c>
      <c r="R10" s="120" t="str">
        <f>IF(M10="","",M10*'Carbon factors'!$B$5)</f>
        <v/>
      </c>
      <c r="S10" s="263">
        <f t="shared" si="4"/>
        <v>1960.14939</v>
      </c>
      <c r="T10" s="125">
        <f>IFERROR($G10*INDEX('Carbon factors'!$C$4:$C$10,MATCH($H10,Fuel_Type,0),1),"")</f>
        <v>1163.8136999999999</v>
      </c>
      <c r="U10" s="120">
        <f>IFERROR($I10*INDEX('Carbon factors'!$C$4:$C$10,MATCH($J10,Fuel_Type,0),1),"")</f>
        <v>477.46019999999999</v>
      </c>
      <c r="V10" s="120">
        <f>IF(K10="","",K10*'Carbon factors'!$C$5)</f>
        <v>104.62865000000001</v>
      </c>
      <c r="W10" s="120">
        <f>IF(L10="","",L10*'Carbon factors'!$C$5)</f>
        <v>17.475000000000001</v>
      </c>
      <c r="X10" s="120" t="str">
        <f>IF(M10="","",M10*'Carbon factors'!$C$5)</f>
        <v/>
      </c>
      <c r="Y10" s="221">
        <f t="shared" si="5"/>
        <v>1763.3775499999999</v>
      </c>
      <c r="Z10" s="61">
        <f t="shared" si="6"/>
        <v>14.694812916666667</v>
      </c>
      <c r="AA10" s="281">
        <v>55.7</v>
      </c>
    </row>
    <row r="11" spans="1:27" ht="13.5" customHeight="1">
      <c r="A11" s="99" t="s">
        <v>286</v>
      </c>
      <c r="B11" s="100">
        <v>73</v>
      </c>
      <c r="C11" s="100">
        <v>2</v>
      </c>
      <c r="D11" s="101">
        <f t="shared" si="1"/>
        <v>146</v>
      </c>
      <c r="E11" s="96">
        <f t="shared" si="0"/>
        <v>18.867849863013699</v>
      </c>
      <c r="F11" s="109">
        <v>18.87</v>
      </c>
      <c r="G11" s="320">
        <v>3355.34</v>
      </c>
      <c r="H11" s="141" t="str">
        <f t="shared" si="2"/>
        <v>Natural Gas</v>
      </c>
      <c r="I11" s="320">
        <v>2045.19</v>
      </c>
      <c r="J11" s="321" t="str">
        <f t="shared" si="3"/>
        <v>Natural Gas</v>
      </c>
      <c r="K11" s="320">
        <v>331.24</v>
      </c>
      <c r="L11" s="320">
        <v>75</v>
      </c>
      <c r="M11" s="321"/>
      <c r="N11" s="119">
        <f>IFERROR($G11*INDEX('Carbon factors'!$B$4:$B$10,MATCH($H11,Fuel_Type,0),1),"")</f>
        <v>724.75344000000007</v>
      </c>
      <c r="O11" s="120">
        <f>IFERROR($I11*INDEX('Carbon factors'!$B$4:$B$10,MATCH($J11,Fuel_Type,0),1),"")</f>
        <v>441.76103999999998</v>
      </c>
      <c r="P11" s="120">
        <f>IF(K11="","",K11*'Carbon factors'!$B$5)</f>
        <v>171.91356000000002</v>
      </c>
      <c r="Q11" s="120">
        <f>IF(L11="","",L11*'Carbon factors'!$B$5)</f>
        <v>38.925000000000004</v>
      </c>
      <c r="R11" s="120" t="str">
        <f>IF(M11="","",M11*'Carbon factors'!$B$5)</f>
        <v/>
      </c>
      <c r="S11" s="263">
        <f t="shared" si="4"/>
        <v>1377.35304</v>
      </c>
      <c r="T11" s="125">
        <f>IFERROR($G11*INDEX('Carbon factors'!$C$4:$C$10,MATCH($H11,Fuel_Type,0),1),"")</f>
        <v>704.62139999999999</v>
      </c>
      <c r="U11" s="120">
        <f>IFERROR($I11*INDEX('Carbon factors'!$C$4:$C$10,MATCH($J11,Fuel_Type,0),1),"")</f>
        <v>429.48989999999998</v>
      </c>
      <c r="V11" s="120">
        <f>IF(K11="","",K11*'Carbon factors'!$C$5)</f>
        <v>77.178920000000005</v>
      </c>
      <c r="W11" s="120">
        <f>IF(L11="","",L11*'Carbon factors'!$C$5)</f>
        <v>17.475000000000001</v>
      </c>
      <c r="X11" s="120" t="str">
        <f>IF(M11="","",M11*'Carbon factors'!$C$5)</f>
        <v/>
      </c>
      <c r="Y11" s="221">
        <f t="shared" si="5"/>
        <v>1228.76522</v>
      </c>
      <c r="Z11" s="61">
        <f t="shared" si="6"/>
        <v>16.832400273972603</v>
      </c>
      <c r="AA11" s="281">
        <v>56.4</v>
      </c>
    </row>
    <row r="12" spans="1:27" ht="13.5" customHeight="1">
      <c r="A12" s="99" t="s">
        <v>287</v>
      </c>
      <c r="B12" s="100">
        <v>125</v>
      </c>
      <c r="C12" s="100">
        <v>1</v>
      </c>
      <c r="D12" s="101">
        <f t="shared" si="1"/>
        <v>125</v>
      </c>
      <c r="E12" s="96">
        <f t="shared" si="0"/>
        <v>19.338766080000003</v>
      </c>
      <c r="F12" s="109">
        <v>19.34</v>
      </c>
      <c r="G12" s="320">
        <v>7640.56</v>
      </c>
      <c r="H12" s="141" t="str">
        <f t="shared" si="2"/>
        <v>Natural Gas</v>
      </c>
      <c r="I12" s="320">
        <v>2267.58</v>
      </c>
      <c r="J12" s="321" t="str">
        <f t="shared" si="3"/>
        <v>Natural Gas</v>
      </c>
      <c r="K12" s="320">
        <v>459.08</v>
      </c>
      <c r="L12" s="320">
        <v>75</v>
      </c>
      <c r="M12" s="321"/>
      <c r="N12" s="119">
        <f>IFERROR($G12*INDEX('Carbon factors'!$B$4:$B$10,MATCH($H12,Fuel_Type,0),1),"")</f>
        <v>1650.36096</v>
      </c>
      <c r="O12" s="120">
        <f>IFERROR($I12*INDEX('Carbon factors'!$B$4:$B$10,MATCH($J12,Fuel_Type,0),1),"")</f>
        <v>489.79728</v>
      </c>
      <c r="P12" s="120">
        <f>IF(K12="","",K12*'Carbon factors'!$B$5)</f>
        <v>238.26251999999999</v>
      </c>
      <c r="Q12" s="120">
        <f>IF(L12="","",L12*'Carbon factors'!$B$5)</f>
        <v>38.925000000000004</v>
      </c>
      <c r="R12" s="120" t="str">
        <f>IF(M12="","",M12*'Carbon factors'!$B$5)</f>
        <v/>
      </c>
      <c r="S12" s="263">
        <f t="shared" si="4"/>
        <v>2417.3457600000002</v>
      </c>
      <c r="T12" s="125">
        <f>IFERROR($G12*INDEX('Carbon factors'!$C$4:$C$10,MATCH($H12,Fuel_Type,0),1),"")</f>
        <v>1604.5176000000001</v>
      </c>
      <c r="U12" s="120">
        <f>IFERROR($I12*INDEX('Carbon factors'!$C$4:$C$10,MATCH($J12,Fuel_Type,0),1),"")</f>
        <v>476.19179999999994</v>
      </c>
      <c r="V12" s="120">
        <f>IF(K12="","",K12*'Carbon factors'!$C$5)</f>
        <v>106.96564000000001</v>
      </c>
      <c r="W12" s="120">
        <f>IF(L12="","",L12*'Carbon factors'!$C$5)</f>
        <v>17.475000000000001</v>
      </c>
      <c r="X12" s="120" t="str">
        <f>IF(M12="","",M12*'Carbon factors'!$C$5)</f>
        <v/>
      </c>
      <c r="Y12" s="221">
        <f t="shared" si="5"/>
        <v>2205.15004</v>
      </c>
      <c r="Z12" s="61">
        <f t="shared" si="6"/>
        <v>17.641200319999999</v>
      </c>
      <c r="AA12" s="281">
        <v>73.099999999999994</v>
      </c>
    </row>
    <row r="13" spans="1:27" ht="13.5" customHeight="1">
      <c r="A13" s="99" t="s">
        <v>288</v>
      </c>
      <c r="B13" s="100">
        <v>113</v>
      </c>
      <c r="C13" s="100">
        <v>2</v>
      </c>
      <c r="D13" s="101">
        <f t="shared" si="1"/>
        <v>226</v>
      </c>
      <c r="E13" s="96">
        <f t="shared" si="0"/>
        <v>20.01726</v>
      </c>
      <c r="F13" s="109">
        <v>20.02</v>
      </c>
      <c r="G13" s="320">
        <v>7000</v>
      </c>
      <c r="H13" s="141" t="str">
        <f t="shared" si="2"/>
        <v>Natural Gas</v>
      </c>
      <c r="I13" s="320">
        <v>2248.4499999999998</v>
      </c>
      <c r="J13" s="321" t="str">
        <f t="shared" si="3"/>
        <v>Natural Gas</v>
      </c>
      <c r="K13" s="320">
        <v>434.22</v>
      </c>
      <c r="L13" s="320">
        <v>75</v>
      </c>
      <c r="M13" s="321"/>
      <c r="N13" s="119">
        <f>IFERROR($G13*INDEX('Carbon factors'!$B$4:$B$10,MATCH($H13,Fuel_Type,0),1),"")</f>
        <v>1512</v>
      </c>
      <c r="O13" s="120">
        <f>IFERROR($I13*INDEX('Carbon factors'!$B$4:$B$10,MATCH($J13,Fuel_Type,0),1),"")</f>
        <v>485.66519999999997</v>
      </c>
      <c r="P13" s="120">
        <f>IF(K13="","",K13*'Carbon factors'!$B$5)</f>
        <v>225.36018000000001</v>
      </c>
      <c r="Q13" s="120">
        <f>IF(L13="","",L13*'Carbon factors'!$B$5)</f>
        <v>38.925000000000004</v>
      </c>
      <c r="R13" s="120" t="str">
        <f>IF(M13="","",M13*'Carbon factors'!$B$5)</f>
        <v/>
      </c>
      <c r="S13" s="263">
        <f t="shared" si="4"/>
        <v>2261.9503800000002</v>
      </c>
      <c r="T13" s="125">
        <f>IFERROR($G13*INDEX('Carbon factors'!$C$4:$C$10,MATCH($H13,Fuel_Type,0),1),"")</f>
        <v>1470</v>
      </c>
      <c r="U13" s="120">
        <f>IFERROR($I13*INDEX('Carbon factors'!$C$4:$C$10,MATCH($J13,Fuel_Type,0),1),"")</f>
        <v>472.17449999999997</v>
      </c>
      <c r="V13" s="120">
        <f>IF(K13="","",K13*'Carbon factors'!$C$5)</f>
        <v>101.17326000000001</v>
      </c>
      <c r="W13" s="120">
        <f>IF(L13="","",L13*'Carbon factors'!$C$5)</f>
        <v>17.475000000000001</v>
      </c>
      <c r="X13" s="120" t="str">
        <f>IF(M13="","",M13*'Carbon factors'!$C$5)</f>
        <v/>
      </c>
      <c r="Y13" s="221">
        <f t="shared" si="5"/>
        <v>2060.82276</v>
      </c>
      <c r="Z13" s="61">
        <f t="shared" si="6"/>
        <v>18.237369557522126</v>
      </c>
      <c r="AA13" s="281">
        <v>74.3</v>
      </c>
    </row>
    <row r="14" spans="1:27" ht="13.5" customHeight="1">
      <c r="A14" s="99" t="s">
        <v>289</v>
      </c>
      <c r="B14" s="100">
        <v>171</v>
      </c>
      <c r="C14" s="100">
        <v>1</v>
      </c>
      <c r="D14" s="101">
        <f t="shared" si="1"/>
        <v>171</v>
      </c>
      <c r="E14" s="96">
        <f t="shared" si="0"/>
        <v>19.593898771929823</v>
      </c>
      <c r="F14" s="109">
        <v>19.59</v>
      </c>
      <c r="G14" s="320">
        <v>11743.51</v>
      </c>
      <c r="H14" s="141" t="str">
        <f t="shared" si="2"/>
        <v>Natural Gas</v>
      </c>
      <c r="I14" s="320">
        <v>2292.1799999999998</v>
      </c>
      <c r="J14" s="321" t="str">
        <f t="shared" si="3"/>
        <v>Natural Gas</v>
      </c>
      <c r="K14" s="320">
        <v>539.35</v>
      </c>
      <c r="L14" s="320">
        <v>75</v>
      </c>
      <c r="M14" s="321"/>
      <c r="N14" s="119">
        <f>IFERROR($G14*INDEX('Carbon factors'!$B$4:$B$10,MATCH($H14,Fuel_Type,0),1),"")</f>
        <v>2536.59816</v>
      </c>
      <c r="O14" s="120">
        <f>IFERROR($I14*INDEX('Carbon factors'!$B$4:$B$10,MATCH($J14,Fuel_Type,0),1),"")</f>
        <v>495.11087999999995</v>
      </c>
      <c r="P14" s="120">
        <f>IF(K14="","",K14*'Carbon factors'!$B$5)</f>
        <v>279.92265000000003</v>
      </c>
      <c r="Q14" s="120">
        <f>IF(L14="","",L14*'Carbon factors'!$B$5)</f>
        <v>38.925000000000004</v>
      </c>
      <c r="R14" s="120" t="str">
        <f>IF(M14="","",M14*'Carbon factors'!$B$5)</f>
        <v/>
      </c>
      <c r="S14" s="263">
        <f t="shared" si="4"/>
        <v>3350.5566899999999</v>
      </c>
      <c r="T14" s="125">
        <f>IFERROR($G14*INDEX('Carbon factors'!$C$4:$C$10,MATCH($H14,Fuel_Type,0),1),"")</f>
        <v>2466.1370999999999</v>
      </c>
      <c r="U14" s="120">
        <f>IFERROR($I14*INDEX('Carbon factors'!$C$4:$C$10,MATCH($J14,Fuel_Type,0),1),"")</f>
        <v>481.35779999999994</v>
      </c>
      <c r="V14" s="120">
        <f>IF(K14="","",K14*'Carbon factors'!$C$5)</f>
        <v>125.66855000000001</v>
      </c>
      <c r="W14" s="120">
        <f>IF(L14="","",L14*'Carbon factors'!$C$5)</f>
        <v>17.475000000000001</v>
      </c>
      <c r="X14" s="120" t="str">
        <f>IF(M14="","",M14*'Carbon factors'!$C$5)</f>
        <v/>
      </c>
      <c r="Y14" s="221">
        <f t="shared" si="5"/>
        <v>3090.6384499999995</v>
      </c>
      <c r="Z14" s="61">
        <f t="shared" si="6"/>
        <v>18.073909064327481</v>
      </c>
      <c r="AA14" s="281">
        <v>80.900000000000006</v>
      </c>
    </row>
    <row r="15" spans="1:27" ht="13.5" customHeight="1">
      <c r="A15" s="99" t="s">
        <v>290</v>
      </c>
      <c r="B15" s="100">
        <v>90</v>
      </c>
      <c r="C15" s="100">
        <v>2</v>
      </c>
      <c r="D15" s="101">
        <f t="shared" si="1"/>
        <v>180</v>
      </c>
      <c r="E15" s="96">
        <f t="shared" si="0"/>
        <v>17.628307</v>
      </c>
      <c r="F15" s="109">
        <v>17.63</v>
      </c>
      <c r="G15" s="320">
        <v>4082.47</v>
      </c>
      <c r="H15" s="141" t="str">
        <f t="shared" si="2"/>
        <v>Natural Gas</v>
      </c>
      <c r="I15" s="320">
        <v>2178.02</v>
      </c>
      <c r="J15" s="321" t="str">
        <f t="shared" si="3"/>
        <v>Natural Gas</v>
      </c>
      <c r="K15" s="320">
        <v>376.41</v>
      </c>
      <c r="L15" s="320">
        <v>75</v>
      </c>
      <c r="M15" s="321"/>
      <c r="N15" s="119">
        <f>IFERROR($G15*INDEX('Carbon factors'!$B$4:$B$10,MATCH($H15,Fuel_Type,0),1),"")</f>
        <v>881.81351999999993</v>
      </c>
      <c r="O15" s="120">
        <f>IFERROR($I15*INDEX('Carbon factors'!$B$4:$B$10,MATCH($J15,Fuel_Type,0),1),"")</f>
        <v>470.45231999999999</v>
      </c>
      <c r="P15" s="120">
        <f>IF(K15="","",K15*'Carbon factors'!$B$5)</f>
        <v>195.35679000000002</v>
      </c>
      <c r="Q15" s="120">
        <f>IF(L15="","",L15*'Carbon factors'!$B$5)</f>
        <v>38.925000000000004</v>
      </c>
      <c r="R15" s="120" t="str">
        <f>IF(M15="","",M15*'Carbon factors'!$B$5)</f>
        <v/>
      </c>
      <c r="S15" s="263">
        <f t="shared" si="4"/>
        <v>1586.54763</v>
      </c>
      <c r="T15" s="125">
        <f>IFERROR($G15*INDEX('Carbon factors'!$C$4:$C$10,MATCH($H15,Fuel_Type,0),1),"")</f>
        <v>857.31869999999992</v>
      </c>
      <c r="U15" s="120">
        <f>IFERROR($I15*INDEX('Carbon factors'!$C$4:$C$10,MATCH($J15,Fuel_Type,0),1),"")</f>
        <v>457.38419999999996</v>
      </c>
      <c r="V15" s="120">
        <f>IF(K15="","",K15*'Carbon factors'!$C$5)</f>
        <v>87.703530000000015</v>
      </c>
      <c r="W15" s="120">
        <f>IF(L15="","",L15*'Carbon factors'!$C$5)</f>
        <v>17.475000000000001</v>
      </c>
      <c r="X15" s="120" t="str">
        <f>IF(M15="","",M15*'Carbon factors'!$C$5)</f>
        <v/>
      </c>
      <c r="Y15" s="221">
        <f t="shared" si="5"/>
        <v>1419.8814299999997</v>
      </c>
      <c r="Z15" s="61">
        <f t="shared" si="6"/>
        <v>15.776460333333329</v>
      </c>
      <c r="AA15" s="281">
        <v>56.6</v>
      </c>
    </row>
    <row r="16" spans="1:27" ht="13.5" customHeight="1">
      <c r="A16" s="99" t="s">
        <v>323</v>
      </c>
      <c r="B16" s="100">
        <v>74</v>
      </c>
      <c r="C16" s="100">
        <v>1</v>
      </c>
      <c r="D16" s="101">
        <f t="shared" si="1"/>
        <v>74</v>
      </c>
      <c r="E16" s="96">
        <f t="shared" si="0"/>
        <v>16.44695918918919</v>
      </c>
      <c r="F16" s="109">
        <v>16.45</v>
      </c>
      <c r="G16" s="320">
        <v>2596.67</v>
      </c>
      <c r="H16" s="141" t="str">
        <f t="shared" si="2"/>
        <v>Natural Gas</v>
      </c>
      <c r="I16" s="320">
        <v>2068.8000000000002</v>
      </c>
      <c r="J16" s="321" t="str">
        <f t="shared" si="3"/>
        <v>Natural Gas</v>
      </c>
      <c r="K16" s="320">
        <v>328.34</v>
      </c>
      <c r="L16" s="320">
        <v>75</v>
      </c>
      <c r="M16" s="321"/>
      <c r="N16" s="119">
        <f>IFERROR($G16*INDEX('Carbon factors'!$B$4:$B$10,MATCH($H16,Fuel_Type,0),1),"")</f>
        <v>560.88072</v>
      </c>
      <c r="O16" s="120">
        <f>IFERROR($I16*INDEX('Carbon factors'!$B$4:$B$10,MATCH($J16,Fuel_Type,0),1),"")</f>
        <v>446.86080000000004</v>
      </c>
      <c r="P16" s="120">
        <f>IF(K16="","",K16*'Carbon factors'!$B$5)</f>
        <v>170.40845999999999</v>
      </c>
      <c r="Q16" s="120">
        <f>IF(L16="","",L16*'Carbon factors'!$B$5)</f>
        <v>38.925000000000004</v>
      </c>
      <c r="R16" s="120" t="str">
        <f>IF(M16="","",M16*'Carbon factors'!$B$5)</f>
        <v/>
      </c>
      <c r="S16" s="263">
        <f t="shared" si="4"/>
        <v>1217.0749800000001</v>
      </c>
      <c r="T16" s="125">
        <f>IFERROR($G16*INDEX('Carbon factors'!$C$4:$C$10,MATCH($H16,Fuel_Type,0),1),"")</f>
        <v>545.30070000000001</v>
      </c>
      <c r="U16" s="120">
        <f>IFERROR($I16*INDEX('Carbon factors'!$C$4:$C$10,MATCH($J16,Fuel_Type,0),1),"")</f>
        <v>434.44800000000004</v>
      </c>
      <c r="V16" s="120">
        <f>IF(K16="","",K16*'Carbon factors'!$C$5)</f>
        <v>76.503219999999999</v>
      </c>
      <c r="W16" s="120">
        <f>IF(L16="","",L16*'Carbon factors'!$C$5)</f>
        <v>17.475000000000001</v>
      </c>
      <c r="X16" s="120" t="str">
        <f>IF(M16="","",M16*'Carbon factors'!$C$5)</f>
        <v/>
      </c>
      <c r="Y16" s="221">
        <f t="shared" si="5"/>
        <v>1073.7269200000001</v>
      </c>
      <c r="Z16" s="61">
        <f t="shared" si="6"/>
        <v>14.509823243243243</v>
      </c>
      <c r="AA16" s="281">
        <v>44.8</v>
      </c>
    </row>
    <row r="17" spans="1:27" ht="13.5" customHeight="1">
      <c r="A17" s="99" t="s">
        <v>291</v>
      </c>
      <c r="B17" s="100">
        <v>51</v>
      </c>
      <c r="C17" s="100">
        <v>13</v>
      </c>
      <c r="D17" s="101">
        <f t="shared" si="1"/>
        <v>663</v>
      </c>
      <c r="E17" s="96">
        <f t="shared" si="0"/>
        <v>17.38841</v>
      </c>
      <c r="F17" s="109">
        <v>17.39</v>
      </c>
      <c r="G17" s="320">
        <v>1549.71</v>
      </c>
      <c r="H17" s="141" t="str">
        <f t="shared" si="2"/>
        <v>Natural Gas</v>
      </c>
      <c r="I17" s="320">
        <v>1807.83</v>
      </c>
      <c r="J17" s="321" t="str">
        <f t="shared" si="3"/>
        <v>Natural Gas</v>
      </c>
      <c r="K17" s="320">
        <v>236.33</v>
      </c>
      <c r="L17" s="320">
        <v>75</v>
      </c>
      <c r="M17" s="321"/>
      <c r="N17" s="119">
        <f>IFERROR($G17*INDEX('Carbon factors'!$B$4:$B$10,MATCH($H17,Fuel_Type,0),1),"")</f>
        <v>334.73736000000002</v>
      </c>
      <c r="O17" s="120">
        <f>IFERROR($I17*INDEX('Carbon factors'!$B$4:$B$10,MATCH($J17,Fuel_Type,0),1),"")</f>
        <v>390.49127999999996</v>
      </c>
      <c r="P17" s="120">
        <f>IF(K17="","",K17*'Carbon factors'!$B$5)</f>
        <v>122.65527000000002</v>
      </c>
      <c r="Q17" s="120">
        <f>IF(L17="","",L17*'Carbon factors'!$B$5)</f>
        <v>38.925000000000004</v>
      </c>
      <c r="R17" s="120" t="str">
        <f>IF(M17="","",M17*'Carbon factors'!$B$5)</f>
        <v/>
      </c>
      <c r="S17" s="263">
        <f t="shared" si="4"/>
        <v>886.80890999999997</v>
      </c>
      <c r="T17" s="125">
        <f>IFERROR($G17*INDEX('Carbon factors'!$C$4:$C$10,MATCH($H17,Fuel_Type,0),1),"")</f>
        <v>325.4391</v>
      </c>
      <c r="U17" s="120">
        <f>IFERROR($I17*INDEX('Carbon factors'!$C$4:$C$10,MATCH($J17,Fuel_Type,0),1),"")</f>
        <v>379.64429999999999</v>
      </c>
      <c r="V17" s="120">
        <f>IF(K17="","",K17*'Carbon factors'!$C$5)</f>
        <v>55.064890000000005</v>
      </c>
      <c r="W17" s="120">
        <f>IF(L17="","",L17*'Carbon factors'!$C$5)</f>
        <v>17.475000000000001</v>
      </c>
      <c r="X17" s="120" t="str">
        <f>IF(M17="","",M17*'Carbon factors'!$C$5)</f>
        <v/>
      </c>
      <c r="Y17" s="221">
        <f t="shared" si="5"/>
        <v>777.62329</v>
      </c>
      <c r="Z17" s="61">
        <f t="shared" si="6"/>
        <v>15.247515490196079</v>
      </c>
      <c r="AA17" s="281">
        <v>41.4</v>
      </c>
    </row>
    <row r="18" spans="1:27" ht="13.5" customHeight="1">
      <c r="A18" s="99" t="s">
        <v>324</v>
      </c>
      <c r="B18" s="100">
        <v>73</v>
      </c>
      <c r="C18" s="100">
        <v>10</v>
      </c>
      <c r="D18" s="101">
        <f t="shared" si="1"/>
        <v>730</v>
      </c>
      <c r="E18" s="96">
        <f t="shared" si="0"/>
        <v>15.386648630136985</v>
      </c>
      <c r="F18" s="109">
        <v>15.39</v>
      </c>
      <c r="G18" s="320">
        <v>2179.5100000000002</v>
      </c>
      <c r="H18" s="141" t="str">
        <f t="shared" si="2"/>
        <v>Natural Gas</v>
      </c>
      <c r="I18" s="320">
        <v>2067.9299999999998</v>
      </c>
      <c r="J18" s="321" t="str">
        <f t="shared" si="3"/>
        <v>Natural Gas</v>
      </c>
      <c r="K18" s="320">
        <v>321.49</v>
      </c>
      <c r="L18" s="320">
        <v>75</v>
      </c>
      <c r="M18" s="321"/>
      <c r="N18" s="119">
        <f>IFERROR($G18*INDEX('Carbon factors'!$B$4:$B$10,MATCH($H18,Fuel_Type,0),1),"")</f>
        <v>470.77416000000005</v>
      </c>
      <c r="O18" s="120">
        <f>IFERROR($I18*INDEX('Carbon factors'!$B$4:$B$10,MATCH($J18,Fuel_Type,0),1),"")</f>
        <v>446.67287999999996</v>
      </c>
      <c r="P18" s="120">
        <f>IF(K18="","",K18*'Carbon factors'!$B$5)</f>
        <v>166.85331000000002</v>
      </c>
      <c r="Q18" s="120">
        <f>IF(L18="","",L18*'Carbon factors'!$B$5)</f>
        <v>38.925000000000004</v>
      </c>
      <c r="R18" s="120" t="str">
        <f>IF(M18="","",M18*'Carbon factors'!$B$5)</f>
        <v/>
      </c>
      <c r="S18" s="263">
        <f t="shared" si="4"/>
        <v>1123.2253499999999</v>
      </c>
      <c r="T18" s="125">
        <f>IFERROR($G18*INDEX('Carbon factors'!$C$4:$C$10,MATCH($H18,Fuel_Type,0),1),"")</f>
        <v>457.69710000000003</v>
      </c>
      <c r="U18" s="120">
        <f>IFERROR($I18*INDEX('Carbon factors'!$C$4:$C$10,MATCH($J18,Fuel_Type,0),1),"")</f>
        <v>434.26529999999997</v>
      </c>
      <c r="V18" s="120">
        <f>IF(K18="","",K18*'Carbon factors'!$C$5)</f>
        <v>74.907170000000008</v>
      </c>
      <c r="W18" s="120">
        <f>IF(L18="","",L18*'Carbon factors'!$C$5)</f>
        <v>17.475000000000001</v>
      </c>
      <c r="X18" s="120" t="str">
        <f>IF(M18="","",M18*'Carbon factors'!$C$5)</f>
        <v/>
      </c>
      <c r="Y18" s="221">
        <f t="shared" si="5"/>
        <v>984.34457000000009</v>
      </c>
      <c r="Z18" s="61">
        <f t="shared" si="6"/>
        <v>13.484172191780823</v>
      </c>
      <c r="AA18" s="281">
        <v>39.700000000000003</v>
      </c>
    </row>
    <row r="19" spans="1:27" ht="13.5" customHeight="1">
      <c r="A19" s="99" t="s">
        <v>292</v>
      </c>
      <c r="B19" s="100">
        <v>95</v>
      </c>
      <c r="C19" s="100">
        <v>1</v>
      </c>
      <c r="D19" s="101">
        <f t="shared" si="1"/>
        <v>95</v>
      </c>
      <c r="E19" s="96">
        <f t="shared" si="0"/>
        <v>16.954846421052633</v>
      </c>
      <c r="F19" s="109">
        <v>16.95</v>
      </c>
      <c r="G19" s="320">
        <v>4113.26</v>
      </c>
      <c r="H19" s="141" t="str">
        <f t="shared" si="2"/>
        <v>Natural Gas</v>
      </c>
      <c r="I19" s="320">
        <v>2204.84</v>
      </c>
      <c r="J19" s="321" t="str">
        <f t="shared" si="3"/>
        <v>Natural Gas</v>
      </c>
      <c r="K19" s="320">
        <v>398.99</v>
      </c>
      <c r="L19" s="320">
        <v>75</v>
      </c>
      <c r="M19" s="321"/>
      <c r="N19" s="119">
        <f>IFERROR($G19*INDEX('Carbon factors'!$B$4:$B$10,MATCH($H19,Fuel_Type,0),1),"")</f>
        <v>888.46415999999999</v>
      </c>
      <c r="O19" s="120">
        <f>IFERROR($I19*INDEX('Carbon factors'!$B$4:$B$10,MATCH($J19,Fuel_Type,0),1),"")</f>
        <v>476.24544000000003</v>
      </c>
      <c r="P19" s="120">
        <f>IF(K19="","",K19*'Carbon factors'!$B$5)</f>
        <v>207.07581000000002</v>
      </c>
      <c r="Q19" s="120">
        <f>IF(L19="","",L19*'Carbon factors'!$B$5)</f>
        <v>38.925000000000004</v>
      </c>
      <c r="R19" s="120" t="str">
        <f>IF(M19="","",M19*'Carbon factors'!$B$5)</f>
        <v/>
      </c>
      <c r="S19" s="263">
        <f t="shared" si="4"/>
        <v>1610.7104100000001</v>
      </c>
      <c r="T19" s="125">
        <f>IFERROR($G19*INDEX('Carbon factors'!$C$4:$C$10,MATCH($H19,Fuel_Type,0),1),"")</f>
        <v>863.78460000000007</v>
      </c>
      <c r="U19" s="120">
        <f>IFERROR($I19*INDEX('Carbon factors'!$C$4:$C$10,MATCH($J19,Fuel_Type,0),1),"")</f>
        <v>463.01640000000003</v>
      </c>
      <c r="V19" s="120">
        <f>IF(K19="","",K19*'Carbon factors'!$C$5)</f>
        <v>92.964670000000012</v>
      </c>
      <c r="W19" s="120">
        <f>IF(L19="","",L19*'Carbon factors'!$C$5)</f>
        <v>17.475000000000001</v>
      </c>
      <c r="X19" s="120" t="str">
        <f>IF(M19="","",M19*'Carbon factors'!$C$5)</f>
        <v/>
      </c>
      <c r="Y19" s="221">
        <f t="shared" si="5"/>
        <v>1437.2406700000001</v>
      </c>
      <c r="Z19" s="61">
        <f t="shared" si="6"/>
        <v>15.128849157894738</v>
      </c>
      <c r="AA19" s="281">
        <v>53.2</v>
      </c>
    </row>
    <row r="20" spans="1:27" ht="13.5" customHeight="1">
      <c r="A20" s="99" t="s">
        <v>293</v>
      </c>
      <c r="B20" s="100">
        <v>53</v>
      </c>
      <c r="C20" s="100">
        <v>4</v>
      </c>
      <c r="D20" s="101">
        <f t="shared" si="1"/>
        <v>212</v>
      </c>
      <c r="E20" s="96">
        <f t="shared" si="0"/>
        <v>17.105800754716981</v>
      </c>
      <c r="F20" s="109">
        <v>17.11</v>
      </c>
      <c r="G20" s="320">
        <v>1560.85</v>
      </c>
      <c r="H20" s="141" t="str">
        <f t="shared" si="2"/>
        <v>Natural Gas</v>
      </c>
      <c r="I20" s="320">
        <v>1833.11</v>
      </c>
      <c r="J20" s="321" t="str">
        <f t="shared" si="3"/>
        <v>Natural Gas</v>
      </c>
      <c r="K20" s="320">
        <v>259.32</v>
      </c>
      <c r="L20" s="320">
        <v>75</v>
      </c>
      <c r="M20" s="321"/>
      <c r="N20" s="119">
        <f>IFERROR($G20*INDEX('Carbon factors'!$B$4:$B$10,MATCH($H20,Fuel_Type,0),1),"")</f>
        <v>337.14359999999999</v>
      </c>
      <c r="O20" s="120">
        <f>IFERROR($I20*INDEX('Carbon factors'!$B$4:$B$10,MATCH($J20,Fuel_Type,0),1),"")</f>
        <v>395.95175999999998</v>
      </c>
      <c r="P20" s="120">
        <f>IF(K20="","",K20*'Carbon factors'!$B$5)</f>
        <v>134.58708000000001</v>
      </c>
      <c r="Q20" s="120">
        <f>IF(L20="","",L20*'Carbon factors'!$B$5)</f>
        <v>38.925000000000004</v>
      </c>
      <c r="R20" s="120" t="str">
        <f>IF(M20="","",M20*'Carbon factors'!$B$5)</f>
        <v/>
      </c>
      <c r="S20" s="263">
        <f t="shared" si="4"/>
        <v>906.60744</v>
      </c>
      <c r="T20" s="125">
        <f>IFERROR($G20*INDEX('Carbon factors'!$C$4:$C$10,MATCH($H20,Fuel_Type,0),1),"")</f>
        <v>327.77849999999995</v>
      </c>
      <c r="U20" s="120">
        <f>IFERROR($I20*INDEX('Carbon factors'!$C$4:$C$10,MATCH($J20,Fuel_Type,0),1),"")</f>
        <v>384.95309999999995</v>
      </c>
      <c r="V20" s="120">
        <f>IF(K20="","",K20*'Carbon factors'!$C$5)</f>
        <v>60.421559999999999</v>
      </c>
      <c r="W20" s="120">
        <f>IF(L20="","",L20*'Carbon factors'!$C$5)</f>
        <v>17.475000000000001</v>
      </c>
      <c r="X20" s="120" t="str">
        <f>IF(M20="","",M20*'Carbon factors'!$C$5)</f>
        <v/>
      </c>
      <c r="Y20" s="221">
        <f t="shared" si="5"/>
        <v>790.62815999999987</v>
      </c>
      <c r="Z20" s="61">
        <f t="shared" si="6"/>
        <v>14.917512452830186</v>
      </c>
      <c r="AA20" s="281">
        <v>39.4</v>
      </c>
    </row>
    <row r="21" spans="1:27" ht="13.5" customHeight="1">
      <c r="A21" s="99" t="s">
        <v>294</v>
      </c>
      <c r="B21" s="100">
        <v>50</v>
      </c>
      <c r="C21" s="100">
        <v>1</v>
      </c>
      <c r="D21" s="101">
        <f t="shared" si="1"/>
        <v>50</v>
      </c>
      <c r="E21" s="96">
        <f t="shared" si="0"/>
        <v>17.766804599999997</v>
      </c>
      <c r="F21" s="109">
        <v>17.77</v>
      </c>
      <c r="G21" s="320">
        <v>1581.06</v>
      </c>
      <c r="H21" s="141" t="str">
        <f t="shared" si="2"/>
        <v>Natural Gas</v>
      </c>
      <c r="I21" s="320">
        <v>1794.43</v>
      </c>
      <c r="J21" s="321" t="str">
        <f t="shared" si="3"/>
        <v>Natural Gas</v>
      </c>
      <c r="K21" s="320">
        <v>231.81</v>
      </c>
      <c r="L21" s="320">
        <v>75</v>
      </c>
      <c r="M21" s="321"/>
      <c r="N21" s="119">
        <f>IFERROR($G21*INDEX('Carbon factors'!$B$4:$B$10,MATCH($H21,Fuel_Type,0),1),"")</f>
        <v>341.50896</v>
      </c>
      <c r="O21" s="120">
        <f>IFERROR($I21*INDEX('Carbon factors'!$B$4:$B$10,MATCH($J21,Fuel_Type,0),1),"")</f>
        <v>387.59688</v>
      </c>
      <c r="P21" s="120">
        <f>IF(K21="","",K21*'Carbon factors'!$B$5)</f>
        <v>120.30939000000001</v>
      </c>
      <c r="Q21" s="120">
        <f>IF(L21="","",L21*'Carbon factors'!$B$5)</f>
        <v>38.925000000000004</v>
      </c>
      <c r="R21" s="120" t="str">
        <f>IF(M21="","",M21*'Carbon factors'!$B$5)</f>
        <v/>
      </c>
      <c r="S21" s="263">
        <f t="shared" si="4"/>
        <v>888.34022999999991</v>
      </c>
      <c r="T21" s="125">
        <f>IFERROR($G21*INDEX('Carbon factors'!$C$4:$C$10,MATCH($H21,Fuel_Type,0),1),"")</f>
        <v>332.02259999999995</v>
      </c>
      <c r="U21" s="120">
        <f>IFERROR($I21*INDEX('Carbon factors'!$C$4:$C$10,MATCH($J21,Fuel_Type,0),1),"")</f>
        <v>376.83030000000002</v>
      </c>
      <c r="V21" s="120">
        <f>IF(K21="","",K21*'Carbon factors'!$C$5)</f>
        <v>54.01173</v>
      </c>
      <c r="W21" s="120">
        <f>IF(L21="","",L21*'Carbon factors'!$C$5)</f>
        <v>17.475000000000001</v>
      </c>
      <c r="X21" s="120" t="str">
        <f>IF(M21="","",M21*'Carbon factors'!$C$5)</f>
        <v/>
      </c>
      <c r="Y21" s="221">
        <f t="shared" si="5"/>
        <v>780.33963000000006</v>
      </c>
      <c r="Z21" s="61">
        <f t="shared" si="6"/>
        <v>15.6067926</v>
      </c>
      <c r="AA21" s="281">
        <v>43.3</v>
      </c>
    </row>
    <row r="22" spans="1:27" ht="13.5" customHeight="1">
      <c r="A22" s="99" t="s">
        <v>295</v>
      </c>
      <c r="B22" s="100">
        <v>57</v>
      </c>
      <c r="C22" s="100">
        <v>2</v>
      </c>
      <c r="D22" s="101">
        <f t="shared" si="1"/>
        <v>114</v>
      </c>
      <c r="E22" s="96">
        <f t="shared" si="0"/>
        <v>18.189363684210523</v>
      </c>
      <c r="F22" s="109">
        <v>18.190000000000001</v>
      </c>
      <c r="G22" s="320">
        <v>2116.2199999999998</v>
      </c>
      <c r="H22" s="141" t="str">
        <f t="shared" si="2"/>
        <v>Natural Gas</v>
      </c>
      <c r="I22" s="320">
        <v>1875</v>
      </c>
      <c r="J22" s="321" t="str">
        <f t="shared" si="3"/>
        <v>Natural Gas</v>
      </c>
      <c r="K22" s="320">
        <v>261.58999999999997</v>
      </c>
      <c r="L22" s="320">
        <v>75</v>
      </c>
      <c r="M22" s="321"/>
      <c r="N22" s="119">
        <f>IFERROR($G22*INDEX('Carbon factors'!$B$4:$B$10,MATCH($H22,Fuel_Type,0),1),"")</f>
        <v>457.10351999999995</v>
      </c>
      <c r="O22" s="120">
        <f>IFERROR($I22*INDEX('Carbon factors'!$B$4:$B$10,MATCH($J22,Fuel_Type,0),1),"")</f>
        <v>405</v>
      </c>
      <c r="P22" s="120">
        <f>IF(K22="","",K22*'Carbon factors'!$B$5)</f>
        <v>135.76521</v>
      </c>
      <c r="Q22" s="120">
        <f>IF(L22="","",L22*'Carbon factors'!$B$5)</f>
        <v>38.925000000000004</v>
      </c>
      <c r="R22" s="120" t="str">
        <f>IF(M22="","",M22*'Carbon factors'!$B$5)</f>
        <v/>
      </c>
      <c r="S22" s="263">
        <f t="shared" si="4"/>
        <v>1036.7937299999999</v>
      </c>
      <c r="T22" s="125">
        <f>IFERROR($G22*INDEX('Carbon factors'!$C$4:$C$10,MATCH($H22,Fuel_Type,0),1),"")</f>
        <v>444.40619999999996</v>
      </c>
      <c r="U22" s="120">
        <f>IFERROR($I22*INDEX('Carbon factors'!$C$4:$C$10,MATCH($J22,Fuel_Type,0),1),"")</f>
        <v>393.75</v>
      </c>
      <c r="V22" s="120">
        <f>IF(K22="","",K22*'Carbon factors'!$C$5)</f>
        <v>60.950469999999996</v>
      </c>
      <c r="W22" s="120">
        <f>IF(L22="","",L22*'Carbon factors'!$C$5)</f>
        <v>17.475000000000001</v>
      </c>
      <c r="X22" s="120" t="str">
        <f>IF(M22="","",M22*'Carbon factors'!$C$5)</f>
        <v/>
      </c>
      <c r="Y22" s="221">
        <f t="shared" si="5"/>
        <v>916.58166999999992</v>
      </c>
      <c r="Z22" s="61">
        <f t="shared" si="6"/>
        <v>16.080380175438595</v>
      </c>
      <c r="AA22" s="281">
        <v>47.9</v>
      </c>
    </row>
    <row r="23" spans="1:27" ht="13.5" customHeight="1">
      <c r="A23" s="99" t="s">
        <v>296</v>
      </c>
      <c r="B23" s="100">
        <v>124</v>
      </c>
      <c r="C23" s="100">
        <v>4</v>
      </c>
      <c r="D23" s="101">
        <f t="shared" si="1"/>
        <v>496</v>
      </c>
      <c r="E23" s="96">
        <f t="shared" si="0"/>
        <v>15.863548790322579</v>
      </c>
      <c r="F23" s="109">
        <v>15.86</v>
      </c>
      <c r="G23" s="320">
        <v>5548.09</v>
      </c>
      <c r="H23" s="141" t="str">
        <f t="shared" si="2"/>
        <v>Natural Gas</v>
      </c>
      <c r="I23" s="320">
        <v>2280.2199999999998</v>
      </c>
      <c r="J23" s="321" t="str">
        <f t="shared" si="3"/>
        <v>Natural Gas</v>
      </c>
      <c r="K23" s="320">
        <v>457.11</v>
      </c>
      <c r="L23" s="320">
        <v>75</v>
      </c>
      <c r="M23" s="321"/>
      <c r="N23" s="119">
        <f>IFERROR($G23*INDEX('Carbon factors'!$B$4:$B$10,MATCH($H23,Fuel_Type,0),1),"")</f>
        <v>1198.38744</v>
      </c>
      <c r="O23" s="120">
        <f>IFERROR($I23*INDEX('Carbon factors'!$B$4:$B$10,MATCH($J23,Fuel_Type,0),1),"")</f>
        <v>492.52751999999992</v>
      </c>
      <c r="P23" s="120">
        <f>IF(K23="","",K23*'Carbon factors'!$B$5)</f>
        <v>237.24009000000001</v>
      </c>
      <c r="Q23" s="120">
        <f>IF(L23="","",L23*'Carbon factors'!$B$5)</f>
        <v>38.925000000000004</v>
      </c>
      <c r="R23" s="120" t="str">
        <f>IF(M23="","",M23*'Carbon factors'!$B$5)</f>
        <v/>
      </c>
      <c r="S23" s="263">
        <f t="shared" si="4"/>
        <v>1967.0800499999998</v>
      </c>
      <c r="T23" s="125">
        <f>IFERROR($G23*INDEX('Carbon factors'!$C$4:$C$10,MATCH($H23,Fuel_Type,0),1),"")</f>
        <v>1165.0989</v>
      </c>
      <c r="U23" s="120">
        <f>IFERROR($I23*INDEX('Carbon factors'!$C$4:$C$10,MATCH($J23,Fuel_Type,0),1),"")</f>
        <v>478.84619999999995</v>
      </c>
      <c r="V23" s="120">
        <f>IF(K23="","",K23*'Carbon factors'!$C$5)</f>
        <v>106.50663000000002</v>
      </c>
      <c r="W23" s="120">
        <f>IF(L23="","",L23*'Carbon factors'!$C$5)</f>
        <v>17.475000000000001</v>
      </c>
      <c r="X23" s="120" t="str">
        <f>IF(M23="","",M23*'Carbon factors'!$C$5)</f>
        <v/>
      </c>
      <c r="Y23" s="221">
        <f t="shared" si="5"/>
        <v>1767.9267299999999</v>
      </c>
      <c r="Z23" s="61">
        <f t="shared" si="6"/>
        <v>14.257473629032257</v>
      </c>
      <c r="AA23" s="281">
        <v>54.8</v>
      </c>
    </row>
    <row r="24" spans="1:27" ht="13.5" customHeight="1">
      <c r="A24" s="99" t="s">
        <v>297</v>
      </c>
      <c r="B24" s="100">
        <v>71</v>
      </c>
      <c r="C24" s="100">
        <v>18</v>
      </c>
      <c r="D24" s="101">
        <f t="shared" si="1"/>
        <v>1278</v>
      </c>
      <c r="E24" s="96">
        <f t="shared" si="0"/>
        <v>14.30747070422535</v>
      </c>
      <c r="F24" s="109">
        <v>14.31</v>
      </c>
      <c r="G24" s="320">
        <v>1687.07</v>
      </c>
      <c r="H24" s="141" t="str">
        <f t="shared" si="2"/>
        <v>Natural Gas</v>
      </c>
      <c r="I24" s="320">
        <v>2056.9</v>
      </c>
      <c r="J24" s="321" t="str">
        <f t="shared" si="3"/>
        <v>Natural Gas</v>
      </c>
      <c r="K24" s="320">
        <v>324.10000000000002</v>
      </c>
      <c r="L24" s="320">
        <v>75</v>
      </c>
      <c r="M24" s="321"/>
      <c r="N24" s="119">
        <f>IFERROR($G24*INDEX('Carbon factors'!$B$4:$B$10,MATCH($H24,Fuel_Type,0),1),"")</f>
        <v>364.40711999999996</v>
      </c>
      <c r="O24" s="120">
        <f>IFERROR($I24*INDEX('Carbon factors'!$B$4:$B$10,MATCH($J24,Fuel_Type,0),1),"")</f>
        <v>444.29040000000003</v>
      </c>
      <c r="P24" s="120">
        <f>IF(K24="","",K24*'Carbon factors'!$B$5)</f>
        <v>168.20790000000002</v>
      </c>
      <c r="Q24" s="120">
        <f>IF(L24="","",L24*'Carbon factors'!$B$5)</f>
        <v>38.925000000000004</v>
      </c>
      <c r="R24" s="120" t="str">
        <f>IF(M24="","",M24*'Carbon factors'!$B$5)</f>
        <v/>
      </c>
      <c r="S24" s="263">
        <f t="shared" si="4"/>
        <v>1015.8304199999999</v>
      </c>
      <c r="T24" s="125">
        <f>IFERROR($G24*INDEX('Carbon factors'!$C$4:$C$10,MATCH($H24,Fuel_Type,0),1),"")</f>
        <v>354.28469999999999</v>
      </c>
      <c r="U24" s="120">
        <f>IFERROR($I24*INDEX('Carbon factors'!$C$4:$C$10,MATCH($J24,Fuel_Type,0),1),"")</f>
        <v>431.94900000000001</v>
      </c>
      <c r="V24" s="120">
        <f>IF(K24="","",K24*'Carbon factors'!$C$5)</f>
        <v>75.515300000000011</v>
      </c>
      <c r="W24" s="120">
        <f>IF(L24="","",L24*'Carbon factors'!$C$5)</f>
        <v>17.475000000000001</v>
      </c>
      <c r="X24" s="120" t="str">
        <f>IF(M24="","",M24*'Carbon factors'!$C$5)</f>
        <v/>
      </c>
      <c r="Y24" s="221">
        <f t="shared" si="5"/>
        <v>879.22400000000005</v>
      </c>
      <c r="Z24" s="61">
        <f t="shared" si="6"/>
        <v>12.38343661971831</v>
      </c>
      <c r="AA24" s="281">
        <v>32.6</v>
      </c>
    </row>
    <row r="25" spans="1:27" ht="13.5" customHeight="1">
      <c r="A25" s="99" t="s">
        <v>298</v>
      </c>
      <c r="B25" s="100">
        <v>53</v>
      </c>
      <c r="C25" s="100">
        <v>9</v>
      </c>
      <c r="D25" s="101">
        <f t="shared" si="1"/>
        <v>477</v>
      </c>
      <c r="E25" s="96">
        <f t="shared" si="0"/>
        <v>15.546417735849055</v>
      </c>
      <c r="F25" s="109">
        <v>15.55</v>
      </c>
      <c r="G25" s="320">
        <v>1200.57</v>
      </c>
      <c r="H25" s="141" t="str">
        <f t="shared" si="2"/>
        <v>Natural Gas</v>
      </c>
      <c r="I25" s="320">
        <v>1847.43</v>
      </c>
      <c r="J25" s="321" t="str">
        <f t="shared" si="3"/>
        <v>Natural Gas</v>
      </c>
      <c r="K25" s="320">
        <v>244.06</v>
      </c>
      <c r="L25" s="320">
        <v>75</v>
      </c>
      <c r="M25" s="321"/>
      <c r="N25" s="119">
        <f>IFERROR($G25*INDEX('Carbon factors'!$B$4:$B$10,MATCH($H25,Fuel_Type,0),1),"")</f>
        <v>259.32311999999996</v>
      </c>
      <c r="O25" s="120">
        <f>IFERROR($I25*INDEX('Carbon factors'!$B$4:$B$10,MATCH($J25,Fuel_Type,0),1),"")</f>
        <v>399.04488000000003</v>
      </c>
      <c r="P25" s="120">
        <f>IF(K25="","",K25*'Carbon factors'!$B$5)</f>
        <v>126.66714</v>
      </c>
      <c r="Q25" s="120">
        <f>IF(L25="","",L25*'Carbon factors'!$B$5)</f>
        <v>38.925000000000004</v>
      </c>
      <c r="R25" s="120" t="str">
        <f>IF(M25="","",M25*'Carbon factors'!$B$5)</f>
        <v/>
      </c>
      <c r="S25" s="263">
        <f t="shared" si="4"/>
        <v>823.96013999999991</v>
      </c>
      <c r="T25" s="125">
        <f>IFERROR($G25*INDEX('Carbon factors'!$C$4:$C$10,MATCH($H25,Fuel_Type,0),1),"")</f>
        <v>252.11969999999997</v>
      </c>
      <c r="U25" s="120">
        <f>IFERROR($I25*INDEX('Carbon factors'!$C$4:$C$10,MATCH($J25,Fuel_Type,0),1),"")</f>
        <v>387.96030000000002</v>
      </c>
      <c r="V25" s="120">
        <f>IF(K25="","",K25*'Carbon factors'!$C$5)</f>
        <v>56.86598</v>
      </c>
      <c r="W25" s="120">
        <f>IF(L25="","",L25*'Carbon factors'!$C$5)</f>
        <v>17.475000000000001</v>
      </c>
      <c r="X25" s="120" t="str">
        <f>IF(M25="","",M25*'Carbon factors'!$C$5)</f>
        <v/>
      </c>
      <c r="Y25" s="221">
        <f t="shared" si="5"/>
        <v>714.42097999999999</v>
      </c>
      <c r="Z25" s="61">
        <f t="shared" si="6"/>
        <v>13.479641132075471</v>
      </c>
      <c r="AA25" s="281">
        <v>33.4</v>
      </c>
    </row>
    <row r="26" spans="1:27" ht="13.5" customHeight="1">
      <c r="A26" s="99" t="s">
        <v>299</v>
      </c>
      <c r="B26" s="100">
        <v>51</v>
      </c>
      <c r="C26" s="100">
        <v>29</v>
      </c>
      <c r="D26" s="101">
        <f t="shared" si="1"/>
        <v>1479</v>
      </c>
      <c r="E26" s="96">
        <f t="shared" si="0"/>
        <v>14.635658235294116</v>
      </c>
      <c r="F26" s="109">
        <v>14.64</v>
      </c>
      <c r="G26" s="320">
        <v>842.24</v>
      </c>
      <c r="H26" s="141" t="str">
        <f t="shared" si="2"/>
        <v>Natural Gas</v>
      </c>
      <c r="I26" s="320">
        <v>1831.85</v>
      </c>
      <c r="J26" s="321" t="str">
        <f t="shared" si="3"/>
        <v>Natural Gas</v>
      </c>
      <c r="K26" s="320">
        <v>250.27</v>
      </c>
      <c r="L26" s="320">
        <v>75</v>
      </c>
      <c r="M26" s="321"/>
      <c r="N26" s="119">
        <f>IFERROR($G26*INDEX('Carbon factors'!$B$4:$B$10,MATCH($H26,Fuel_Type,0),1),"")</f>
        <v>181.92384000000001</v>
      </c>
      <c r="O26" s="120">
        <f>IFERROR($I26*INDEX('Carbon factors'!$B$4:$B$10,MATCH($J26,Fuel_Type,0),1),"")</f>
        <v>395.67959999999999</v>
      </c>
      <c r="P26" s="120">
        <f>IF(K26="","",K26*'Carbon factors'!$B$5)</f>
        <v>129.89013</v>
      </c>
      <c r="Q26" s="120">
        <f>IF(L26="","",L26*'Carbon factors'!$B$5)</f>
        <v>38.925000000000004</v>
      </c>
      <c r="R26" s="120" t="str">
        <f>IF(M26="","",M26*'Carbon factors'!$B$5)</f>
        <v/>
      </c>
      <c r="S26" s="263">
        <f t="shared" si="4"/>
        <v>746.41856999999993</v>
      </c>
      <c r="T26" s="125">
        <f>IFERROR($G26*INDEX('Carbon factors'!$C$4:$C$10,MATCH($H26,Fuel_Type,0),1),"")</f>
        <v>176.87039999999999</v>
      </c>
      <c r="U26" s="120">
        <f>IFERROR($I26*INDEX('Carbon factors'!$C$4:$C$10,MATCH($J26,Fuel_Type,0),1),"")</f>
        <v>384.68849999999998</v>
      </c>
      <c r="V26" s="120">
        <f>IF(K26="","",K26*'Carbon factors'!$C$5)</f>
        <v>58.312910000000002</v>
      </c>
      <c r="W26" s="120">
        <f>IF(L26="","",L26*'Carbon factors'!$C$5)</f>
        <v>17.475000000000001</v>
      </c>
      <c r="X26" s="120" t="str">
        <f>IF(M26="","",M26*'Carbon factors'!$C$5)</f>
        <v/>
      </c>
      <c r="Y26" s="221">
        <f t="shared" si="5"/>
        <v>637.34681</v>
      </c>
      <c r="Z26" s="61">
        <f t="shared" si="6"/>
        <v>12.496996274509804</v>
      </c>
      <c r="AA26" s="281">
        <v>25.6</v>
      </c>
    </row>
    <row r="27" spans="1:27" ht="13.5" customHeight="1">
      <c r="A27" s="99" t="s">
        <v>300</v>
      </c>
      <c r="B27" s="100">
        <v>57</v>
      </c>
      <c r="C27" s="100">
        <v>2</v>
      </c>
      <c r="D27" s="101">
        <f t="shared" si="1"/>
        <v>114</v>
      </c>
      <c r="E27" s="96">
        <f t="shared" si="0"/>
        <v>16.687164736842103</v>
      </c>
      <c r="F27" s="109">
        <v>16.690000000000001</v>
      </c>
      <c r="G27" s="320">
        <v>1711.82</v>
      </c>
      <c r="H27" s="141" t="str">
        <f t="shared" si="2"/>
        <v>Natural Gas</v>
      </c>
      <c r="I27" s="320">
        <v>1886.11</v>
      </c>
      <c r="J27" s="321" t="str">
        <f t="shared" si="3"/>
        <v>Natural Gas</v>
      </c>
      <c r="K27" s="320">
        <v>260.29000000000002</v>
      </c>
      <c r="L27" s="320">
        <v>75</v>
      </c>
      <c r="M27" s="321"/>
      <c r="N27" s="119">
        <f>IFERROR($G27*INDEX('Carbon factors'!$B$4:$B$10,MATCH($H27,Fuel_Type,0),1),"")</f>
        <v>369.75311999999997</v>
      </c>
      <c r="O27" s="120">
        <f>IFERROR($I27*INDEX('Carbon factors'!$B$4:$B$10,MATCH($J27,Fuel_Type,0),1),"")</f>
        <v>407.39975999999996</v>
      </c>
      <c r="P27" s="120">
        <f>IF(K27="","",K27*'Carbon factors'!$B$5)</f>
        <v>135.09051000000002</v>
      </c>
      <c r="Q27" s="120">
        <f>IF(L27="","",L27*'Carbon factors'!$B$5)</f>
        <v>38.925000000000004</v>
      </c>
      <c r="R27" s="120" t="str">
        <f>IF(M27="","",M27*'Carbon factors'!$B$5)</f>
        <v/>
      </c>
      <c r="S27" s="263">
        <f t="shared" si="4"/>
        <v>951.16838999999982</v>
      </c>
      <c r="T27" s="125">
        <f>IFERROR($G27*INDEX('Carbon factors'!$C$4:$C$10,MATCH($H27,Fuel_Type,0),1),"")</f>
        <v>359.48219999999998</v>
      </c>
      <c r="U27" s="120">
        <f>IFERROR($I27*INDEX('Carbon factors'!$C$4:$C$10,MATCH($J27,Fuel_Type,0),1),"")</f>
        <v>396.08309999999994</v>
      </c>
      <c r="V27" s="120">
        <f>IF(K27="","",K27*'Carbon factors'!$C$5)</f>
        <v>60.647570000000009</v>
      </c>
      <c r="W27" s="120">
        <f>IF(L27="","",L27*'Carbon factors'!$C$5)</f>
        <v>17.475000000000001</v>
      </c>
      <c r="X27" s="120" t="str">
        <f>IF(M27="","",M27*'Carbon factors'!$C$5)</f>
        <v/>
      </c>
      <c r="Y27" s="221">
        <f t="shared" si="5"/>
        <v>833.68786999999998</v>
      </c>
      <c r="Z27" s="61">
        <f t="shared" si="6"/>
        <v>14.626102982456139</v>
      </c>
      <c r="AA27" s="281">
        <v>41.1</v>
      </c>
    </row>
    <row r="28" spans="1:27" ht="13.5" customHeight="1">
      <c r="A28" s="99" t="s">
        <v>301</v>
      </c>
      <c r="B28" s="100">
        <v>53</v>
      </c>
      <c r="C28" s="100">
        <v>2</v>
      </c>
      <c r="D28" s="101">
        <f t="shared" si="1"/>
        <v>106</v>
      </c>
      <c r="E28" s="96">
        <f t="shared" si="0"/>
        <v>19.609785283018869</v>
      </c>
      <c r="F28" s="109">
        <v>19.61</v>
      </c>
      <c r="G28" s="320">
        <v>2224.9299999999998</v>
      </c>
      <c r="H28" s="141" t="str">
        <f t="shared" si="2"/>
        <v>Natural Gas</v>
      </c>
      <c r="I28" s="320">
        <v>1820.1</v>
      </c>
      <c r="J28" s="321" t="str">
        <f t="shared" si="3"/>
        <v>Natural Gas</v>
      </c>
      <c r="K28" s="320">
        <v>244.06</v>
      </c>
      <c r="L28" s="320">
        <v>75</v>
      </c>
      <c r="M28" s="321"/>
      <c r="N28" s="119">
        <f>IFERROR($G28*INDEX('Carbon factors'!$B$4:$B$10,MATCH($H28,Fuel_Type,0),1),"")</f>
        <v>480.58487999999994</v>
      </c>
      <c r="O28" s="120">
        <f>IFERROR($I28*INDEX('Carbon factors'!$B$4:$B$10,MATCH($J28,Fuel_Type,0),1),"")</f>
        <v>393.14159999999998</v>
      </c>
      <c r="P28" s="120">
        <f>IF(K28="","",K28*'Carbon factors'!$B$5)</f>
        <v>126.66714</v>
      </c>
      <c r="Q28" s="120">
        <f>IF(L28="","",L28*'Carbon factors'!$B$5)</f>
        <v>38.925000000000004</v>
      </c>
      <c r="R28" s="120" t="str">
        <f>IF(M28="","",M28*'Carbon factors'!$B$5)</f>
        <v/>
      </c>
      <c r="S28" s="263">
        <f t="shared" si="4"/>
        <v>1039.31862</v>
      </c>
      <c r="T28" s="125">
        <f>IFERROR($G28*INDEX('Carbon factors'!$C$4:$C$10,MATCH($H28,Fuel_Type,0),1),"")</f>
        <v>467.23529999999994</v>
      </c>
      <c r="U28" s="120">
        <f>IFERROR($I28*INDEX('Carbon factors'!$C$4:$C$10,MATCH($J28,Fuel_Type,0),1),"")</f>
        <v>382.22099999999995</v>
      </c>
      <c r="V28" s="120">
        <f>IF(K28="","",K28*'Carbon factors'!$C$5)</f>
        <v>56.86598</v>
      </c>
      <c r="W28" s="120">
        <f>IF(L28="","",L28*'Carbon factors'!$C$5)</f>
        <v>17.475000000000001</v>
      </c>
      <c r="X28" s="120" t="str">
        <f>IF(M28="","",M28*'Carbon factors'!$C$5)</f>
        <v/>
      </c>
      <c r="Y28" s="221">
        <f t="shared" si="5"/>
        <v>923.79727999999989</v>
      </c>
      <c r="Z28" s="61">
        <f t="shared" si="6"/>
        <v>17.430137358490565</v>
      </c>
      <c r="AA28" s="281">
        <v>54.1</v>
      </c>
    </row>
    <row r="29" spans="1:27" ht="13.5" customHeight="1">
      <c r="A29" s="99" t="s">
        <v>302</v>
      </c>
      <c r="B29" s="100">
        <v>62</v>
      </c>
      <c r="C29" s="100">
        <v>1</v>
      </c>
      <c r="D29" s="101">
        <f t="shared" si="1"/>
        <v>62</v>
      </c>
      <c r="E29" s="96">
        <f t="shared" si="0"/>
        <v>16.153220806451611</v>
      </c>
      <c r="F29" s="109">
        <v>16.149999999999999</v>
      </c>
      <c r="G29" s="320">
        <v>1834.94</v>
      </c>
      <c r="H29" s="141" t="str">
        <f t="shared" si="2"/>
        <v>Natural Gas</v>
      </c>
      <c r="I29" s="320">
        <v>1948.19</v>
      </c>
      <c r="J29" s="321" t="str">
        <f t="shared" si="3"/>
        <v>Natural Gas</v>
      </c>
      <c r="K29" s="320">
        <v>280.19</v>
      </c>
      <c r="L29" s="320">
        <v>75</v>
      </c>
      <c r="M29" s="321"/>
      <c r="N29" s="119">
        <f>IFERROR($G29*INDEX('Carbon factors'!$B$4:$B$10,MATCH($H29,Fuel_Type,0),1),"")</f>
        <v>396.34703999999999</v>
      </c>
      <c r="O29" s="120">
        <f>IFERROR($I29*INDEX('Carbon factors'!$B$4:$B$10,MATCH($J29,Fuel_Type,0),1),"")</f>
        <v>420.80903999999998</v>
      </c>
      <c r="P29" s="120">
        <f>IF(K29="","",K29*'Carbon factors'!$B$5)</f>
        <v>145.41861</v>
      </c>
      <c r="Q29" s="120">
        <f>IF(L29="","",L29*'Carbon factors'!$B$5)</f>
        <v>38.925000000000004</v>
      </c>
      <c r="R29" s="120" t="str">
        <f>IF(M29="","",M29*'Carbon factors'!$B$5)</f>
        <v/>
      </c>
      <c r="S29" s="263">
        <f t="shared" si="4"/>
        <v>1001.4996899999999</v>
      </c>
      <c r="T29" s="125">
        <f>IFERROR($G29*INDEX('Carbon factors'!$C$4:$C$10,MATCH($H29,Fuel_Type,0),1),"")</f>
        <v>385.3374</v>
      </c>
      <c r="U29" s="120">
        <f>IFERROR($I29*INDEX('Carbon factors'!$C$4:$C$10,MATCH($J29,Fuel_Type,0),1),"")</f>
        <v>409.11989999999997</v>
      </c>
      <c r="V29" s="120">
        <f>IF(K29="","",K29*'Carbon factors'!$C$5)</f>
        <v>65.284270000000006</v>
      </c>
      <c r="W29" s="120">
        <f>IF(L29="","",L29*'Carbon factors'!$C$5)</f>
        <v>17.475000000000001</v>
      </c>
      <c r="X29" s="120" t="str">
        <f>IF(M29="","",M29*'Carbon factors'!$C$5)</f>
        <v/>
      </c>
      <c r="Y29" s="221">
        <f t="shared" si="5"/>
        <v>877.21657000000005</v>
      </c>
      <c r="Z29" s="61">
        <f t="shared" si="6"/>
        <v>14.14865435483871</v>
      </c>
      <c r="AA29" s="281">
        <v>40</v>
      </c>
    </row>
    <row r="30" spans="1:27" ht="13.5" customHeight="1">
      <c r="A30" s="99" t="s">
        <v>303</v>
      </c>
      <c r="B30" s="100">
        <v>57</v>
      </c>
      <c r="C30" s="100">
        <v>3</v>
      </c>
      <c r="D30" s="101">
        <f t="shared" si="1"/>
        <v>171</v>
      </c>
      <c r="E30" s="96">
        <f t="shared" si="0"/>
        <v>15.754802631578945</v>
      </c>
      <c r="F30" s="109">
        <v>15.75</v>
      </c>
      <c r="G30" s="320">
        <v>1458.57</v>
      </c>
      <c r="H30" s="141" t="str">
        <f t="shared" si="2"/>
        <v>Natural Gas</v>
      </c>
      <c r="I30" s="320">
        <v>1893.32</v>
      </c>
      <c r="J30" s="321" t="str">
        <f t="shared" si="3"/>
        <v>Natural Gas</v>
      </c>
      <c r="K30" s="320">
        <v>260.29000000000002</v>
      </c>
      <c r="L30" s="320">
        <v>75</v>
      </c>
      <c r="M30" s="321"/>
      <c r="N30" s="119">
        <f>IFERROR($G30*INDEX('Carbon factors'!$B$4:$B$10,MATCH($H30,Fuel_Type,0),1),"")</f>
        <v>315.05111999999997</v>
      </c>
      <c r="O30" s="120">
        <f>IFERROR($I30*INDEX('Carbon factors'!$B$4:$B$10,MATCH($J30,Fuel_Type,0),1),"")</f>
        <v>408.95711999999997</v>
      </c>
      <c r="P30" s="120">
        <f>IF(K30="","",K30*'Carbon factors'!$B$5)</f>
        <v>135.09051000000002</v>
      </c>
      <c r="Q30" s="120">
        <f>IF(L30="","",L30*'Carbon factors'!$B$5)</f>
        <v>38.925000000000004</v>
      </c>
      <c r="R30" s="120" t="str">
        <f>IF(M30="","",M30*'Carbon factors'!$B$5)</f>
        <v/>
      </c>
      <c r="S30" s="263">
        <f t="shared" si="4"/>
        <v>898.02374999999984</v>
      </c>
      <c r="T30" s="125">
        <f>IFERROR($G30*INDEX('Carbon factors'!$C$4:$C$10,MATCH($H30,Fuel_Type,0),1),"")</f>
        <v>306.29969999999997</v>
      </c>
      <c r="U30" s="120">
        <f>IFERROR($I30*INDEX('Carbon factors'!$C$4:$C$10,MATCH($J30,Fuel_Type,0),1),"")</f>
        <v>397.59719999999999</v>
      </c>
      <c r="V30" s="120">
        <f>IF(K30="","",K30*'Carbon factors'!$C$5)</f>
        <v>60.647570000000009</v>
      </c>
      <c r="W30" s="120">
        <f>IF(L30="","",L30*'Carbon factors'!$C$5)</f>
        <v>17.475000000000001</v>
      </c>
      <c r="X30" s="120" t="str">
        <f>IF(M30="","",M30*'Carbon factors'!$C$5)</f>
        <v/>
      </c>
      <c r="Y30" s="221">
        <f t="shared" si="5"/>
        <v>782.01946999999996</v>
      </c>
      <c r="Z30" s="61">
        <f t="shared" si="6"/>
        <v>13.719639824561403</v>
      </c>
      <c r="AA30" s="281">
        <v>36.299999999999997</v>
      </c>
    </row>
    <row r="31" spans="1:27" ht="13.5" customHeight="1">
      <c r="A31" s="99" t="s">
        <v>304</v>
      </c>
      <c r="B31" s="100">
        <v>71</v>
      </c>
      <c r="C31" s="100">
        <v>5</v>
      </c>
      <c r="D31" s="101">
        <f t="shared" si="1"/>
        <v>355</v>
      </c>
      <c r="E31" s="96">
        <f t="shared" si="0"/>
        <v>17.75385338028169</v>
      </c>
      <c r="F31" s="109">
        <v>17.75</v>
      </c>
      <c r="G31" s="320">
        <v>2866.95</v>
      </c>
      <c r="H31" s="141" t="str">
        <f t="shared" si="2"/>
        <v>Natural Gas</v>
      </c>
      <c r="I31" s="320">
        <v>2033.43</v>
      </c>
      <c r="J31" s="321" t="str">
        <f t="shared" si="3"/>
        <v>Natural Gas</v>
      </c>
      <c r="K31" s="320">
        <v>314.29000000000002</v>
      </c>
      <c r="L31" s="320">
        <v>75</v>
      </c>
      <c r="M31" s="321"/>
      <c r="N31" s="119">
        <f>IFERROR($G31*INDEX('Carbon factors'!$B$4:$B$10,MATCH($H31,Fuel_Type,0),1),"")</f>
        <v>619.26119999999992</v>
      </c>
      <c r="O31" s="120">
        <f>IFERROR($I31*INDEX('Carbon factors'!$B$4:$B$10,MATCH($J31,Fuel_Type,0),1),"")</f>
        <v>439.22088000000002</v>
      </c>
      <c r="P31" s="120">
        <f>IF(K31="","",K31*'Carbon factors'!$B$5)</f>
        <v>163.11651000000001</v>
      </c>
      <c r="Q31" s="120">
        <f>IF(L31="","",L31*'Carbon factors'!$B$5)</f>
        <v>38.925000000000004</v>
      </c>
      <c r="R31" s="120" t="str">
        <f>IF(M31="","",M31*'Carbon factors'!$B$5)</f>
        <v/>
      </c>
      <c r="S31" s="263">
        <f t="shared" si="4"/>
        <v>1260.52359</v>
      </c>
      <c r="T31" s="125">
        <f>IFERROR($G31*INDEX('Carbon factors'!$C$4:$C$10,MATCH($H31,Fuel_Type,0),1),"")</f>
        <v>602.05949999999996</v>
      </c>
      <c r="U31" s="120">
        <f>IFERROR($I31*INDEX('Carbon factors'!$C$4:$C$10,MATCH($J31,Fuel_Type,0),1),"")</f>
        <v>427.02030000000002</v>
      </c>
      <c r="V31" s="120">
        <f>IF(K31="","",K31*'Carbon factors'!$C$5)</f>
        <v>73.22957000000001</v>
      </c>
      <c r="W31" s="120">
        <f>IF(L31="","",L31*'Carbon factors'!$C$5)</f>
        <v>17.475000000000001</v>
      </c>
      <c r="X31" s="120" t="str">
        <f>IF(M31="","",M31*'Carbon factors'!$C$5)</f>
        <v/>
      </c>
      <c r="Y31" s="221">
        <f t="shared" si="5"/>
        <v>1119.7843699999999</v>
      </c>
      <c r="Z31" s="61">
        <f t="shared" si="6"/>
        <v>15.77161084507042</v>
      </c>
      <c r="AA31" s="281">
        <v>51.3</v>
      </c>
    </row>
    <row r="32" spans="1:27" ht="13.5" customHeight="1">
      <c r="A32" s="99" t="s">
        <v>305</v>
      </c>
      <c r="B32" s="100">
        <v>83</v>
      </c>
      <c r="C32" s="100">
        <v>1</v>
      </c>
      <c r="D32" s="101">
        <f t="shared" si="1"/>
        <v>83</v>
      </c>
      <c r="E32" s="96">
        <f t="shared" si="0"/>
        <v>16.404786144578313</v>
      </c>
      <c r="F32" s="109">
        <v>16.399999999999999</v>
      </c>
      <c r="G32" s="320">
        <v>3127.62</v>
      </c>
      <c r="H32" s="141" t="str">
        <f t="shared" si="2"/>
        <v>Natural Gas</v>
      </c>
      <c r="I32" s="320">
        <v>2142.42</v>
      </c>
      <c r="J32" s="321" t="str">
        <f t="shared" si="3"/>
        <v>Natural Gas</v>
      </c>
      <c r="K32" s="320">
        <v>355.19</v>
      </c>
      <c r="L32" s="320">
        <v>75</v>
      </c>
      <c r="M32" s="321"/>
      <c r="N32" s="119">
        <f>IFERROR($G32*INDEX('Carbon factors'!$B$4:$B$10,MATCH($H32,Fuel_Type,0),1),"")</f>
        <v>675.56592000000001</v>
      </c>
      <c r="O32" s="120">
        <f>IFERROR($I32*INDEX('Carbon factors'!$B$4:$B$10,MATCH($J32,Fuel_Type,0),1),"")</f>
        <v>462.76272</v>
      </c>
      <c r="P32" s="120">
        <f>IF(K32="","",K32*'Carbon factors'!$B$5)</f>
        <v>184.34361000000001</v>
      </c>
      <c r="Q32" s="120">
        <f>IF(L32="","",L32*'Carbon factors'!$B$5)</f>
        <v>38.925000000000004</v>
      </c>
      <c r="R32" s="120" t="str">
        <f>IF(M32="","",M32*'Carbon factors'!$B$5)</f>
        <v/>
      </c>
      <c r="S32" s="263">
        <f t="shared" si="4"/>
        <v>1361.59725</v>
      </c>
      <c r="T32" s="125">
        <f>IFERROR($G32*INDEX('Carbon factors'!$C$4:$C$10,MATCH($H32,Fuel_Type,0),1),"")</f>
        <v>656.8001999999999</v>
      </c>
      <c r="U32" s="120">
        <f>IFERROR($I32*INDEX('Carbon factors'!$C$4:$C$10,MATCH($J32,Fuel_Type,0),1),"")</f>
        <v>449.90820000000002</v>
      </c>
      <c r="V32" s="120">
        <f>IF(K32="","",K32*'Carbon factors'!$C$5)</f>
        <v>82.759270000000001</v>
      </c>
      <c r="W32" s="120">
        <f>IF(L32="","",L32*'Carbon factors'!$C$5)</f>
        <v>17.475000000000001</v>
      </c>
      <c r="X32" s="120" t="str">
        <f>IF(M32="","",M32*'Carbon factors'!$C$5)</f>
        <v/>
      </c>
      <c r="Y32" s="221">
        <f t="shared" si="5"/>
        <v>1206.9426699999999</v>
      </c>
      <c r="Z32" s="61">
        <f t="shared" si="6"/>
        <v>14.541477951807227</v>
      </c>
      <c r="AA32" s="281">
        <v>48</v>
      </c>
    </row>
    <row r="33" spans="1:27" ht="13.5" customHeight="1">
      <c r="A33" s="99" t="s">
        <v>306</v>
      </c>
      <c r="B33" s="100">
        <v>62</v>
      </c>
      <c r="C33" s="100">
        <v>16</v>
      </c>
      <c r="D33" s="101">
        <f t="shared" si="1"/>
        <v>992</v>
      </c>
      <c r="E33" s="96">
        <f t="shared" si="0"/>
        <v>13.935214354838708</v>
      </c>
      <c r="F33" s="109">
        <v>13.94</v>
      </c>
      <c r="G33" s="320">
        <v>1177.8800000000001</v>
      </c>
      <c r="H33" s="141" t="str">
        <f t="shared" si="2"/>
        <v>Natural Gas</v>
      </c>
      <c r="I33" s="320">
        <v>1968.6</v>
      </c>
      <c r="J33" s="321" t="str">
        <f t="shared" si="3"/>
        <v>Natural Gas</v>
      </c>
      <c r="K33" s="320">
        <v>280.19</v>
      </c>
      <c r="L33" s="320">
        <v>75</v>
      </c>
      <c r="M33" s="321"/>
      <c r="N33" s="119">
        <f>IFERROR($G33*INDEX('Carbon factors'!$B$4:$B$10,MATCH($H33,Fuel_Type,0),1),"")</f>
        <v>254.42208000000002</v>
      </c>
      <c r="O33" s="120">
        <f>IFERROR($I33*INDEX('Carbon factors'!$B$4:$B$10,MATCH($J33,Fuel_Type,0),1),"")</f>
        <v>425.21759999999995</v>
      </c>
      <c r="P33" s="120">
        <f>IF(K33="","",K33*'Carbon factors'!$B$5)</f>
        <v>145.41861</v>
      </c>
      <c r="Q33" s="120">
        <f>IF(L33="","",L33*'Carbon factors'!$B$5)</f>
        <v>38.925000000000004</v>
      </c>
      <c r="R33" s="120" t="str">
        <f>IF(M33="","",M33*'Carbon factors'!$B$5)</f>
        <v/>
      </c>
      <c r="S33" s="263">
        <f t="shared" si="4"/>
        <v>863.9832899999999</v>
      </c>
      <c r="T33" s="125">
        <f>IFERROR($G33*INDEX('Carbon factors'!$C$4:$C$10,MATCH($H33,Fuel_Type,0),1),"")</f>
        <v>247.35480000000001</v>
      </c>
      <c r="U33" s="120">
        <f>IFERROR($I33*INDEX('Carbon factors'!$C$4:$C$10,MATCH($J33,Fuel_Type,0),1),"")</f>
        <v>413.40599999999995</v>
      </c>
      <c r="V33" s="120">
        <f>IF(K33="","",K33*'Carbon factors'!$C$5)</f>
        <v>65.284270000000006</v>
      </c>
      <c r="W33" s="120">
        <f>IF(L33="","",L33*'Carbon factors'!$C$5)</f>
        <v>17.475000000000001</v>
      </c>
      <c r="X33" s="120" t="str">
        <f>IF(M33="","",M33*'Carbon factors'!$C$5)</f>
        <v/>
      </c>
      <c r="Y33" s="221">
        <f t="shared" si="5"/>
        <v>743.52007000000003</v>
      </c>
      <c r="Z33" s="61">
        <f t="shared" si="6"/>
        <v>11.992259193548387</v>
      </c>
      <c r="AA33" s="281">
        <v>29</v>
      </c>
    </row>
    <row r="34" spans="1:27" ht="13.5" customHeight="1">
      <c r="A34" s="99" t="s">
        <v>307</v>
      </c>
      <c r="B34" s="100">
        <v>57</v>
      </c>
      <c r="C34" s="100">
        <v>34</v>
      </c>
      <c r="D34" s="101">
        <f t="shared" si="1"/>
        <v>1938</v>
      </c>
      <c r="E34" s="96">
        <f t="shared" si="0"/>
        <v>13.688425263157894</v>
      </c>
      <c r="F34" s="109">
        <v>78.14</v>
      </c>
      <c r="G34" s="320">
        <v>882.99</v>
      </c>
      <c r="H34" s="141" t="str">
        <f t="shared" si="2"/>
        <v>Natural Gas</v>
      </c>
      <c r="I34" s="320">
        <v>1913.25</v>
      </c>
      <c r="J34" s="321" t="str">
        <f t="shared" si="3"/>
        <v>Natural Gas</v>
      </c>
      <c r="K34" s="320">
        <v>264.60000000000002</v>
      </c>
      <c r="L34" s="320">
        <v>75</v>
      </c>
      <c r="M34" s="321"/>
      <c r="N34" s="119">
        <f>IFERROR($G34*INDEX('Carbon factors'!$B$4:$B$10,MATCH($H34,Fuel_Type,0),1),"")</f>
        <v>190.72584000000001</v>
      </c>
      <c r="O34" s="120">
        <f>IFERROR($I34*INDEX('Carbon factors'!$B$4:$B$10,MATCH($J34,Fuel_Type,0),1),"")</f>
        <v>413.262</v>
      </c>
      <c r="P34" s="120">
        <f>IF(K34="","",K34*'Carbon factors'!$B$5)</f>
        <v>137.32740000000001</v>
      </c>
      <c r="Q34" s="120">
        <f>IF(L34="","",L34*'Carbon factors'!$B$5)</f>
        <v>38.925000000000004</v>
      </c>
      <c r="R34" s="120" t="str">
        <f>IF(M34="","",M34*'Carbon factors'!$B$5)</f>
        <v/>
      </c>
      <c r="S34" s="263">
        <f t="shared" si="4"/>
        <v>780.24023999999997</v>
      </c>
      <c r="T34" s="125">
        <f>IFERROR($G34*INDEX('Carbon factors'!$C$4:$C$10,MATCH($H34,Fuel_Type,0),1),"")</f>
        <v>185.42789999999999</v>
      </c>
      <c r="U34" s="120">
        <f>IFERROR($I34*INDEX('Carbon factors'!$C$4:$C$10,MATCH($J34,Fuel_Type,0),1),"")</f>
        <v>401.78249999999997</v>
      </c>
      <c r="V34" s="120">
        <f>IF(K34="","",K34*'Carbon factors'!$C$5)</f>
        <v>61.651800000000009</v>
      </c>
      <c r="W34" s="120">
        <f>IF(L34="","",L34*'Carbon factors'!$C$5)</f>
        <v>17.475000000000001</v>
      </c>
      <c r="X34" s="120" t="str">
        <f>IF(M34="","",M34*'Carbon factors'!$C$5)</f>
        <v/>
      </c>
      <c r="Y34" s="221">
        <f t="shared" si="5"/>
        <v>666.33719999999994</v>
      </c>
      <c r="Z34" s="61">
        <f t="shared" si="6"/>
        <v>11.690126315789472</v>
      </c>
      <c r="AA34" s="281">
        <v>24.6</v>
      </c>
    </row>
    <row r="35" spans="1:27" ht="13.5" customHeight="1">
      <c r="A35" s="99" t="s">
        <v>308</v>
      </c>
      <c r="B35" s="100">
        <v>78</v>
      </c>
      <c r="C35" s="100">
        <v>22</v>
      </c>
      <c r="D35" s="101">
        <f t="shared" si="1"/>
        <v>1716</v>
      </c>
      <c r="E35" s="96">
        <f t="shared" si="0"/>
        <v>15.646185769230769</v>
      </c>
      <c r="F35" s="109">
        <v>15.65</v>
      </c>
      <c r="G35" s="320">
        <v>2546.31</v>
      </c>
      <c r="H35" s="141" t="str">
        <f t="shared" si="2"/>
        <v>Natural Gas</v>
      </c>
      <c r="I35" s="320">
        <v>2109.36</v>
      </c>
      <c r="J35" s="321" t="str">
        <f t="shared" si="3"/>
        <v>Natural Gas</v>
      </c>
      <c r="K35" s="320">
        <v>338.83</v>
      </c>
      <c r="L35" s="320">
        <v>75</v>
      </c>
      <c r="M35" s="321"/>
      <c r="N35" s="119">
        <f>IFERROR($G35*INDEX('Carbon factors'!$B$4:$B$10,MATCH($H35,Fuel_Type,0),1),"")</f>
        <v>550.00296000000003</v>
      </c>
      <c r="O35" s="120">
        <f>IFERROR($I35*INDEX('Carbon factors'!$B$4:$B$10,MATCH($J35,Fuel_Type,0),1),"")</f>
        <v>455.62175999999999</v>
      </c>
      <c r="P35" s="120">
        <f>IF(K35="","",K35*'Carbon factors'!$B$5)</f>
        <v>175.85276999999999</v>
      </c>
      <c r="Q35" s="120">
        <f>IF(L35="","",L35*'Carbon factors'!$B$5)</f>
        <v>38.925000000000004</v>
      </c>
      <c r="R35" s="120" t="str">
        <f>IF(M35="","",M35*'Carbon factors'!$B$5)</f>
        <v/>
      </c>
      <c r="S35" s="263">
        <f t="shared" si="4"/>
        <v>1220.4024899999999</v>
      </c>
      <c r="T35" s="125">
        <f>IFERROR($G35*INDEX('Carbon factors'!$C$4:$C$10,MATCH($H35,Fuel_Type,0),1),"")</f>
        <v>534.7251</v>
      </c>
      <c r="U35" s="120">
        <f>IFERROR($I35*INDEX('Carbon factors'!$C$4:$C$10,MATCH($J35,Fuel_Type,0),1),"")</f>
        <v>442.96559999999999</v>
      </c>
      <c r="V35" s="120">
        <f>IF(K35="","",K35*'Carbon factors'!$C$5)</f>
        <v>78.947389999999999</v>
      </c>
      <c r="W35" s="120">
        <f>IF(L35="","",L35*'Carbon factors'!$C$5)</f>
        <v>17.475000000000001</v>
      </c>
      <c r="X35" s="120" t="str">
        <f>IF(M35="","",M35*'Carbon factors'!$C$5)</f>
        <v/>
      </c>
      <c r="Y35" s="221">
        <f t="shared" si="5"/>
        <v>1074.1130899999998</v>
      </c>
      <c r="Z35" s="61">
        <f t="shared" si="6"/>
        <v>13.770680641025638</v>
      </c>
      <c r="AA35" s="281">
        <v>42.5</v>
      </c>
    </row>
    <row r="36" spans="1:27" ht="13.5" customHeight="1">
      <c r="A36" s="99" t="s">
        <v>309</v>
      </c>
      <c r="B36" s="100">
        <v>77</v>
      </c>
      <c r="C36" s="100">
        <v>16</v>
      </c>
      <c r="D36" s="101">
        <f t="shared" si="1"/>
        <v>1232</v>
      </c>
      <c r="E36" s="96">
        <f t="shared" si="0"/>
        <v>14.3604374025974</v>
      </c>
      <c r="F36" s="109">
        <v>14.36</v>
      </c>
      <c r="G36" s="320">
        <v>2020.78</v>
      </c>
      <c r="H36" s="141" t="str">
        <f t="shared" si="2"/>
        <v>Natural Gas</v>
      </c>
      <c r="I36" s="320">
        <v>2112.35</v>
      </c>
      <c r="J36" s="321" t="str">
        <f t="shared" si="3"/>
        <v>Natural Gas</v>
      </c>
      <c r="K36" s="320">
        <v>335.4</v>
      </c>
      <c r="L36" s="320">
        <v>75</v>
      </c>
      <c r="M36" s="321"/>
      <c r="N36" s="119">
        <f>IFERROR($G36*INDEX('Carbon factors'!$B$4:$B$10,MATCH($H36,Fuel_Type,0),1),"")</f>
        <v>436.48847999999998</v>
      </c>
      <c r="O36" s="120">
        <f>IFERROR($I36*INDEX('Carbon factors'!$B$4:$B$10,MATCH($J36,Fuel_Type,0),1),"")</f>
        <v>456.26759999999996</v>
      </c>
      <c r="P36" s="120">
        <f>IF(K36="","",K36*'Carbon factors'!$B$5)</f>
        <v>174.07259999999999</v>
      </c>
      <c r="Q36" s="120">
        <f>IF(L36="","",L36*'Carbon factors'!$B$5)</f>
        <v>38.925000000000004</v>
      </c>
      <c r="R36" s="120" t="str">
        <f>IF(M36="","",M36*'Carbon factors'!$B$5)</f>
        <v/>
      </c>
      <c r="S36" s="263">
        <f t="shared" si="4"/>
        <v>1105.7536799999998</v>
      </c>
      <c r="T36" s="125">
        <f>IFERROR($G36*INDEX('Carbon factors'!$C$4:$C$10,MATCH($H36,Fuel_Type,0),1),"")</f>
        <v>424.36379999999997</v>
      </c>
      <c r="U36" s="120">
        <f>IFERROR($I36*INDEX('Carbon factors'!$C$4:$C$10,MATCH($J36,Fuel_Type,0),1),"")</f>
        <v>443.59349999999995</v>
      </c>
      <c r="V36" s="120">
        <f>IF(K36="","",K36*'Carbon factors'!$C$5)</f>
        <v>78.148200000000003</v>
      </c>
      <c r="W36" s="120">
        <f>IF(L36="","",L36*'Carbon factors'!$C$5)</f>
        <v>17.475000000000001</v>
      </c>
      <c r="X36" s="120" t="str">
        <f>IF(M36="","",M36*'Carbon factors'!$C$5)</f>
        <v/>
      </c>
      <c r="Y36" s="221">
        <f t="shared" si="5"/>
        <v>963.58049999999992</v>
      </c>
      <c r="Z36" s="61">
        <f t="shared" si="6"/>
        <v>12.514032467532466</v>
      </c>
      <c r="AA36" s="281">
        <v>36.200000000000003</v>
      </c>
    </row>
    <row r="37" spans="1:27" ht="13.5" customHeight="1">
      <c r="A37" s="99" t="s">
        <v>310</v>
      </c>
      <c r="B37" s="100">
        <v>97</v>
      </c>
      <c r="C37" s="100">
        <v>3</v>
      </c>
      <c r="D37" s="101">
        <f t="shared" si="1"/>
        <v>291</v>
      </c>
      <c r="E37" s="96">
        <f t="shared" si="0"/>
        <v>15.144080103092783</v>
      </c>
      <c r="F37" s="109">
        <v>15.14</v>
      </c>
      <c r="G37" s="320">
        <v>3443.46</v>
      </c>
      <c r="H37" s="141" t="str">
        <f t="shared" si="2"/>
        <v>Natural Gas</v>
      </c>
      <c r="I37" s="320">
        <v>2226.15</v>
      </c>
      <c r="J37" s="321" t="str">
        <f t="shared" si="3"/>
        <v>Natural Gas</v>
      </c>
      <c r="K37" s="320">
        <v>395.79</v>
      </c>
      <c r="L37" s="320">
        <v>75</v>
      </c>
      <c r="M37" s="321"/>
      <c r="N37" s="119">
        <f>IFERROR($G37*INDEX('Carbon factors'!$B$4:$B$10,MATCH($H37,Fuel_Type,0),1),"")</f>
        <v>743.78736000000004</v>
      </c>
      <c r="O37" s="120">
        <f>IFERROR($I37*INDEX('Carbon factors'!$B$4:$B$10,MATCH($J37,Fuel_Type,0),1),"")</f>
        <v>480.84840000000003</v>
      </c>
      <c r="P37" s="120">
        <f>IF(K37="","",K37*'Carbon factors'!$B$5)</f>
        <v>205.41501000000002</v>
      </c>
      <c r="Q37" s="120">
        <f>IF(L37="","",L37*'Carbon factors'!$B$5)</f>
        <v>38.925000000000004</v>
      </c>
      <c r="R37" s="120" t="str">
        <f>IF(M37="","",M37*'Carbon factors'!$B$5)</f>
        <v/>
      </c>
      <c r="S37" s="263">
        <f t="shared" si="4"/>
        <v>1468.97577</v>
      </c>
      <c r="T37" s="125">
        <f>IFERROR($G37*INDEX('Carbon factors'!$C$4:$C$10,MATCH($H37,Fuel_Type,0),1),"")</f>
        <v>723.12659999999994</v>
      </c>
      <c r="U37" s="120">
        <f>IFERROR($I37*INDEX('Carbon factors'!$C$4:$C$10,MATCH($J37,Fuel_Type,0),1),"")</f>
        <v>467.49149999999997</v>
      </c>
      <c r="V37" s="120">
        <f>IF(K37="","",K37*'Carbon factors'!$C$5)</f>
        <v>92.219070000000016</v>
      </c>
      <c r="W37" s="120">
        <f>IF(L37="","",L37*'Carbon factors'!$C$5)</f>
        <v>17.475000000000001</v>
      </c>
      <c r="X37" s="120" t="str">
        <f>IF(M37="","",M37*'Carbon factors'!$C$5)</f>
        <v/>
      </c>
      <c r="Y37" s="221">
        <f t="shared" si="5"/>
        <v>1300.3121699999999</v>
      </c>
      <c r="Z37" s="61">
        <f t="shared" si="6"/>
        <v>13.405280103092784</v>
      </c>
      <c r="AA37" s="281">
        <v>45.2</v>
      </c>
    </row>
    <row r="38" spans="1:27" ht="13.5" customHeight="1">
      <c r="A38" s="99" t="s">
        <v>311</v>
      </c>
      <c r="B38" s="100">
        <v>78</v>
      </c>
      <c r="C38" s="100">
        <v>3</v>
      </c>
      <c r="D38" s="101">
        <f t="shared" si="1"/>
        <v>234</v>
      </c>
      <c r="E38" s="96">
        <f t="shared" ref="E38:E56" si="7">IFERROR(S38/$B38,"")</f>
        <v>15.181453461538462</v>
      </c>
      <c r="F38" s="109">
        <v>15.18</v>
      </c>
      <c r="G38" s="320">
        <v>2375</v>
      </c>
      <c r="H38" s="141" t="str">
        <f t="shared" si="2"/>
        <v>Natural Gas</v>
      </c>
      <c r="I38" s="320">
        <v>2112.85</v>
      </c>
      <c r="J38" s="321" t="str">
        <f t="shared" si="3"/>
        <v>Natural Gas</v>
      </c>
      <c r="K38" s="320">
        <v>338.83</v>
      </c>
      <c r="L38" s="320">
        <v>75</v>
      </c>
      <c r="M38" s="321"/>
      <c r="N38" s="119">
        <f>IFERROR($G38*INDEX('Carbon factors'!$B$4:$B$10,MATCH($H38,Fuel_Type,0),1),"")</f>
        <v>513</v>
      </c>
      <c r="O38" s="120">
        <f>IFERROR($I38*INDEX('Carbon factors'!$B$4:$B$10,MATCH($J38,Fuel_Type,0),1),"")</f>
        <v>456.37559999999996</v>
      </c>
      <c r="P38" s="120">
        <f>IF(K38="","",K38*'Carbon factors'!$B$5)</f>
        <v>175.85276999999999</v>
      </c>
      <c r="Q38" s="120">
        <f>IF(L38="","",L38*'Carbon factors'!$B$5)</f>
        <v>38.925000000000004</v>
      </c>
      <c r="R38" s="120" t="str">
        <f>IF(M38="","",M38*'Carbon factors'!$B$5)</f>
        <v/>
      </c>
      <c r="S38" s="263">
        <f t="shared" si="4"/>
        <v>1184.15337</v>
      </c>
      <c r="T38" s="125">
        <f>IFERROR($G38*INDEX('Carbon factors'!$C$4:$C$10,MATCH($H38,Fuel_Type,0),1),"")</f>
        <v>498.75</v>
      </c>
      <c r="U38" s="120">
        <f>IFERROR($I38*INDEX('Carbon factors'!$C$4:$C$10,MATCH($J38,Fuel_Type,0),1),"")</f>
        <v>443.69849999999997</v>
      </c>
      <c r="V38" s="120">
        <f>IF(K38="","",K38*'Carbon factors'!$C$5)</f>
        <v>78.947389999999999</v>
      </c>
      <c r="W38" s="120">
        <f>IF(L38="","",L38*'Carbon factors'!$C$5)</f>
        <v>17.475000000000001</v>
      </c>
      <c r="X38" s="120" t="str">
        <f>IF(M38="","",M38*'Carbon factors'!$C$5)</f>
        <v/>
      </c>
      <c r="Y38" s="221">
        <f t="shared" si="5"/>
        <v>1038.8708899999999</v>
      </c>
      <c r="Z38" s="61">
        <f t="shared" si="6"/>
        <v>13.318857564102563</v>
      </c>
      <c r="AA38" s="281">
        <v>40.200000000000003</v>
      </c>
    </row>
    <row r="39" spans="1:27" ht="13.5" customHeight="1">
      <c r="A39" s="99" t="s">
        <v>312</v>
      </c>
      <c r="B39" s="100">
        <v>149</v>
      </c>
      <c r="C39" s="100">
        <v>2</v>
      </c>
      <c r="D39" s="101">
        <f t="shared" si="1"/>
        <v>298</v>
      </c>
      <c r="E39" s="96">
        <f t="shared" si="7"/>
        <v>13.582838657718121</v>
      </c>
      <c r="F39" s="109">
        <v>13.58</v>
      </c>
      <c r="G39" s="320">
        <v>5674.51</v>
      </c>
      <c r="H39" s="141" t="str">
        <f t="shared" si="2"/>
        <v>Natural Gas</v>
      </c>
      <c r="I39" s="320">
        <v>2306.52</v>
      </c>
      <c r="J39" s="321" t="str">
        <f t="shared" si="3"/>
        <v>Natural Gas</v>
      </c>
      <c r="K39" s="320">
        <v>502.92</v>
      </c>
      <c r="L39" s="320">
        <v>75</v>
      </c>
      <c r="M39" s="321"/>
      <c r="N39" s="119">
        <f>IFERROR($G39*INDEX('Carbon factors'!$B$4:$B$10,MATCH($H39,Fuel_Type,0),1),"")</f>
        <v>1225.69416</v>
      </c>
      <c r="O39" s="120">
        <f>IFERROR($I39*INDEX('Carbon factors'!$B$4:$B$10,MATCH($J39,Fuel_Type,0),1),"")</f>
        <v>498.20832000000001</v>
      </c>
      <c r="P39" s="120">
        <f>IF(K39="","",K39*'Carbon factors'!$B$5)</f>
        <v>261.01548000000003</v>
      </c>
      <c r="Q39" s="120">
        <f>IF(L39="","",L39*'Carbon factors'!$B$5)</f>
        <v>38.925000000000004</v>
      </c>
      <c r="R39" s="120" t="str">
        <f>IF(M39="","",M39*'Carbon factors'!$B$5)</f>
        <v/>
      </c>
      <c r="S39" s="263">
        <f t="shared" si="4"/>
        <v>2023.8429599999999</v>
      </c>
      <c r="T39" s="125">
        <f>IFERROR($G39*INDEX('Carbon factors'!$C$4:$C$10,MATCH($H39,Fuel_Type,0),1),"")</f>
        <v>1191.6470999999999</v>
      </c>
      <c r="U39" s="120">
        <f>IFERROR($I39*INDEX('Carbon factors'!$C$4:$C$10,MATCH($J39,Fuel_Type,0),1),"")</f>
        <v>484.36919999999998</v>
      </c>
      <c r="V39" s="120">
        <f>IF(K39="","",K39*'Carbon factors'!$C$5)</f>
        <v>117.18036000000001</v>
      </c>
      <c r="W39" s="120">
        <f>IF(L39="","",L39*'Carbon factors'!$C$5)</f>
        <v>17.475000000000001</v>
      </c>
      <c r="X39" s="120" t="str">
        <f>IF(M39="","",M39*'Carbon factors'!$C$5)</f>
        <v/>
      </c>
      <c r="Y39" s="221">
        <f t="shared" si="5"/>
        <v>1810.6716599999997</v>
      </c>
      <c r="Z39" s="61">
        <f t="shared" si="6"/>
        <v>12.152158791946308</v>
      </c>
      <c r="AA39" s="281">
        <v>47</v>
      </c>
    </row>
    <row r="40" spans="1:27" ht="13.5" customHeight="1">
      <c r="A40" s="99" t="s">
        <v>313</v>
      </c>
      <c r="B40" s="100">
        <v>81</v>
      </c>
      <c r="C40" s="100">
        <v>1</v>
      </c>
      <c r="D40" s="101">
        <f t="shared" si="1"/>
        <v>81</v>
      </c>
      <c r="E40" s="96">
        <f t="shared" si="7"/>
        <v>12.890802962962963</v>
      </c>
      <c r="F40" s="109">
        <v>12.89</v>
      </c>
      <c r="G40" s="320">
        <v>1656.44</v>
      </c>
      <c r="H40" s="141" t="str">
        <f t="shared" si="2"/>
        <v>Natural Gas</v>
      </c>
      <c r="I40" s="320">
        <v>2159.41</v>
      </c>
      <c r="J40" s="321" t="str">
        <f t="shared" si="3"/>
        <v>Natural Gas</v>
      </c>
      <c r="K40" s="320">
        <v>348.76</v>
      </c>
      <c r="L40" s="320">
        <v>75</v>
      </c>
      <c r="M40" s="321"/>
      <c r="N40" s="119">
        <f>IFERROR($G40*INDEX('Carbon factors'!$B$4:$B$10,MATCH($H40,Fuel_Type,0),1),"")</f>
        <v>357.79104000000001</v>
      </c>
      <c r="O40" s="120">
        <f>IFERROR($I40*INDEX('Carbon factors'!$B$4:$B$10,MATCH($J40,Fuel_Type,0),1),"")</f>
        <v>466.43255999999997</v>
      </c>
      <c r="P40" s="120">
        <f>IF(K40="","",K40*'Carbon factors'!$B$5)</f>
        <v>181.00644</v>
      </c>
      <c r="Q40" s="120">
        <f>IF(L40="","",L40*'Carbon factors'!$B$5)</f>
        <v>38.925000000000004</v>
      </c>
      <c r="R40" s="120" t="str">
        <f>IF(M40="","",M40*'Carbon factors'!$B$5)</f>
        <v/>
      </c>
      <c r="S40" s="263">
        <f t="shared" si="4"/>
        <v>1044.1550400000001</v>
      </c>
      <c r="T40" s="125">
        <f>IFERROR($G40*INDEX('Carbon factors'!$C$4:$C$10,MATCH($H40,Fuel_Type,0),1),"")</f>
        <v>347.85239999999999</v>
      </c>
      <c r="U40" s="120">
        <f>IFERROR($I40*INDEX('Carbon factors'!$C$4:$C$10,MATCH($J40,Fuel_Type,0),1),"")</f>
        <v>453.47609999999997</v>
      </c>
      <c r="V40" s="120">
        <f>IF(K40="","",K40*'Carbon factors'!$C$5)</f>
        <v>81.261080000000007</v>
      </c>
      <c r="W40" s="120">
        <f>IF(L40="","",L40*'Carbon factors'!$C$5)</f>
        <v>17.475000000000001</v>
      </c>
      <c r="X40" s="120" t="str">
        <f>IF(M40="","",M40*'Carbon factors'!$C$5)</f>
        <v/>
      </c>
      <c r="Y40" s="221">
        <f t="shared" si="5"/>
        <v>900.06457999999998</v>
      </c>
      <c r="Z40" s="61">
        <f t="shared" si="6"/>
        <v>11.111908395061729</v>
      </c>
      <c r="AA40" s="281">
        <v>30</v>
      </c>
    </row>
    <row r="41" spans="1:27" ht="13.5" customHeight="1">
      <c r="A41" s="99" t="s">
        <v>314</v>
      </c>
      <c r="B41" s="100">
        <v>41</v>
      </c>
      <c r="C41" s="100">
        <v>1</v>
      </c>
      <c r="D41" s="101">
        <f t="shared" si="1"/>
        <v>41</v>
      </c>
      <c r="E41" s="96">
        <f t="shared" si="7"/>
        <v>17.106956341463412</v>
      </c>
      <c r="F41" s="109">
        <v>17.34</v>
      </c>
      <c r="G41" s="320">
        <v>938.33</v>
      </c>
      <c r="H41" s="141" t="str">
        <f t="shared" si="2"/>
        <v>Natural Gas</v>
      </c>
      <c r="I41" s="320">
        <v>1649.91</v>
      </c>
      <c r="J41" s="321" t="str">
        <f t="shared" si="3"/>
        <v>Natural Gas</v>
      </c>
      <c r="K41" s="320">
        <v>199.23</v>
      </c>
      <c r="L41" s="320">
        <v>75</v>
      </c>
      <c r="M41" s="321"/>
      <c r="N41" s="119">
        <f>IFERROR($G41*INDEX('Carbon factors'!$B$4:$B$10,MATCH($H41,Fuel_Type,0),1),"")</f>
        <v>202.67928000000001</v>
      </c>
      <c r="O41" s="120">
        <f>IFERROR($I41*INDEX('Carbon factors'!$B$4:$B$10,MATCH($J41,Fuel_Type,0),1),"")</f>
        <v>356.38056</v>
      </c>
      <c r="P41" s="120">
        <f>IF(K41="","",K41*'Carbon factors'!$B$5)</f>
        <v>103.40037</v>
      </c>
      <c r="Q41" s="120">
        <f>IF(L41="","",L41*'Carbon factors'!$B$5)</f>
        <v>38.925000000000004</v>
      </c>
      <c r="R41" s="120" t="str">
        <f>IF(M41="","",M41*'Carbon factors'!$B$5)</f>
        <v/>
      </c>
      <c r="S41" s="263">
        <f t="shared" si="4"/>
        <v>701.38520999999992</v>
      </c>
      <c r="T41" s="125">
        <f>IFERROR($G41*INDEX('Carbon factors'!$C$4:$C$10,MATCH($H41,Fuel_Type,0),1),"")</f>
        <v>197.04929999999999</v>
      </c>
      <c r="U41" s="120">
        <f>IFERROR($I41*INDEX('Carbon factors'!$C$4:$C$10,MATCH($J41,Fuel_Type,0),1),"")</f>
        <v>346.48110000000003</v>
      </c>
      <c r="V41" s="120">
        <f>IF(K41="","",K41*'Carbon factors'!$C$5)</f>
        <v>46.420589999999997</v>
      </c>
      <c r="W41" s="120">
        <f>IF(L41="","",L41*'Carbon factors'!$C$5)</f>
        <v>17.475000000000001</v>
      </c>
      <c r="X41" s="120" t="str">
        <f>IF(M41="","",M41*'Carbon factors'!$C$5)</f>
        <v/>
      </c>
      <c r="Y41" s="221">
        <f t="shared" si="5"/>
        <v>607.42598999999996</v>
      </c>
      <c r="Z41" s="61">
        <f t="shared" si="6"/>
        <v>14.815268048780487</v>
      </c>
      <c r="AA41" s="281">
        <v>33.6</v>
      </c>
    </row>
    <row r="42" spans="1:27" ht="13.5" customHeight="1">
      <c r="A42" s="99" t="s">
        <v>315</v>
      </c>
      <c r="B42" s="100">
        <v>77</v>
      </c>
      <c r="C42" s="100">
        <v>2</v>
      </c>
      <c r="D42" s="101">
        <f t="shared" si="1"/>
        <v>154</v>
      </c>
      <c r="E42" s="96">
        <f t="shared" si="7"/>
        <v>18.138322597402599</v>
      </c>
      <c r="F42" s="109">
        <v>18.14</v>
      </c>
      <c r="G42" s="320">
        <v>3393.54</v>
      </c>
      <c r="H42" s="141" t="str">
        <f t="shared" si="2"/>
        <v>Natural Gas</v>
      </c>
      <c r="I42" s="320">
        <v>2086.2399999999998</v>
      </c>
      <c r="J42" s="321" t="str">
        <f t="shared" si="3"/>
        <v>Natural Gas</v>
      </c>
      <c r="K42" s="320">
        <v>335.44</v>
      </c>
      <c r="L42" s="320">
        <v>75</v>
      </c>
      <c r="M42" s="321"/>
      <c r="N42" s="119">
        <f>IFERROR($G42*INDEX('Carbon factors'!$B$4:$B$10,MATCH($H42,Fuel_Type,0),1),"")</f>
        <v>733.00463999999999</v>
      </c>
      <c r="O42" s="120">
        <f>IFERROR($I42*INDEX('Carbon factors'!$B$4:$B$10,MATCH($J42,Fuel_Type,0),1),"")</f>
        <v>450.62783999999994</v>
      </c>
      <c r="P42" s="120">
        <f>IF(K42="","",K42*'Carbon factors'!$B$5)</f>
        <v>174.09336000000002</v>
      </c>
      <c r="Q42" s="120">
        <f>IF(L42="","",L42*'Carbon factors'!$B$5)</f>
        <v>38.925000000000004</v>
      </c>
      <c r="R42" s="120" t="str">
        <f>IF(M42="","",M42*'Carbon factors'!$B$5)</f>
        <v/>
      </c>
      <c r="S42" s="263">
        <f t="shared" si="4"/>
        <v>1396.65084</v>
      </c>
      <c r="T42" s="125">
        <f>IFERROR($G42*INDEX('Carbon factors'!$C$4:$C$10,MATCH($H42,Fuel_Type,0),1),"")</f>
        <v>712.64339999999993</v>
      </c>
      <c r="U42" s="120">
        <f>IFERROR($I42*INDEX('Carbon factors'!$C$4:$C$10,MATCH($J42,Fuel_Type,0),1),"")</f>
        <v>438.11039999999991</v>
      </c>
      <c r="V42" s="120">
        <f>IF(K42="","",K42*'Carbon factors'!$C$5)</f>
        <v>78.157520000000005</v>
      </c>
      <c r="W42" s="120">
        <f>IF(L42="","",L42*'Carbon factors'!$C$5)</f>
        <v>17.475000000000001</v>
      </c>
      <c r="X42" s="120" t="str">
        <f>IF(M42="","",M42*'Carbon factors'!$C$5)</f>
        <v/>
      </c>
      <c r="Y42" s="221">
        <f t="shared" si="5"/>
        <v>1246.3863199999998</v>
      </c>
      <c r="Z42" s="61">
        <f t="shared" si="6"/>
        <v>16.186835324675322</v>
      </c>
      <c r="AA42" s="281">
        <v>54.6</v>
      </c>
    </row>
    <row r="43" spans="1:27" ht="13.5" customHeight="1">
      <c r="A43" s="99" t="s">
        <v>316</v>
      </c>
      <c r="B43" s="100">
        <v>77</v>
      </c>
      <c r="C43" s="100">
        <v>18</v>
      </c>
      <c r="D43" s="101">
        <f t="shared" si="1"/>
        <v>1386</v>
      </c>
      <c r="E43" s="96">
        <f t="shared" si="7"/>
        <v>13.538672727272726</v>
      </c>
      <c r="F43" s="109">
        <v>13.54</v>
      </c>
      <c r="G43" s="320">
        <v>1718.86</v>
      </c>
      <c r="H43" s="141" t="str">
        <f t="shared" si="2"/>
        <v>Natural Gas</v>
      </c>
      <c r="I43" s="320">
        <v>2121.23</v>
      </c>
      <c r="J43" s="321" t="str">
        <f t="shared" si="3"/>
        <v>Natural Gas</v>
      </c>
      <c r="K43" s="320">
        <v>335.44</v>
      </c>
      <c r="L43" s="320">
        <v>75</v>
      </c>
      <c r="M43" s="321"/>
      <c r="N43" s="119">
        <f>IFERROR($G43*INDEX('Carbon factors'!$B$4:$B$10,MATCH($H43,Fuel_Type,0),1),"")</f>
        <v>371.27375999999998</v>
      </c>
      <c r="O43" s="120">
        <f>IFERROR($I43*INDEX('Carbon factors'!$B$4:$B$10,MATCH($J43,Fuel_Type,0),1),"")</f>
        <v>458.18567999999999</v>
      </c>
      <c r="P43" s="120">
        <f>IF(K43="","",K43*'Carbon factors'!$B$5)</f>
        <v>174.09336000000002</v>
      </c>
      <c r="Q43" s="120">
        <f>IF(L43="","",L43*'Carbon factors'!$B$5)</f>
        <v>38.925000000000004</v>
      </c>
      <c r="R43" s="120" t="str">
        <f>IF(M43="","",M43*'Carbon factors'!$B$5)</f>
        <v/>
      </c>
      <c r="S43" s="263">
        <f t="shared" si="4"/>
        <v>1042.4777999999999</v>
      </c>
      <c r="T43" s="125">
        <f>IFERROR($G43*INDEX('Carbon factors'!$C$4:$C$10,MATCH($H43,Fuel_Type,0),1),"")</f>
        <v>360.96059999999994</v>
      </c>
      <c r="U43" s="120">
        <f>IFERROR($I43*INDEX('Carbon factors'!$C$4:$C$10,MATCH($J43,Fuel_Type,0),1),"")</f>
        <v>445.45830000000001</v>
      </c>
      <c r="V43" s="120">
        <f>IF(K43="","",K43*'Carbon factors'!$C$5)</f>
        <v>78.157520000000005</v>
      </c>
      <c r="W43" s="120">
        <f>IF(L43="","",L43*'Carbon factors'!$C$5)</f>
        <v>17.475000000000001</v>
      </c>
      <c r="X43" s="120" t="str">
        <f>IF(M43="","",M43*'Carbon factors'!$C$5)</f>
        <v/>
      </c>
      <c r="Y43" s="221">
        <f t="shared" si="5"/>
        <v>902.05141999999989</v>
      </c>
      <c r="Z43" s="61">
        <f t="shared" si="6"/>
        <v>11.714953506493504</v>
      </c>
      <c r="AA43" s="281">
        <v>32</v>
      </c>
    </row>
    <row r="44" spans="1:27" ht="13.5" customHeight="1">
      <c r="A44" s="99" t="s">
        <v>317</v>
      </c>
      <c r="B44" s="100">
        <v>77</v>
      </c>
      <c r="C44" s="100">
        <v>34</v>
      </c>
      <c r="D44" s="101">
        <f t="shared" si="1"/>
        <v>2618</v>
      </c>
      <c r="E44" s="96">
        <f t="shared" si="7"/>
        <v>15.626186493506491</v>
      </c>
      <c r="F44" s="109">
        <v>15.63</v>
      </c>
      <c r="G44" s="320">
        <v>2482.4899999999998</v>
      </c>
      <c r="H44" s="141" t="str">
        <f t="shared" si="2"/>
        <v>Natural Gas</v>
      </c>
      <c r="I44" s="320">
        <v>2101.7600000000002</v>
      </c>
      <c r="J44" s="321" t="str">
        <f t="shared" si="3"/>
        <v>Natural Gas</v>
      </c>
      <c r="K44" s="320">
        <v>335.44</v>
      </c>
      <c r="L44" s="320">
        <v>75</v>
      </c>
      <c r="M44" s="321"/>
      <c r="N44" s="119">
        <f>IFERROR($G44*INDEX('Carbon factors'!$B$4:$B$10,MATCH($H44,Fuel_Type,0),1),"")</f>
        <v>536.21783999999991</v>
      </c>
      <c r="O44" s="120">
        <f>IFERROR($I44*INDEX('Carbon factors'!$B$4:$B$10,MATCH($J44,Fuel_Type,0),1),"")</f>
        <v>453.98016000000007</v>
      </c>
      <c r="P44" s="120">
        <f>IF(K44="","",K44*'Carbon factors'!$B$5)</f>
        <v>174.09336000000002</v>
      </c>
      <c r="Q44" s="120">
        <f>IF(L44="","",L44*'Carbon factors'!$B$5)</f>
        <v>38.925000000000004</v>
      </c>
      <c r="R44" s="120" t="str">
        <f>IF(M44="","",M44*'Carbon factors'!$B$5)</f>
        <v/>
      </c>
      <c r="S44" s="263">
        <f t="shared" si="4"/>
        <v>1203.2163599999999</v>
      </c>
      <c r="T44" s="125">
        <f>IFERROR($G44*INDEX('Carbon factors'!$C$4:$C$10,MATCH($H44,Fuel_Type,0),1),"")</f>
        <v>521.32289999999989</v>
      </c>
      <c r="U44" s="120">
        <f>IFERROR($I44*INDEX('Carbon factors'!$C$4:$C$10,MATCH($J44,Fuel_Type,0),1),"")</f>
        <v>441.36960000000005</v>
      </c>
      <c r="V44" s="120">
        <f>IF(K44="","",K44*'Carbon factors'!$C$5)</f>
        <v>78.157520000000005</v>
      </c>
      <c r="W44" s="120">
        <f>IF(L44="","",L44*'Carbon factors'!$C$5)</f>
        <v>17.475000000000001</v>
      </c>
      <c r="X44" s="120" t="str">
        <f>IF(M44="","",M44*'Carbon factors'!$C$5)</f>
        <v/>
      </c>
      <c r="Y44" s="221">
        <f t="shared" si="5"/>
        <v>1058.3250199999998</v>
      </c>
      <c r="Z44" s="61">
        <f t="shared" si="6"/>
        <v>13.744480779220776</v>
      </c>
      <c r="AA44" s="281">
        <v>42.2</v>
      </c>
    </row>
    <row r="45" spans="1:27" ht="13.5" customHeight="1">
      <c r="A45" s="99" t="s">
        <v>318</v>
      </c>
      <c r="B45" s="100">
        <v>51</v>
      </c>
      <c r="C45" s="100">
        <v>16</v>
      </c>
      <c r="D45" s="101">
        <f t="shared" si="1"/>
        <v>816</v>
      </c>
      <c r="E45" s="96">
        <f t="shared" si="7"/>
        <v>16.248756470588233</v>
      </c>
      <c r="F45" s="109">
        <v>16.25</v>
      </c>
      <c r="G45" s="320">
        <v>1272.07</v>
      </c>
      <c r="H45" s="141" t="str">
        <f t="shared" si="2"/>
        <v>Natural Gas</v>
      </c>
      <c r="I45" s="320">
        <v>1817.13</v>
      </c>
      <c r="J45" s="321" t="str">
        <f t="shared" si="3"/>
        <v>Natural Gas</v>
      </c>
      <c r="K45" s="320">
        <v>236.02</v>
      </c>
      <c r="L45" s="320">
        <v>75</v>
      </c>
      <c r="M45" s="321"/>
      <c r="N45" s="119">
        <f>IFERROR($G45*INDEX('Carbon factors'!$B$4:$B$10,MATCH($H45,Fuel_Type,0),1),"")</f>
        <v>274.76711999999998</v>
      </c>
      <c r="O45" s="120">
        <f>IFERROR($I45*INDEX('Carbon factors'!$B$4:$B$10,MATCH($J45,Fuel_Type,0),1),"")</f>
        <v>392.50008000000003</v>
      </c>
      <c r="P45" s="120">
        <f>IF(K45="","",K45*'Carbon factors'!$B$5)</f>
        <v>122.49438000000001</v>
      </c>
      <c r="Q45" s="120">
        <f>IF(L45="","",L45*'Carbon factors'!$B$5)</f>
        <v>38.925000000000004</v>
      </c>
      <c r="R45" s="120" t="str">
        <f>IF(M45="","",M45*'Carbon factors'!$B$5)</f>
        <v/>
      </c>
      <c r="S45" s="263">
        <f t="shared" si="4"/>
        <v>828.68657999999994</v>
      </c>
      <c r="T45" s="125">
        <f>IFERROR($G45*INDEX('Carbon factors'!$C$4:$C$10,MATCH($H45,Fuel_Type,0),1),"")</f>
        <v>267.13469999999995</v>
      </c>
      <c r="U45" s="120">
        <f>IFERROR($I45*INDEX('Carbon factors'!$C$4:$C$10,MATCH($J45,Fuel_Type,0),1),"")</f>
        <v>381.59730000000002</v>
      </c>
      <c r="V45" s="120">
        <f>IF(K45="","",K45*'Carbon factors'!$C$5)</f>
        <v>54.992660000000008</v>
      </c>
      <c r="W45" s="120">
        <f>IF(L45="","",L45*'Carbon factors'!$C$5)</f>
        <v>17.475000000000001</v>
      </c>
      <c r="X45" s="120" t="str">
        <f>IF(M45="","",M45*'Carbon factors'!$C$5)</f>
        <v/>
      </c>
      <c r="Y45" s="221">
        <f t="shared" si="5"/>
        <v>721.19965999999999</v>
      </c>
      <c r="Z45" s="61">
        <f t="shared" si="6"/>
        <v>14.141169803921569</v>
      </c>
      <c r="AA45" s="281">
        <v>35.4</v>
      </c>
    </row>
    <row r="46" spans="1:27" ht="13.5" customHeight="1">
      <c r="A46" s="99" t="s">
        <v>319</v>
      </c>
      <c r="B46" s="100">
        <v>74</v>
      </c>
      <c r="C46" s="100">
        <v>16</v>
      </c>
      <c r="D46" s="101">
        <f t="shared" si="1"/>
        <v>1184</v>
      </c>
      <c r="E46" s="96">
        <f t="shared" si="7"/>
        <v>15.017421081081082</v>
      </c>
      <c r="F46" s="109">
        <v>15.02</v>
      </c>
      <c r="G46" s="320">
        <v>2103</v>
      </c>
      <c r="H46" s="141" t="str">
        <f t="shared" si="2"/>
        <v>Natural Gas</v>
      </c>
      <c r="I46" s="320">
        <v>2080.65</v>
      </c>
      <c r="J46" s="321" t="str">
        <f t="shared" si="3"/>
        <v>Natural Gas</v>
      </c>
      <c r="K46" s="320">
        <v>325.04000000000002</v>
      </c>
      <c r="L46" s="320">
        <v>75</v>
      </c>
      <c r="M46" s="321"/>
      <c r="N46" s="119">
        <f>IFERROR($G46*INDEX('Carbon factors'!$B$4:$B$10,MATCH($H46,Fuel_Type,0),1),"")</f>
        <v>454.24799999999999</v>
      </c>
      <c r="O46" s="120">
        <f>IFERROR($I46*INDEX('Carbon factors'!$B$4:$B$10,MATCH($J46,Fuel_Type,0),1),"")</f>
        <v>449.42040000000003</v>
      </c>
      <c r="P46" s="120">
        <f>IF(K46="","",K46*'Carbon factors'!$B$5)</f>
        <v>168.69576000000001</v>
      </c>
      <c r="Q46" s="120">
        <f>IF(L46="","",L46*'Carbon factors'!$B$5)</f>
        <v>38.925000000000004</v>
      </c>
      <c r="R46" s="120" t="str">
        <f>IF(M46="","",M46*'Carbon factors'!$B$5)</f>
        <v/>
      </c>
      <c r="S46" s="263">
        <f t="shared" si="4"/>
        <v>1111.28916</v>
      </c>
      <c r="T46" s="125">
        <f>IFERROR($G46*INDEX('Carbon factors'!$C$4:$C$10,MATCH($H46,Fuel_Type,0),1),"")</f>
        <v>441.63</v>
      </c>
      <c r="U46" s="120">
        <f>IFERROR($I46*INDEX('Carbon factors'!$C$4:$C$10,MATCH($J46,Fuel_Type,0),1),"")</f>
        <v>436.93650000000002</v>
      </c>
      <c r="V46" s="120">
        <f>IF(K46="","",K46*'Carbon factors'!$C$5)</f>
        <v>75.734320000000011</v>
      </c>
      <c r="W46" s="120">
        <f>IF(L46="","",L46*'Carbon factors'!$C$5)</f>
        <v>17.475000000000001</v>
      </c>
      <c r="X46" s="120" t="str">
        <f>IF(M46="","",M46*'Carbon factors'!$C$5)</f>
        <v/>
      </c>
      <c r="Y46" s="221">
        <f t="shared" si="5"/>
        <v>971.77582000000007</v>
      </c>
      <c r="Z46" s="61">
        <f t="shared" si="6"/>
        <v>13.132105675675676</v>
      </c>
      <c r="AA46" s="281">
        <v>38.4</v>
      </c>
    </row>
    <row r="47" spans="1:27" ht="13.5" customHeight="1">
      <c r="A47" s="99" t="s">
        <v>320</v>
      </c>
      <c r="B47" s="100">
        <v>57</v>
      </c>
      <c r="C47" s="100">
        <v>2</v>
      </c>
      <c r="D47" s="101">
        <f t="shared" si="1"/>
        <v>114</v>
      </c>
      <c r="E47" s="96">
        <f t="shared" si="7"/>
        <v>15.754802631578945</v>
      </c>
      <c r="F47" s="109">
        <v>15.75</v>
      </c>
      <c r="G47" s="320">
        <v>1458.57</v>
      </c>
      <c r="H47" s="141" t="str">
        <f t="shared" si="2"/>
        <v>Natural Gas</v>
      </c>
      <c r="I47" s="320">
        <v>1893.32</v>
      </c>
      <c r="J47" s="321" t="str">
        <f t="shared" si="3"/>
        <v>Natural Gas</v>
      </c>
      <c r="K47" s="320">
        <v>260.29000000000002</v>
      </c>
      <c r="L47" s="320">
        <v>75</v>
      </c>
      <c r="M47" s="321"/>
      <c r="N47" s="119">
        <f>IFERROR($G47*INDEX('Carbon factors'!$B$4:$B$10,MATCH($H47,Fuel_Type,0),1),"")</f>
        <v>315.05111999999997</v>
      </c>
      <c r="O47" s="120">
        <f>IFERROR($I47*INDEX('Carbon factors'!$B$4:$B$10,MATCH($J47,Fuel_Type,0),1),"")</f>
        <v>408.95711999999997</v>
      </c>
      <c r="P47" s="120">
        <f>IF(K47="","",K47*'Carbon factors'!$B$5)</f>
        <v>135.09051000000002</v>
      </c>
      <c r="Q47" s="120">
        <f>IF(L47="","",L47*'Carbon factors'!$B$5)</f>
        <v>38.925000000000004</v>
      </c>
      <c r="R47" s="120" t="str">
        <f>IF(M47="","",M47*'Carbon factors'!$B$5)</f>
        <v/>
      </c>
      <c r="S47" s="263">
        <f t="shared" si="4"/>
        <v>898.02374999999984</v>
      </c>
      <c r="T47" s="125">
        <f>IFERROR($G47*INDEX('Carbon factors'!$C$4:$C$10,MATCH($H47,Fuel_Type,0),1),"")</f>
        <v>306.29969999999997</v>
      </c>
      <c r="U47" s="120">
        <f>IFERROR($I47*INDEX('Carbon factors'!$C$4:$C$10,MATCH($J47,Fuel_Type,0),1),"")</f>
        <v>397.59719999999999</v>
      </c>
      <c r="V47" s="120">
        <f>IF(K47="","",K47*'Carbon factors'!$C$5)</f>
        <v>60.647570000000009</v>
      </c>
      <c r="W47" s="120">
        <f>IF(L47="","",L47*'Carbon factors'!$C$5)</f>
        <v>17.475000000000001</v>
      </c>
      <c r="X47" s="120" t="str">
        <f>IF(M47="","",M47*'Carbon factors'!$C$5)</f>
        <v/>
      </c>
      <c r="Y47" s="221">
        <f t="shared" si="5"/>
        <v>782.01946999999996</v>
      </c>
      <c r="Z47" s="61">
        <f t="shared" si="6"/>
        <v>13.719639824561403</v>
      </c>
      <c r="AA47" s="281">
        <v>36.299999999999997</v>
      </c>
    </row>
    <row r="48" spans="1:27" ht="13.5" customHeight="1">
      <c r="A48" s="99" t="s">
        <v>321</v>
      </c>
      <c r="B48" s="100">
        <v>78</v>
      </c>
      <c r="C48" s="100">
        <v>42</v>
      </c>
      <c r="D48" s="101">
        <f t="shared" si="1"/>
        <v>3276</v>
      </c>
      <c r="E48" s="96">
        <f t="shared" si="7"/>
        <v>15.646185769230769</v>
      </c>
      <c r="F48" s="109">
        <v>15.65</v>
      </c>
      <c r="G48" s="320">
        <v>2546.31</v>
      </c>
      <c r="H48" s="141" t="str">
        <f t="shared" si="2"/>
        <v>Natural Gas</v>
      </c>
      <c r="I48" s="320">
        <v>2109.36</v>
      </c>
      <c r="J48" s="321" t="str">
        <f t="shared" si="3"/>
        <v>Natural Gas</v>
      </c>
      <c r="K48" s="320">
        <v>338.83</v>
      </c>
      <c r="L48" s="320">
        <v>75</v>
      </c>
      <c r="M48" s="321"/>
      <c r="N48" s="119">
        <f>IFERROR($G48*INDEX('Carbon factors'!$B$4:$B$10,MATCH($H48,Fuel_Type,0),1),"")</f>
        <v>550.00296000000003</v>
      </c>
      <c r="O48" s="120">
        <f>IFERROR($I48*INDEX('Carbon factors'!$B$4:$B$10,MATCH($J48,Fuel_Type,0),1),"")</f>
        <v>455.62175999999999</v>
      </c>
      <c r="P48" s="120">
        <f>IF(K48="","",K48*'Carbon factors'!$B$5)</f>
        <v>175.85276999999999</v>
      </c>
      <c r="Q48" s="120">
        <f>IF(L48="","",L48*'Carbon factors'!$B$5)</f>
        <v>38.925000000000004</v>
      </c>
      <c r="R48" s="120" t="str">
        <f>IF(M48="","",M48*'Carbon factors'!$B$5)</f>
        <v/>
      </c>
      <c r="S48" s="263">
        <f t="shared" si="4"/>
        <v>1220.4024899999999</v>
      </c>
      <c r="T48" s="125">
        <f>IFERROR($G48*INDEX('Carbon factors'!$C$4:$C$10,MATCH($H48,Fuel_Type,0),1),"")</f>
        <v>534.7251</v>
      </c>
      <c r="U48" s="120">
        <f>IFERROR($I48*INDEX('Carbon factors'!$C$4:$C$10,MATCH($J48,Fuel_Type,0),1),"")</f>
        <v>442.96559999999999</v>
      </c>
      <c r="V48" s="120">
        <f>IF(K48="","",K48*'Carbon factors'!$C$5)</f>
        <v>78.947389999999999</v>
      </c>
      <c r="W48" s="120">
        <f>IF(L48="","",L48*'Carbon factors'!$C$5)</f>
        <v>17.475000000000001</v>
      </c>
      <c r="X48" s="120" t="str">
        <f>IF(M48="","",M48*'Carbon factors'!$C$5)</f>
        <v/>
      </c>
      <c r="Y48" s="221">
        <f t="shared" si="5"/>
        <v>1074.1130899999998</v>
      </c>
      <c r="Z48" s="61">
        <f t="shared" si="6"/>
        <v>13.770680641025638</v>
      </c>
      <c r="AA48" s="281">
        <v>42.5</v>
      </c>
    </row>
    <row r="49" spans="1:27" ht="13.5" customHeight="1">
      <c r="A49" s="99" t="s">
        <v>322</v>
      </c>
      <c r="B49" s="100">
        <v>78</v>
      </c>
      <c r="C49" s="100">
        <v>10</v>
      </c>
      <c r="D49" s="101">
        <f t="shared" si="1"/>
        <v>780</v>
      </c>
      <c r="E49" s="96">
        <f t="shared" si="7"/>
        <v>15.181453461538462</v>
      </c>
      <c r="F49" s="109">
        <v>15.18</v>
      </c>
      <c r="G49" s="320">
        <v>2375</v>
      </c>
      <c r="H49" s="141" t="str">
        <f t="shared" si="2"/>
        <v>Natural Gas</v>
      </c>
      <c r="I49" s="320">
        <v>2112.85</v>
      </c>
      <c r="J49" s="321" t="str">
        <f t="shared" si="3"/>
        <v>Natural Gas</v>
      </c>
      <c r="K49" s="320">
        <v>338.83</v>
      </c>
      <c r="L49" s="320">
        <v>75</v>
      </c>
      <c r="M49" s="321"/>
      <c r="N49" s="119">
        <f>IFERROR($G49*INDEX('Carbon factors'!$B$4:$B$10,MATCH($H49,Fuel_Type,0),1),"")</f>
        <v>513</v>
      </c>
      <c r="O49" s="120">
        <f>IFERROR($I49*INDEX('Carbon factors'!$B$4:$B$10,MATCH($J49,Fuel_Type,0),1),"")</f>
        <v>456.37559999999996</v>
      </c>
      <c r="P49" s="120">
        <f>IF(K49="","",K49*'Carbon factors'!$B$5)</f>
        <v>175.85276999999999</v>
      </c>
      <c r="Q49" s="120">
        <f>IF(L49="","",L49*'Carbon factors'!$B$5)</f>
        <v>38.925000000000004</v>
      </c>
      <c r="R49" s="120" t="str">
        <f>IF(M49="","",M49*'Carbon factors'!$B$5)</f>
        <v/>
      </c>
      <c r="S49" s="263">
        <f t="shared" si="4"/>
        <v>1184.15337</v>
      </c>
      <c r="T49" s="125">
        <f>IFERROR($G49*INDEX('Carbon factors'!$C$4:$C$10,MATCH($H49,Fuel_Type,0),1),"")</f>
        <v>498.75</v>
      </c>
      <c r="U49" s="120">
        <f>IFERROR($I49*INDEX('Carbon factors'!$C$4:$C$10,MATCH($J49,Fuel_Type,0),1),"")</f>
        <v>443.69849999999997</v>
      </c>
      <c r="V49" s="120">
        <f>IF(K49="","",K49*'Carbon factors'!$C$5)</f>
        <v>78.947389999999999</v>
      </c>
      <c r="W49" s="120">
        <f>IF(L49="","",L49*'Carbon factors'!$C$5)</f>
        <v>17.475000000000001</v>
      </c>
      <c r="X49" s="120" t="str">
        <f>IF(M49="","",M49*'Carbon factors'!$C$5)</f>
        <v/>
      </c>
      <c r="Y49" s="221">
        <f t="shared" si="5"/>
        <v>1038.8708899999999</v>
      </c>
      <c r="Z49" s="61">
        <f t="shared" si="6"/>
        <v>13.318857564102563</v>
      </c>
      <c r="AA49" s="281">
        <v>40.200000000000003</v>
      </c>
    </row>
    <row r="50" spans="1:27" ht="13.5" customHeight="1">
      <c r="A50" s="99"/>
      <c r="B50" s="100"/>
      <c r="C50" s="100"/>
      <c r="D50" s="101"/>
      <c r="E50" s="96" t="str">
        <f t="shared" si="7"/>
        <v/>
      </c>
      <c r="F50" s="109"/>
      <c r="G50" s="320"/>
      <c r="H50" s="141" t="str">
        <f t="shared" si="2"/>
        <v/>
      </c>
      <c r="I50" s="320"/>
      <c r="J50" s="321" t="str">
        <f t="shared" si="3"/>
        <v/>
      </c>
      <c r="K50" s="320"/>
      <c r="L50" s="320"/>
      <c r="M50" s="321"/>
      <c r="N50" s="119" t="str">
        <f>IFERROR($G50*INDEX('Carbon factors'!$B$4:$B$10,MATCH($H50,Fuel_Type,0),1),"")</f>
        <v/>
      </c>
      <c r="O50" s="120" t="str">
        <f>IFERROR($I50*INDEX('Carbon factors'!$B$4:$B$10,MATCH($J50,Fuel_Type,0),1),"")</f>
        <v/>
      </c>
      <c r="P50" s="120" t="str">
        <f>IF(K50="","",K50*'Carbon factors'!$B$5)</f>
        <v/>
      </c>
      <c r="Q50" s="120" t="str">
        <f>IF(L50="","",L50*'Carbon factors'!$B$5)</f>
        <v/>
      </c>
      <c r="R50" s="120" t="str">
        <f>IF(M50="","",M50*'Carbon factors'!$B$5)</f>
        <v/>
      </c>
      <c r="S50" s="263" t="str">
        <f t="shared" si="4"/>
        <v/>
      </c>
      <c r="T50" s="125" t="str">
        <f>IFERROR($G50*INDEX('Carbon factors'!$C$4:$C$10,MATCH($H50,Fuel_Type,0),1),"")</f>
        <v/>
      </c>
      <c r="U50" s="120" t="str">
        <f>IFERROR($I50*INDEX('Carbon factors'!$C$4:$C$10,MATCH($J50,Fuel_Type,0),1),"")</f>
        <v/>
      </c>
      <c r="V50" s="120" t="str">
        <f>IF(K50="","",K50*'Carbon factors'!$C$5)</f>
        <v/>
      </c>
      <c r="W50" s="120" t="str">
        <f>IF(L50="","",L50*'Carbon factors'!$C$5)</f>
        <v/>
      </c>
      <c r="X50" s="120" t="str">
        <f>IF(M50="","",M50*'Carbon factors'!$C$5)</f>
        <v/>
      </c>
      <c r="Y50" s="221" t="str">
        <f t="shared" si="5"/>
        <v/>
      </c>
      <c r="Z50" s="61" t="str">
        <f t="shared" si="6"/>
        <v/>
      </c>
      <c r="AA50" s="281"/>
    </row>
    <row r="51" spans="1:27" ht="13.5" customHeight="1">
      <c r="A51" s="99"/>
      <c r="B51" s="100"/>
      <c r="C51" s="100"/>
      <c r="D51" s="101"/>
      <c r="E51" s="96" t="str">
        <f t="shared" si="7"/>
        <v/>
      </c>
      <c r="F51" s="109"/>
      <c r="G51" s="320"/>
      <c r="H51" s="141" t="str">
        <f t="shared" si="2"/>
        <v/>
      </c>
      <c r="I51" s="320"/>
      <c r="J51" s="321" t="str">
        <f t="shared" si="3"/>
        <v/>
      </c>
      <c r="K51" s="320"/>
      <c r="L51" s="320"/>
      <c r="M51" s="321"/>
      <c r="N51" s="119" t="str">
        <f>IFERROR($G51*INDEX('Carbon factors'!$B$4:$B$10,MATCH($H51,Fuel_Type,0),1),"")</f>
        <v/>
      </c>
      <c r="O51" s="120" t="str">
        <f>IFERROR($I51*INDEX('Carbon factors'!$B$4:$B$10,MATCH($J51,Fuel_Type,0),1),"")</f>
        <v/>
      </c>
      <c r="P51" s="120" t="str">
        <f>IF(K51="","",K51*'Carbon factors'!$B$5)</f>
        <v/>
      </c>
      <c r="Q51" s="120" t="str">
        <f>IF(L51="","",L51*'Carbon factors'!$B$5)</f>
        <v/>
      </c>
      <c r="R51" s="120" t="str">
        <f>IF(M51="","",M51*'Carbon factors'!$B$5)</f>
        <v/>
      </c>
      <c r="S51" s="263" t="str">
        <f t="shared" si="4"/>
        <v/>
      </c>
      <c r="T51" s="125" t="str">
        <f>IFERROR($G51*INDEX('Carbon factors'!$C$4:$C$10,MATCH($H51,Fuel_Type,0),1),"")</f>
        <v/>
      </c>
      <c r="U51" s="120" t="str">
        <f>IFERROR($I51*INDEX('Carbon factors'!$C$4:$C$10,MATCH($J51,Fuel_Type,0),1),"")</f>
        <v/>
      </c>
      <c r="V51" s="120" t="str">
        <f>IF(K51="","",K51*'Carbon factors'!$C$5)</f>
        <v/>
      </c>
      <c r="W51" s="120" t="str">
        <f>IF(L51="","",L51*'Carbon factors'!$C$5)</f>
        <v/>
      </c>
      <c r="X51" s="120" t="str">
        <f>IF(M51="","",M51*'Carbon factors'!$C$5)</f>
        <v/>
      </c>
      <c r="Y51" s="221" t="str">
        <f t="shared" si="5"/>
        <v/>
      </c>
      <c r="Z51" s="61" t="str">
        <f t="shared" si="6"/>
        <v/>
      </c>
      <c r="AA51" s="281"/>
    </row>
    <row r="52" spans="1:27" ht="13.5" customHeight="1">
      <c r="A52" s="99"/>
      <c r="B52" s="100"/>
      <c r="C52" s="100"/>
      <c r="D52" s="101"/>
      <c r="E52" s="96" t="str">
        <f t="shared" si="7"/>
        <v/>
      </c>
      <c r="F52" s="109"/>
      <c r="G52" s="320"/>
      <c r="H52" s="141" t="str">
        <f t="shared" si="2"/>
        <v/>
      </c>
      <c r="I52" s="320"/>
      <c r="J52" s="321" t="str">
        <f t="shared" si="3"/>
        <v/>
      </c>
      <c r="K52" s="320"/>
      <c r="L52" s="320"/>
      <c r="M52" s="321"/>
      <c r="N52" s="119" t="str">
        <f>IFERROR($G52*INDEX('Carbon factors'!$B$4:$B$10,MATCH($H52,Fuel_Type,0),1),"")</f>
        <v/>
      </c>
      <c r="O52" s="120" t="str">
        <f>IFERROR($I52*INDEX('Carbon factors'!$B$4:$B$10,MATCH($J52,Fuel_Type,0),1),"")</f>
        <v/>
      </c>
      <c r="P52" s="120" t="str">
        <f>IF(K52="","",K52*'Carbon factors'!$B$5)</f>
        <v/>
      </c>
      <c r="Q52" s="120" t="str">
        <f>IF(L52="","",L52*'Carbon factors'!$B$5)</f>
        <v/>
      </c>
      <c r="R52" s="120" t="str">
        <f>IF(M52="","",M52*'Carbon factors'!$B$5)</f>
        <v/>
      </c>
      <c r="S52" s="263" t="str">
        <f t="shared" si="4"/>
        <v/>
      </c>
      <c r="T52" s="125" t="str">
        <f>IFERROR($G52*INDEX('Carbon factors'!$C$4:$C$10,MATCH($H52,Fuel_Type,0),1),"")</f>
        <v/>
      </c>
      <c r="U52" s="120" t="str">
        <f>IFERROR($I52*INDEX('Carbon factors'!$C$4:$C$10,MATCH($J52,Fuel_Type,0),1),"")</f>
        <v/>
      </c>
      <c r="V52" s="120" t="str">
        <f>IF(K52="","",K52*'Carbon factors'!$C$5)</f>
        <v/>
      </c>
      <c r="W52" s="120" t="str">
        <f>IF(L52="","",L52*'Carbon factors'!$C$5)</f>
        <v/>
      </c>
      <c r="X52" s="120" t="str">
        <f>IF(M52="","",M52*'Carbon factors'!$C$5)</f>
        <v/>
      </c>
      <c r="Y52" s="221" t="str">
        <f t="shared" si="5"/>
        <v/>
      </c>
      <c r="Z52" s="61" t="str">
        <f t="shared" si="6"/>
        <v/>
      </c>
      <c r="AA52" s="281"/>
    </row>
    <row r="53" spans="1:27" ht="13.5" customHeight="1">
      <c r="A53" s="99"/>
      <c r="B53" s="100"/>
      <c r="C53" s="100"/>
      <c r="D53" s="101"/>
      <c r="E53" s="96" t="str">
        <f t="shared" si="7"/>
        <v/>
      </c>
      <c r="F53" s="109"/>
      <c r="G53" s="320"/>
      <c r="H53" s="141" t="str">
        <f t="shared" si="2"/>
        <v/>
      </c>
      <c r="I53" s="320"/>
      <c r="J53" s="321" t="str">
        <f t="shared" si="3"/>
        <v/>
      </c>
      <c r="K53" s="320"/>
      <c r="L53" s="320"/>
      <c r="M53" s="321"/>
      <c r="N53" s="119" t="str">
        <f>IFERROR($G53*INDEX('Carbon factors'!$B$4:$B$10,MATCH($H53,Fuel_Type,0),1),"")</f>
        <v/>
      </c>
      <c r="O53" s="120" t="str">
        <f>IFERROR($I53*INDEX('Carbon factors'!$B$4:$B$10,MATCH($J53,Fuel_Type,0),1),"")</f>
        <v/>
      </c>
      <c r="P53" s="120" t="str">
        <f>IF(K53="","",K53*'Carbon factors'!$B$5)</f>
        <v/>
      </c>
      <c r="Q53" s="120" t="str">
        <f>IF(L53="","",L53*'Carbon factors'!$B$5)</f>
        <v/>
      </c>
      <c r="R53" s="120" t="str">
        <f>IF(M53="","",M53*'Carbon factors'!$B$5)</f>
        <v/>
      </c>
      <c r="S53" s="263" t="str">
        <f t="shared" si="4"/>
        <v/>
      </c>
      <c r="T53" s="125" t="str">
        <f>IFERROR($G53*INDEX('Carbon factors'!$C$4:$C$10,MATCH($H53,Fuel_Type,0),1),"")</f>
        <v/>
      </c>
      <c r="U53" s="120" t="str">
        <f>IFERROR($I53*INDEX('Carbon factors'!$C$4:$C$10,MATCH($J53,Fuel_Type,0),1),"")</f>
        <v/>
      </c>
      <c r="V53" s="120" t="str">
        <f>IF(K53="","",K53*'Carbon factors'!$C$5)</f>
        <v/>
      </c>
      <c r="W53" s="120" t="str">
        <f>IF(L53="","",L53*'Carbon factors'!$C$5)</f>
        <v/>
      </c>
      <c r="X53" s="120" t="str">
        <f>IF(M53="","",M53*'Carbon factors'!$C$5)</f>
        <v/>
      </c>
      <c r="Y53" s="221" t="str">
        <f t="shared" si="5"/>
        <v/>
      </c>
      <c r="Z53" s="61" t="str">
        <f t="shared" si="6"/>
        <v/>
      </c>
      <c r="AA53" s="281"/>
    </row>
    <row r="54" spans="1:27" ht="13.5" customHeight="1">
      <c r="A54" s="99"/>
      <c r="B54" s="100"/>
      <c r="C54" s="100"/>
      <c r="D54" s="101"/>
      <c r="E54" s="96" t="str">
        <f t="shared" si="7"/>
        <v/>
      </c>
      <c r="F54" s="109"/>
      <c r="G54" s="320"/>
      <c r="H54" s="141" t="str">
        <f t="shared" si="2"/>
        <v/>
      </c>
      <c r="I54" s="320"/>
      <c r="J54" s="321" t="str">
        <f t="shared" si="3"/>
        <v/>
      </c>
      <c r="K54" s="320"/>
      <c r="L54" s="320"/>
      <c r="M54" s="321"/>
      <c r="N54" s="119" t="str">
        <f>IFERROR($G54*INDEX('Carbon factors'!$B$4:$B$10,MATCH($H54,Fuel_Type,0),1),"")</f>
        <v/>
      </c>
      <c r="O54" s="120" t="str">
        <f>IFERROR($I54*INDEX('Carbon factors'!$B$4:$B$10,MATCH($J54,Fuel_Type,0),1),"")</f>
        <v/>
      </c>
      <c r="P54" s="120" t="str">
        <f>IF(K54="","",K54*'Carbon factors'!$B$5)</f>
        <v/>
      </c>
      <c r="Q54" s="120" t="str">
        <f>IF(L54="","",L54*'Carbon factors'!$B$5)</f>
        <v/>
      </c>
      <c r="R54" s="120" t="str">
        <f>IF(M54="","",M54*'Carbon factors'!$B$5)</f>
        <v/>
      </c>
      <c r="S54" s="263" t="str">
        <f t="shared" si="4"/>
        <v/>
      </c>
      <c r="T54" s="125" t="str">
        <f>IFERROR($G54*INDEX('Carbon factors'!$C$4:$C$10,MATCH($H54,Fuel_Type,0),1),"")</f>
        <v/>
      </c>
      <c r="U54" s="120" t="str">
        <f>IFERROR($I54*INDEX('Carbon factors'!$C$4:$C$10,MATCH($J54,Fuel_Type,0),1),"")</f>
        <v/>
      </c>
      <c r="V54" s="120" t="str">
        <f>IF(K54="","",K54*'Carbon factors'!$C$5)</f>
        <v/>
      </c>
      <c r="W54" s="120" t="str">
        <f>IF(L54="","",L54*'Carbon factors'!$C$5)</f>
        <v/>
      </c>
      <c r="X54" s="120" t="str">
        <f>IF(M54="","",M54*'Carbon factors'!$C$5)</f>
        <v/>
      </c>
      <c r="Y54" s="221" t="str">
        <f t="shared" si="5"/>
        <v/>
      </c>
      <c r="Z54" s="61" t="str">
        <f t="shared" si="6"/>
        <v/>
      </c>
      <c r="AA54" s="281"/>
    </row>
    <row r="55" spans="1:27" ht="13.5" customHeight="1">
      <c r="A55" s="99"/>
      <c r="B55" s="100"/>
      <c r="C55" s="100"/>
      <c r="D55" s="101"/>
      <c r="E55" s="96" t="str">
        <f t="shared" si="7"/>
        <v/>
      </c>
      <c r="F55" s="109"/>
      <c r="G55" s="320"/>
      <c r="H55" s="141" t="str">
        <f t="shared" si="2"/>
        <v/>
      </c>
      <c r="I55" s="320"/>
      <c r="J55" s="321" t="str">
        <f t="shared" si="3"/>
        <v/>
      </c>
      <c r="K55" s="320"/>
      <c r="L55" s="320"/>
      <c r="M55" s="321"/>
      <c r="N55" s="119" t="str">
        <f>IFERROR($G55*INDEX('Carbon factors'!$B$4:$B$10,MATCH($H55,Fuel_Type,0),1),"")</f>
        <v/>
      </c>
      <c r="O55" s="120" t="str">
        <f>IFERROR($I55*INDEX('Carbon factors'!$B$4:$B$10,MATCH($J55,Fuel_Type,0),1),"")</f>
        <v/>
      </c>
      <c r="P55" s="120" t="str">
        <f>IF(K55="","",K55*'Carbon factors'!$B$5)</f>
        <v/>
      </c>
      <c r="Q55" s="120" t="str">
        <f>IF(L55="","",L55*'Carbon factors'!$B$5)</f>
        <v/>
      </c>
      <c r="R55" s="120" t="str">
        <f>IF(M55="","",M55*'Carbon factors'!$B$5)</f>
        <v/>
      </c>
      <c r="S55" s="263" t="str">
        <f t="shared" si="4"/>
        <v/>
      </c>
      <c r="T55" s="125" t="str">
        <f>IFERROR($G55*INDEX('Carbon factors'!$C$4:$C$10,MATCH($H55,Fuel_Type,0),1),"")</f>
        <v/>
      </c>
      <c r="U55" s="120" t="str">
        <f>IFERROR($I55*INDEX('Carbon factors'!$C$4:$C$10,MATCH($J55,Fuel_Type,0),1),"")</f>
        <v/>
      </c>
      <c r="V55" s="120" t="str">
        <f>IF(K55="","",K55*'Carbon factors'!$C$5)</f>
        <v/>
      </c>
      <c r="W55" s="120" t="str">
        <f>IF(L55="","",L55*'Carbon factors'!$C$5)</f>
        <v/>
      </c>
      <c r="X55" s="120" t="str">
        <f>IF(M55="","",M55*'Carbon factors'!$C$5)</f>
        <v/>
      </c>
      <c r="Y55" s="221" t="str">
        <f t="shared" si="5"/>
        <v/>
      </c>
      <c r="Z55" s="61" t="str">
        <f t="shared" si="6"/>
        <v/>
      </c>
      <c r="AA55" s="281"/>
    </row>
    <row r="56" spans="1:27" ht="13.5" customHeight="1">
      <c r="A56" s="103"/>
      <c r="B56" s="104"/>
      <c r="C56" s="104"/>
      <c r="D56" s="105"/>
      <c r="E56" s="97" t="str">
        <f t="shared" si="7"/>
        <v/>
      </c>
      <c r="F56" s="110"/>
      <c r="G56" s="322"/>
      <c r="H56" s="141" t="str">
        <f t="shared" si="2"/>
        <v/>
      </c>
      <c r="I56" s="322"/>
      <c r="J56" s="323" t="str">
        <f t="shared" si="3"/>
        <v/>
      </c>
      <c r="K56" s="322"/>
      <c r="L56" s="322"/>
      <c r="M56" s="324"/>
      <c r="N56" s="122" t="str">
        <f>IFERROR($G56*INDEX('Carbon factors'!$B$4:$B$10,MATCH($H56,Fuel_Type,0),1),"")</f>
        <v/>
      </c>
      <c r="O56" s="120" t="str">
        <f>IFERROR($I56*INDEX('Carbon factors'!$B$4:$B$10,MATCH($J56,Fuel_Type,0),1),"")</f>
        <v/>
      </c>
      <c r="P56" s="120" t="str">
        <f>IF(K56="","",K56*'Carbon factors'!$B$5)</f>
        <v/>
      </c>
      <c r="Q56" s="123" t="str">
        <f>IF(L56="","",L56*'Carbon factors'!$B$5)</f>
        <v/>
      </c>
      <c r="R56" s="123" t="str">
        <f>IF(M56="","",M56*'Carbon factors'!$B$5)</f>
        <v/>
      </c>
      <c r="S56" s="264" t="str">
        <f t="shared" si="4"/>
        <v/>
      </c>
      <c r="T56" s="126" t="str">
        <f>IFERROR($G56*INDEX('Carbon factors'!$C$4:$C$10,MATCH($H56,Fuel_Type,0),1),"")</f>
        <v/>
      </c>
      <c r="U56" s="123" t="str">
        <f>IFERROR($I56*INDEX('Carbon factors'!$C$4:$C$10,MATCH($J56,Fuel_Type,0),1),"")</f>
        <v/>
      </c>
      <c r="V56" s="123" t="str">
        <f>IF(K56="","",K56*'Carbon factors'!$C$5)</f>
        <v/>
      </c>
      <c r="W56" s="123" t="str">
        <f>IF(L56="","",L56*'Carbon factors'!$C$5)</f>
        <v/>
      </c>
      <c r="X56" s="123" t="str">
        <f>IF(M56="","",M56*'Carbon factors'!$C$5)</f>
        <v/>
      </c>
      <c r="Y56" s="221" t="str">
        <f t="shared" si="5"/>
        <v/>
      </c>
      <c r="Z56" s="61" t="str">
        <f t="shared" si="6"/>
        <v/>
      </c>
      <c r="AA56" s="281"/>
    </row>
    <row r="57" spans="1:27" ht="24" customHeight="1">
      <c r="A57" s="54" t="s">
        <v>2</v>
      </c>
      <c r="B57" s="55">
        <f>SUMPRODUCT(B6:B56,C6:C56)</f>
        <v>26745</v>
      </c>
      <c r="C57" s="55">
        <f>SUM(C6:C56)</f>
        <v>375</v>
      </c>
      <c r="D57" s="55">
        <f>SUM(D6:D56)</f>
        <v>26745</v>
      </c>
      <c r="E57" s="276">
        <f>S57/B57</f>
        <v>15.299879468311836</v>
      </c>
      <c r="F57" s="201" t="s">
        <v>3</v>
      </c>
      <c r="G57" s="55">
        <f>SUMPRODUCT(G6:G56,C6:C56)</f>
        <v>785063.02000000014</v>
      </c>
      <c r="H57" s="83" t="s">
        <v>12</v>
      </c>
      <c r="I57" s="55">
        <f>SUMPRODUCT(I6:I56,C6:C56)</f>
        <v>759958.51999999979</v>
      </c>
      <c r="J57" s="83" t="s">
        <v>12</v>
      </c>
      <c r="K57" s="55">
        <f>SUMPRODUCT(K6:K56,C6:C56)</f>
        <v>117290.46000000002</v>
      </c>
      <c r="L57" s="55">
        <f>SUMPRODUCT(L6:L56,C6:C56)</f>
        <v>28125</v>
      </c>
      <c r="M57" s="56">
        <f>SUMPRODUCT(M6:M56,C6:C56)</f>
        <v>0</v>
      </c>
      <c r="N57" s="198">
        <f>SUMPRODUCT(N6:N56,$C$6:$C$56)</f>
        <v>169573.61231999999</v>
      </c>
      <c r="O57" s="199">
        <f>SUMPRODUCT(O6:O56,$C$6:$C$56)</f>
        <v>164151.04032</v>
      </c>
      <c r="P57" s="199">
        <f>SUMPRODUCT(P6:P56,$C$6:$C$56)</f>
        <v>60873.748740000003</v>
      </c>
      <c r="Q57" s="55">
        <f>SUMPRODUCT(Q6:Q56,$C$6:$C$56)</f>
        <v>14596.874999999998</v>
      </c>
      <c r="R57" s="55">
        <f>SUMPRODUCT(R6:R56,$C$6:$C$56)</f>
        <v>0</v>
      </c>
      <c r="S57" s="271">
        <f>SUMPRODUCT(E6:E56,D6:D56)</f>
        <v>409195.27638000005</v>
      </c>
      <c r="T57" s="58">
        <f>SUMPRODUCT(T6:T56,$C$6:$C$56)</f>
        <v>164863.23419999998</v>
      </c>
      <c r="U57" s="55">
        <f>SUMPRODUCT(U6:U56,$C$6:$C$56)</f>
        <v>159591.28919999997</v>
      </c>
      <c r="V57" s="55">
        <f>SUMPRODUCT(V6:V56,$C$6:$C$56)</f>
        <v>27328.677180000006</v>
      </c>
      <c r="W57" s="55">
        <f>SUMPRODUCT(W6:W56,$C$6:$C$56)</f>
        <v>6553.125</v>
      </c>
      <c r="X57" s="55">
        <f>SUMPRODUCT(X6:X56,$C$6:$C$56)</f>
        <v>0</v>
      </c>
      <c r="Y57" s="284">
        <f>SUMPRODUCT(Z6:Z56,D6:D56)</f>
        <v>358336.32558</v>
      </c>
      <c r="Z57" s="285">
        <f>Y57/B57</f>
        <v>13.398254835670219</v>
      </c>
      <c r="AA57" s="282">
        <f>SUMPRODUCT(AA6:AA56,$B$6:$B$56,$C$6:$C$56)/SUMPRODUCT(B6:B56,C6:C56)</f>
        <v>39.214679379323236</v>
      </c>
    </row>
    <row r="58" spans="1:27" s="37" customFormat="1" ht="27" customHeight="1">
      <c r="A58" s="376" t="s">
        <v>186</v>
      </c>
      <c r="B58" s="377"/>
      <c r="C58" s="377"/>
      <c r="D58" s="377"/>
      <c r="E58" s="377"/>
      <c r="F58" s="377"/>
      <c r="G58" s="377"/>
      <c r="H58" s="377"/>
      <c r="I58" s="377"/>
      <c r="J58" s="377"/>
      <c r="K58" s="377"/>
      <c r="L58" s="377"/>
      <c r="M58" s="377"/>
      <c r="N58" s="377"/>
      <c r="O58" s="377"/>
      <c r="P58" s="377"/>
      <c r="Q58" s="377"/>
      <c r="R58" s="377"/>
      <c r="S58" s="377"/>
      <c r="T58" s="377"/>
      <c r="U58" s="377"/>
      <c r="V58" s="377"/>
      <c r="W58" s="377"/>
      <c r="X58" s="377"/>
      <c r="Y58" s="378"/>
      <c r="Z58" s="379"/>
      <c r="AA58" s="36"/>
    </row>
    <row r="59" spans="1:27" ht="25.5" customHeight="1">
      <c r="A59" s="393" t="s">
        <v>197</v>
      </c>
      <c r="B59" s="384" t="s">
        <v>99</v>
      </c>
      <c r="C59" s="384" t="s">
        <v>1</v>
      </c>
      <c r="D59" s="384" t="str">
        <f>D3</f>
        <v>Total area represented by model  (m²)</v>
      </c>
      <c r="E59" s="396" t="s">
        <v>201</v>
      </c>
      <c r="F59" s="397"/>
      <c r="G59" s="371" t="s">
        <v>250</v>
      </c>
      <c r="H59" s="372"/>
      <c r="I59" s="372"/>
      <c r="J59" s="372"/>
      <c r="K59" s="372"/>
      <c r="L59" s="372"/>
      <c r="M59" s="373"/>
      <c r="N59" s="371" t="s">
        <v>249</v>
      </c>
      <c r="O59" s="372"/>
      <c r="P59" s="372"/>
      <c r="Q59" s="372"/>
      <c r="R59" s="372"/>
      <c r="S59" s="372"/>
      <c r="T59" s="418" t="s">
        <v>190</v>
      </c>
      <c r="U59" s="398"/>
      <c r="V59" s="398"/>
      <c r="W59" s="398"/>
      <c r="X59" s="399"/>
      <c r="Y59" s="398" t="s">
        <v>194</v>
      </c>
      <c r="Z59" s="399"/>
    </row>
    <row r="60" spans="1:27" ht="38.25" customHeight="1">
      <c r="A60" s="394"/>
      <c r="B60" s="385"/>
      <c r="C60" s="385"/>
      <c r="D60" s="385"/>
      <c r="E60" s="380" t="s">
        <v>23</v>
      </c>
      <c r="F60" s="391" t="s">
        <v>25</v>
      </c>
      <c r="G60" s="407" t="s">
        <v>130</v>
      </c>
      <c r="H60" s="389" t="s">
        <v>20</v>
      </c>
      <c r="I60" s="389" t="s">
        <v>187</v>
      </c>
      <c r="J60" s="389" t="s">
        <v>21</v>
      </c>
      <c r="K60" s="389" t="s">
        <v>132</v>
      </c>
      <c r="L60" s="389" t="s">
        <v>188</v>
      </c>
      <c r="M60" s="387" t="s">
        <v>195</v>
      </c>
      <c r="N60" s="260" t="str">
        <f>'Carbon factors'!A4</f>
        <v>Natural Gas</v>
      </c>
      <c r="O60" s="210" t="str">
        <f>'Carbon factors'!A5</f>
        <v xml:space="preserve">Grid Electricity </v>
      </c>
      <c r="P60" s="209"/>
      <c r="Q60" s="209"/>
      <c r="R60" s="209"/>
      <c r="S60" s="374" t="s">
        <v>96</v>
      </c>
      <c r="T60" s="220" t="str">
        <f>N60</f>
        <v>Natural Gas</v>
      </c>
      <c r="U60" s="151" t="str">
        <f>O60</f>
        <v xml:space="preserve">Grid Electricity </v>
      </c>
      <c r="V60" s="209"/>
      <c r="W60" s="209"/>
      <c r="X60" s="209"/>
      <c r="Y60" s="380" t="s">
        <v>114</v>
      </c>
      <c r="Z60" s="382" t="s">
        <v>119</v>
      </c>
    </row>
    <row r="61" spans="1:27">
      <c r="A61" s="395"/>
      <c r="B61" s="386"/>
      <c r="C61" s="386"/>
      <c r="D61" s="386"/>
      <c r="E61" s="381"/>
      <c r="F61" s="392"/>
      <c r="G61" s="408"/>
      <c r="H61" s="390"/>
      <c r="I61" s="390"/>
      <c r="J61" s="390"/>
      <c r="K61" s="390"/>
      <c r="L61" s="390"/>
      <c r="M61" s="388"/>
      <c r="N61" s="252">
        <f>VLOOKUP(N60,'Carbon factors'!$A$4:$C$10,2,FALSE)</f>
        <v>0.216</v>
      </c>
      <c r="O61" s="253">
        <f>VLOOKUP(O60,'Carbon factors'!$A$4:$C$10,2,FALSE)</f>
        <v>0.51900000000000002</v>
      </c>
      <c r="P61" s="183"/>
      <c r="Q61" s="183"/>
      <c r="R61" s="183"/>
      <c r="S61" s="375"/>
      <c r="T61" s="252">
        <f>VLOOKUP(T60,'Carbon factors'!$A$4:$C$10,3,FALSE)</f>
        <v>0.21</v>
      </c>
      <c r="U61" s="253">
        <f>VLOOKUP(U60,'Carbon factors'!$A$4:$C$10,3,FALSE)</f>
        <v>0.23300000000000001</v>
      </c>
      <c r="V61" s="183"/>
      <c r="W61" s="183"/>
      <c r="X61" s="183"/>
      <c r="Y61" s="381"/>
      <c r="Z61" s="383"/>
    </row>
    <row r="62" spans="1:27" ht="13.5" customHeight="1">
      <c r="A62" s="99" t="s">
        <v>325</v>
      </c>
      <c r="B62" s="100">
        <v>2918.75</v>
      </c>
      <c r="C62" s="100">
        <v>1</v>
      </c>
      <c r="D62" s="100">
        <v>2918.75</v>
      </c>
      <c r="E62" s="88">
        <f>IFERROR(S62/$B62,"")</f>
        <v>37.9359921</v>
      </c>
      <c r="F62" s="109">
        <v>37.5</v>
      </c>
      <c r="G62" s="100"/>
      <c r="H62" s="100"/>
      <c r="I62" s="100"/>
      <c r="J62" s="100"/>
      <c r="K62" s="100"/>
      <c r="L62" s="100"/>
      <c r="M62" s="100"/>
      <c r="N62" s="205">
        <v>101.384</v>
      </c>
      <c r="O62" s="206">
        <v>30.899899999999999</v>
      </c>
      <c r="P62" s="183"/>
      <c r="Q62" s="183"/>
      <c r="R62" s="183"/>
      <c r="S62" s="121">
        <f t="shared" ref="S62:S92" si="8">IF(SUM(N62:O62)=0,"",SUMPRODUCT($N$61:$O$61,N62:O62)*$B62*$C62)</f>
        <v>110725.676941875</v>
      </c>
      <c r="T62" s="45">
        <f t="shared" ref="T62:T92" si="9">IF(N62=0,"",N62)</f>
        <v>101.384</v>
      </c>
      <c r="U62" s="43">
        <f t="shared" ref="U62:U92" si="10">IF(O62=0,"",O62)</f>
        <v>30.899899999999999</v>
      </c>
      <c r="V62" s="183"/>
      <c r="W62" s="183"/>
      <c r="X62" s="183"/>
      <c r="Y62" s="44">
        <f t="shared" ref="Y62:Y92" si="11">IF(SUM(T62:X62)=0,"",SUMPRODUCT($T$61:$U$61,T62:U62)*$B62*$C62)</f>
        <v>83156.111868125008</v>
      </c>
      <c r="Z62" s="130">
        <f>IFERROR(Y62/$B62,"")</f>
        <v>28.490316700000001</v>
      </c>
    </row>
    <row r="63" spans="1:27" ht="13.5" customHeight="1">
      <c r="A63" s="99"/>
      <c r="B63" s="100"/>
      <c r="C63" s="100"/>
      <c r="D63" s="100"/>
      <c r="E63" s="88" t="str">
        <f t="shared" ref="E63:E92" si="12">IFERROR(S63/$B63,"")</f>
        <v/>
      </c>
      <c r="F63" s="109"/>
      <c r="G63" s="320"/>
      <c r="H63" s="100"/>
      <c r="I63" s="100"/>
      <c r="J63" s="100"/>
      <c r="K63" s="100"/>
      <c r="L63" s="100"/>
      <c r="M63" s="100"/>
      <c r="N63" s="205"/>
      <c r="O63" s="206"/>
      <c r="P63" s="183"/>
      <c r="Q63" s="183"/>
      <c r="R63" s="183"/>
      <c r="S63" s="48" t="str">
        <f t="shared" si="8"/>
        <v/>
      </c>
      <c r="T63" s="125" t="str">
        <f t="shared" si="9"/>
        <v/>
      </c>
      <c r="U63" s="120" t="str">
        <f t="shared" si="10"/>
        <v/>
      </c>
      <c r="V63" s="183"/>
      <c r="W63" s="183"/>
      <c r="X63" s="183"/>
      <c r="Y63" s="121" t="str">
        <f t="shared" si="11"/>
        <v/>
      </c>
      <c r="Z63" s="130" t="str">
        <f t="shared" ref="Z63:Z92" si="13">IFERROR(Y63/$B63,"")</f>
        <v/>
      </c>
    </row>
    <row r="64" spans="1:27" ht="13.5" customHeight="1">
      <c r="A64" s="99"/>
      <c r="B64" s="100"/>
      <c r="C64" s="100"/>
      <c r="D64" s="100"/>
      <c r="E64" s="88" t="str">
        <f t="shared" si="12"/>
        <v/>
      </c>
      <c r="F64" s="109"/>
      <c r="G64" s="320"/>
      <c r="H64" s="100"/>
      <c r="I64" s="100"/>
      <c r="J64" s="100"/>
      <c r="K64" s="100"/>
      <c r="L64" s="100"/>
      <c r="M64" s="100"/>
      <c r="N64" s="205"/>
      <c r="O64" s="206"/>
      <c r="P64" s="183"/>
      <c r="Q64" s="183"/>
      <c r="R64" s="183"/>
      <c r="S64" s="48" t="str">
        <f t="shared" si="8"/>
        <v/>
      </c>
      <c r="T64" s="125" t="str">
        <f t="shared" si="9"/>
        <v/>
      </c>
      <c r="U64" s="120" t="str">
        <f t="shared" si="10"/>
        <v/>
      </c>
      <c r="V64" s="183"/>
      <c r="W64" s="183"/>
      <c r="X64" s="183"/>
      <c r="Y64" s="121" t="str">
        <f t="shared" si="11"/>
        <v/>
      </c>
      <c r="Z64" s="130" t="str">
        <f t="shared" si="13"/>
        <v/>
      </c>
    </row>
    <row r="65" spans="1:26" ht="13.5" customHeight="1">
      <c r="A65" s="99"/>
      <c r="B65" s="100"/>
      <c r="C65" s="100"/>
      <c r="D65" s="100"/>
      <c r="E65" s="88" t="str">
        <f t="shared" si="12"/>
        <v/>
      </c>
      <c r="F65" s="109"/>
      <c r="G65" s="320"/>
      <c r="H65" s="100"/>
      <c r="I65" s="100"/>
      <c r="J65" s="100"/>
      <c r="K65" s="100"/>
      <c r="L65" s="100"/>
      <c r="M65" s="100"/>
      <c r="N65" s="205"/>
      <c r="O65" s="206"/>
      <c r="P65" s="183"/>
      <c r="Q65" s="183"/>
      <c r="R65" s="183"/>
      <c r="S65" s="48" t="str">
        <f t="shared" si="8"/>
        <v/>
      </c>
      <c r="T65" s="125" t="str">
        <f t="shared" si="9"/>
        <v/>
      </c>
      <c r="U65" s="120" t="str">
        <f t="shared" si="10"/>
        <v/>
      </c>
      <c r="V65" s="183"/>
      <c r="W65" s="183"/>
      <c r="X65" s="183"/>
      <c r="Y65" s="121" t="str">
        <f t="shared" si="11"/>
        <v/>
      </c>
      <c r="Z65" s="130" t="str">
        <f t="shared" si="13"/>
        <v/>
      </c>
    </row>
    <row r="66" spans="1:26" ht="13.5" customHeight="1">
      <c r="A66" s="99"/>
      <c r="B66" s="100"/>
      <c r="C66" s="100"/>
      <c r="D66" s="100"/>
      <c r="E66" s="88" t="str">
        <f t="shared" si="12"/>
        <v/>
      </c>
      <c r="F66" s="109"/>
      <c r="G66" s="320"/>
      <c r="H66" s="100"/>
      <c r="I66" s="100"/>
      <c r="J66" s="100"/>
      <c r="K66" s="100"/>
      <c r="L66" s="100"/>
      <c r="M66" s="100"/>
      <c r="N66" s="205"/>
      <c r="O66" s="206"/>
      <c r="P66" s="183"/>
      <c r="Q66" s="183"/>
      <c r="R66" s="183"/>
      <c r="S66" s="48" t="str">
        <f t="shared" si="8"/>
        <v/>
      </c>
      <c r="T66" s="125" t="str">
        <f t="shared" si="9"/>
        <v/>
      </c>
      <c r="U66" s="120" t="str">
        <f t="shared" si="10"/>
        <v/>
      </c>
      <c r="V66" s="183"/>
      <c r="W66" s="183"/>
      <c r="X66" s="183"/>
      <c r="Y66" s="121" t="str">
        <f t="shared" si="11"/>
        <v/>
      </c>
      <c r="Z66" s="130" t="str">
        <f t="shared" si="13"/>
        <v/>
      </c>
    </row>
    <row r="67" spans="1:26" ht="13.5" customHeight="1">
      <c r="A67" s="99"/>
      <c r="B67" s="100"/>
      <c r="C67" s="100"/>
      <c r="D67" s="100"/>
      <c r="E67" s="88" t="str">
        <f t="shared" si="12"/>
        <v/>
      </c>
      <c r="F67" s="109"/>
      <c r="G67" s="320"/>
      <c r="H67" s="100"/>
      <c r="I67" s="100"/>
      <c r="J67" s="100"/>
      <c r="K67" s="100"/>
      <c r="L67" s="100"/>
      <c r="M67" s="100"/>
      <c r="N67" s="205"/>
      <c r="O67" s="206"/>
      <c r="P67" s="183"/>
      <c r="Q67" s="183"/>
      <c r="R67" s="183"/>
      <c r="S67" s="48" t="str">
        <f t="shared" si="8"/>
        <v/>
      </c>
      <c r="T67" s="125" t="str">
        <f t="shared" si="9"/>
        <v/>
      </c>
      <c r="U67" s="120" t="str">
        <f t="shared" si="10"/>
        <v/>
      </c>
      <c r="V67" s="183"/>
      <c r="W67" s="183"/>
      <c r="X67" s="183"/>
      <c r="Y67" s="121" t="str">
        <f t="shared" si="11"/>
        <v/>
      </c>
      <c r="Z67" s="130" t="str">
        <f t="shared" si="13"/>
        <v/>
      </c>
    </row>
    <row r="68" spans="1:26" ht="13.5" customHeight="1">
      <c r="A68" s="99"/>
      <c r="B68" s="100"/>
      <c r="C68" s="100"/>
      <c r="D68" s="100"/>
      <c r="E68" s="88" t="str">
        <f t="shared" si="12"/>
        <v/>
      </c>
      <c r="F68" s="109"/>
      <c r="G68" s="320"/>
      <c r="H68" s="100"/>
      <c r="I68" s="100"/>
      <c r="J68" s="100"/>
      <c r="K68" s="100"/>
      <c r="L68" s="100"/>
      <c r="M68" s="100"/>
      <c r="N68" s="205"/>
      <c r="O68" s="206"/>
      <c r="P68" s="183"/>
      <c r="Q68" s="183"/>
      <c r="R68" s="183"/>
      <c r="S68" s="48" t="str">
        <f t="shared" si="8"/>
        <v/>
      </c>
      <c r="T68" s="125" t="str">
        <f t="shared" si="9"/>
        <v/>
      </c>
      <c r="U68" s="120" t="str">
        <f t="shared" si="10"/>
        <v/>
      </c>
      <c r="V68" s="183"/>
      <c r="W68" s="183"/>
      <c r="X68" s="183"/>
      <c r="Y68" s="121" t="str">
        <f t="shared" si="11"/>
        <v/>
      </c>
      <c r="Z68" s="130" t="str">
        <f t="shared" si="13"/>
        <v/>
      </c>
    </row>
    <row r="69" spans="1:26" ht="13.5" customHeight="1">
      <c r="A69" s="99"/>
      <c r="B69" s="100"/>
      <c r="C69" s="100"/>
      <c r="D69" s="100"/>
      <c r="E69" s="88" t="str">
        <f t="shared" si="12"/>
        <v/>
      </c>
      <c r="F69" s="109"/>
      <c r="G69" s="320"/>
      <c r="H69" s="100"/>
      <c r="I69" s="100"/>
      <c r="J69" s="100"/>
      <c r="K69" s="100"/>
      <c r="L69" s="100"/>
      <c r="M69" s="100"/>
      <c r="N69" s="205"/>
      <c r="O69" s="206"/>
      <c r="P69" s="183"/>
      <c r="Q69" s="183"/>
      <c r="R69" s="183"/>
      <c r="S69" s="48" t="str">
        <f t="shared" si="8"/>
        <v/>
      </c>
      <c r="T69" s="125" t="str">
        <f t="shared" si="9"/>
        <v/>
      </c>
      <c r="U69" s="120" t="str">
        <f t="shared" si="10"/>
        <v/>
      </c>
      <c r="V69" s="183"/>
      <c r="W69" s="183"/>
      <c r="X69" s="183"/>
      <c r="Y69" s="121" t="str">
        <f t="shared" si="11"/>
        <v/>
      </c>
      <c r="Z69" s="130" t="str">
        <f t="shared" si="13"/>
        <v/>
      </c>
    </row>
    <row r="70" spans="1:26" ht="13.5" customHeight="1">
      <c r="A70" s="99"/>
      <c r="B70" s="100"/>
      <c r="C70" s="100"/>
      <c r="D70" s="100"/>
      <c r="E70" s="88" t="str">
        <f t="shared" si="12"/>
        <v/>
      </c>
      <c r="F70" s="109"/>
      <c r="G70" s="320"/>
      <c r="H70" s="100"/>
      <c r="I70" s="100"/>
      <c r="J70" s="100"/>
      <c r="K70" s="100"/>
      <c r="L70" s="100"/>
      <c r="M70" s="100"/>
      <c r="N70" s="205"/>
      <c r="O70" s="206"/>
      <c r="P70" s="183"/>
      <c r="Q70" s="183"/>
      <c r="R70" s="183"/>
      <c r="S70" s="48" t="str">
        <f t="shared" si="8"/>
        <v/>
      </c>
      <c r="T70" s="125" t="str">
        <f t="shared" si="9"/>
        <v/>
      </c>
      <c r="U70" s="120" t="str">
        <f t="shared" si="10"/>
        <v/>
      </c>
      <c r="V70" s="183"/>
      <c r="W70" s="183"/>
      <c r="X70" s="183"/>
      <c r="Y70" s="121" t="str">
        <f t="shared" si="11"/>
        <v/>
      </c>
      <c r="Z70" s="130" t="str">
        <f t="shared" si="13"/>
        <v/>
      </c>
    </row>
    <row r="71" spans="1:26" ht="13.5" customHeight="1">
      <c r="A71" s="99"/>
      <c r="B71" s="100"/>
      <c r="C71" s="100"/>
      <c r="D71" s="100"/>
      <c r="E71" s="88" t="str">
        <f t="shared" si="12"/>
        <v/>
      </c>
      <c r="F71" s="109"/>
      <c r="G71" s="320"/>
      <c r="H71" s="100"/>
      <c r="I71" s="100"/>
      <c r="J71" s="100"/>
      <c r="K71" s="100"/>
      <c r="L71" s="100"/>
      <c r="M71" s="100"/>
      <c r="N71" s="205"/>
      <c r="O71" s="206"/>
      <c r="P71" s="183"/>
      <c r="Q71" s="183"/>
      <c r="R71" s="183"/>
      <c r="S71" s="48" t="str">
        <f t="shared" si="8"/>
        <v/>
      </c>
      <c r="T71" s="125" t="str">
        <f t="shared" si="9"/>
        <v/>
      </c>
      <c r="U71" s="120" t="str">
        <f t="shared" si="10"/>
        <v/>
      </c>
      <c r="V71" s="183"/>
      <c r="W71" s="183"/>
      <c r="X71" s="183"/>
      <c r="Y71" s="121" t="str">
        <f t="shared" si="11"/>
        <v/>
      </c>
      <c r="Z71" s="130" t="str">
        <f t="shared" si="13"/>
        <v/>
      </c>
    </row>
    <row r="72" spans="1:26" ht="13.5" customHeight="1">
      <c r="A72" s="99"/>
      <c r="B72" s="100"/>
      <c r="C72" s="100"/>
      <c r="D72" s="100"/>
      <c r="E72" s="88" t="str">
        <f t="shared" si="12"/>
        <v/>
      </c>
      <c r="F72" s="109"/>
      <c r="G72" s="320"/>
      <c r="H72" s="100"/>
      <c r="I72" s="100"/>
      <c r="J72" s="100"/>
      <c r="K72" s="100"/>
      <c r="L72" s="100"/>
      <c r="M72" s="100"/>
      <c r="N72" s="205"/>
      <c r="O72" s="206"/>
      <c r="P72" s="183"/>
      <c r="Q72" s="183"/>
      <c r="R72" s="183"/>
      <c r="S72" s="48" t="str">
        <f t="shared" si="8"/>
        <v/>
      </c>
      <c r="T72" s="125" t="str">
        <f t="shared" si="9"/>
        <v/>
      </c>
      <c r="U72" s="120" t="str">
        <f t="shared" si="10"/>
        <v/>
      </c>
      <c r="V72" s="183"/>
      <c r="W72" s="183"/>
      <c r="X72" s="183"/>
      <c r="Y72" s="121" t="str">
        <f t="shared" si="11"/>
        <v/>
      </c>
      <c r="Z72" s="130" t="str">
        <f t="shared" si="13"/>
        <v/>
      </c>
    </row>
    <row r="73" spans="1:26" ht="13.5" customHeight="1">
      <c r="A73" s="99"/>
      <c r="B73" s="100"/>
      <c r="C73" s="100"/>
      <c r="D73" s="100"/>
      <c r="E73" s="88" t="str">
        <f t="shared" si="12"/>
        <v/>
      </c>
      <c r="F73" s="109"/>
      <c r="G73" s="320"/>
      <c r="H73" s="100"/>
      <c r="I73" s="100"/>
      <c r="J73" s="100"/>
      <c r="K73" s="100"/>
      <c r="L73" s="100"/>
      <c r="M73" s="100"/>
      <c r="N73" s="205"/>
      <c r="O73" s="206"/>
      <c r="P73" s="183"/>
      <c r="Q73" s="183"/>
      <c r="R73" s="183"/>
      <c r="S73" s="48" t="str">
        <f t="shared" si="8"/>
        <v/>
      </c>
      <c r="T73" s="125" t="str">
        <f t="shared" si="9"/>
        <v/>
      </c>
      <c r="U73" s="120" t="str">
        <f t="shared" si="10"/>
        <v/>
      </c>
      <c r="V73" s="183"/>
      <c r="W73" s="183"/>
      <c r="X73" s="183"/>
      <c r="Y73" s="121" t="str">
        <f t="shared" si="11"/>
        <v/>
      </c>
      <c r="Z73" s="130" t="str">
        <f t="shared" si="13"/>
        <v/>
      </c>
    </row>
    <row r="74" spans="1:26" ht="13.5" customHeight="1">
      <c r="A74" s="99"/>
      <c r="B74" s="100"/>
      <c r="C74" s="100"/>
      <c r="D74" s="100"/>
      <c r="E74" s="88" t="str">
        <f t="shared" si="12"/>
        <v/>
      </c>
      <c r="F74" s="109"/>
      <c r="G74" s="320"/>
      <c r="H74" s="100"/>
      <c r="I74" s="100"/>
      <c r="J74" s="100"/>
      <c r="K74" s="100"/>
      <c r="L74" s="100"/>
      <c r="M74" s="100"/>
      <c r="N74" s="205"/>
      <c r="O74" s="206"/>
      <c r="P74" s="183"/>
      <c r="Q74" s="183"/>
      <c r="R74" s="183"/>
      <c r="S74" s="48" t="str">
        <f t="shared" si="8"/>
        <v/>
      </c>
      <c r="T74" s="125" t="str">
        <f t="shared" si="9"/>
        <v/>
      </c>
      <c r="U74" s="120" t="str">
        <f t="shared" si="10"/>
        <v/>
      </c>
      <c r="V74" s="183"/>
      <c r="W74" s="183"/>
      <c r="X74" s="183"/>
      <c r="Y74" s="121" t="str">
        <f t="shared" si="11"/>
        <v/>
      </c>
      <c r="Z74" s="130" t="str">
        <f t="shared" si="13"/>
        <v/>
      </c>
    </row>
    <row r="75" spans="1:26" ht="13.5" customHeight="1">
      <c r="A75" s="99"/>
      <c r="B75" s="100"/>
      <c r="C75" s="100"/>
      <c r="D75" s="100"/>
      <c r="E75" s="88" t="str">
        <f t="shared" si="12"/>
        <v/>
      </c>
      <c r="F75" s="109"/>
      <c r="G75" s="320"/>
      <c r="H75" s="100"/>
      <c r="I75" s="100"/>
      <c r="J75" s="100"/>
      <c r="K75" s="100"/>
      <c r="L75" s="100"/>
      <c r="M75" s="100"/>
      <c r="N75" s="205"/>
      <c r="O75" s="206"/>
      <c r="P75" s="183"/>
      <c r="Q75" s="183"/>
      <c r="R75" s="183"/>
      <c r="S75" s="48" t="str">
        <f t="shared" si="8"/>
        <v/>
      </c>
      <c r="T75" s="125" t="str">
        <f t="shared" si="9"/>
        <v/>
      </c>
      <c r="U75" s="120" t="str">
        <f t="shared" si="10"/>
        <v/>
      </c>
      <c r="V75" s="183"/>
      <c r="W75" s="183"/>
      <c r="X75" s="183"/>
      <c r="Y75" s="121" t="str">
        <f t="shared" si="11"/>
        <v/>
      </c>
      <c r="Z75" s="130" t="str">
        <f t="shared" si="13"/>
        <v/>
      </c>
    </row>
    <row r="76" spans="1:26" ht="13.5" customHeight="1">
      <c r="A76" s="99"/>
      <c r="B76" s="100"/>
      <c r="C76" s="100"/>
      <c r="D76" s="100"/>
      <c r="E76" s="88" t="str">
        <f t="shared" si="12"/>
        <v/>
      </c>
      <c r="F76" s="109"/>
      <c r="G76" s="320"/>
      <c r="H76" s="100"/>
      <c r="I76" s="100"/>
      <c r="J76" s="100"/>
      <c r="K76" s="100"/>
      <c r="L76" s="100"/>
      <c r="M76" s="100"/>
      <c r="N76" s="205"/>
      <c r="O76" s="206"/>
      <c r="P76" s="183"/>
      <c r="Q76" s="183"/>
      <c r="R76" s="183"/>
      <c r="S76" s="48" t="str">
        <f t="shared" si="8"/>
        <v/>
      </c>
      <c r="T76" s="125" t="str">
        <f t="shared" si="9"/>
        <v/>
      </c>
      <c r="U76" s="120" t="str">
        <f t="shared" si="10"/>
        <v/>
      </c>
      <c r="V76" s="183"/>
      <c r="W76" s="183"/>
      <c r="X76" s="183"/>
      <c r="Y76" s="121" t="str">
        <f t="shared" si="11"/>
        <v/>
      </c>
      <c r="Z76" s="130" t="str">
        <f t="shared" si="13"/>
        <v/>
      </c>
    </row>
    <row r="77" spans="1:26" ht="13.5" customHeight="1">
      <c r="A77" s="99"/>
      <c r="B77" s="100"/>
      <c r="C77" s="100"/>
      <c r="D77" s="100"/>
      <c r="E77" s="88" t="str">
        <f t="shared" si="12"/>
        <v/>
      </c>
      <c r="F77" s="109"/>
      <c r="G77" s="320"/>
      <c r="H77" s="100"/>
      <c r="I77" s="100"/>
      <c r="J77" s="100"/>
      <c r="K77" s="100"/>
      <c r="L77" s="100"/>
      <c r="M77" s="100"/>
      <c r="N77" s="205"/>
      <c r="O77" s="206"/>
      <c r="P77" s="183"/>
      <c r="Q77" s="183"/>
      <c r="R77" s="183"/>
      <c r="S77" s="48" t="str">
        <f t="shared" si="8"/>
        <v/>
      </c>
      <c r="T77" s="125" t="str">
        <f t="shared" si="9"/>
        <v/>
      </c>
      <c r="U77" s="120" t="str">
        <f t="shared" si="10"/>
        <v/>
      </c>
      <c r="V77" s="183"/>
      <c r="W77" s="183"/>
      <c r="X77" s="183"/>
      <c r="Y77" s="121" t="str">
        <f t="shared" si="11"/>
        <v/>
      </c>
      <c r="Z77" s="130" t="str">
        <f t="shared" si="13"/>
        <v/>
      </c>
    </row>
    <row r="78" spans="1:26" ht="13.5" customHeight="1">
      <c r="A78" s="99"/>
      <c r="B78" s="100"/>
      <c r="C78" s="100"/>
      <c r="D78" s="100"/>
      <c r="E78" s="88" t="str">
        <f t="shared" si="12"/>
        <v/>
      </c>
      <c r="F78" s="109"/>
      <c r="G78" s="320"/>
      <c r="H78" s="100"/>
      <c r="I78" s="100"/>
      <c r="J78" s="100"/>
      <c r="K78" s="100"/>
      <c r="L78" s="100"/>
      <c r="M78" s="100"/>
      <c r="N78" s="205"/>
      <c r="O78" s="206"/>
      <c r="P78" s="183"/>
      <c r="Q78" s="183"/>
      <c r="R78" s="183"/>
      <c r="S78" s="48" t="str">
        <f t="shared" si="8"/>
        <v/>
      </c>
      <c r="T78" s="125" t="str">
        <f t="shared" si="9"/>
        <v/>
      </c>
      <c r="U78" s="120" t="str">
        <f t="shared" si="10"/>
        <v/>
      </c>
      <c r="V78" s="183"/>
      <c r="W78" s="183"/>
      <c r="X78" s="183"/>
      <c r="Y78" s="121" t="str">
        <f t="shared" si="11"/>
        <v/>
      </c>
      <c r="Z78" s="130" t="str">
        <f t="shared" si="13"/>
        <v/>
      </c>
    </row>
    <row r="79" spans="1:26" ht="13.5" customHeight="1">
      <c r="A79" s="99"/>
      <c r="B79" s="100"/>
      <c r="C79" s="100"/>
      <c r="D79" s="100"/>
      <c r="E79" s="88" t="str">
        <f t="shared" si="12"/>
        <v/>
      </c>
      <c r="F79" s="109"/>
      <c r="G79" s="320"/>
      <c r="H79" s="100"/>
      <c r="I79" s="100"/>
      <c r="J79" s="100"/>
      <c r="K79" s="100"/>
      <c r="L79" s="100"/>
      <c r="M79" s="100"/>
      <c r="N79" s="205"/>
      <c r="O79" s="206"/>
      <c r="P79" s="183"/>
      <c r="Q79" s="183"/>
      <c r="R79" s="183"/>
      <c r="S79" s="48" t="str">
        <f t="shared" si="8"/>
        <v/>
      </c>
      <c r="T79" s="125" t="str">
        <f t="shared" si="9"/>
        <v/>
      </c>
      <c r="U79" s="120" t="str">
        <f t="shared" si="10"/>
        <v/>
      </c>
      <c r="V79" s="183"/>
      <c r="W79" s="183"/>
      <c r="X79" s="183"/>
      <c r="Y79" s="121" t="str">
        <f t="shared" si="11"/>
        <v/>
      </c>
      <c r="Z79" s="130" t="str">
        <f t="shared" si="13"/>
        <v/>
      </c>
    </row>
    <row r="80" spans="1:26" ht="13.5" customHeight="1">
      <c r="A80" s="99"/>
      <c r="B80" s="100"/>
      <c r="C80" s="100"/>
      <c r="D80" s="100"/>
      <c r="E80" s="88" t="str">
        <f t="shared" si="12"/>
        <v/>
      </c>
      <c r="F80" s="109"/>
      <c r="G80" s="320"/>
      <c r="H80" s="100"/>
      <c r="I80" s="100"/>
      <c r="J80" s="100"/>
      <c r="K80" s="100"/>
      <c r="L80" s="100"/>
      <c r="M80" s="100"/>
      <c r="N80" s="205"/>
      <c r="O80" s="206"/>
      <c r="P80" s="183"/>
      <c r="Q80" s="183"/>
      <c r="R80" s="183"/>
      <c r="S80" s="48" t="str">
        <f t="shared" si="8"/>
        <v/>
      </c>
      <c r="T80" s="125" t="str">
        <f t="shared" si="9"/>
        <v/>
      </c>
      <c r="U80" s="120" t="str">
        <f t="shared" si="10"/>
        <v/>
      </c>
      <c r="V80" s="183"/>
      <c r="W80" s="183"/>
      <c r="X80" s="183"/>
      <c r="Y80" s="121" t="str">
        <f t="shared" si="11"/>
        <v/>
      </c>
      <c r="Z80" s="130" t="str">
        <f t="shared" si="13"/>
        <v/>
      </c>
    </row>
    <row r="81" spans="1:27" ht="13.5" customHeight="1">
      <c r="A81" s="99"/>
      <c r="B81" s="100"/>
      <c r="C81" s="100"/>
      <c r="D81" s="100"/>
      <c r="E81" s="88" t="str">
        <f t="shared" si="12"/>
        <v/>
      </c>
      <c r="F81" s="109"/>
      <c r="G81" s="320"/>
      <c r="H81" s="100"/>
      <c r="I81" s="100"/>
      <c r="J81" s="100"/>
      <c r="K81" s="100"/>
      <c r="L81" s="100"/>
      <c r="M81" s="100"/>
      <c r="N81" s="205"/>
      <c r="O81" s="206"/>
      <c r="P81" s="183"/>
      <c r="Q81" s="183"/>
      <c r="R81" s="183"/>
      <c r="S81" s="48" t="str">
        <f t="shared" si="8"/>
        <v/>
      </c>
      <c r="T81" s="125" t="str">
        <f t="shared" si="9"/>
        <v/>
      </c>
      <c r="U81" s="120" t="str">
        <f t="shared" si="10"/>
        <v/>
      </c>
      <c r="V81" s="183"/>
      <c r="W81" s="183"/>
      <c r="X81" s="183"/>
      <c r="Y81" s="121" t="str">
        <f t="shared" si="11"/>
        <v/>
      </c>
      <c r="Z81" s="130" t="str">
        <f t="shared" si="13"/>
        <v/>
      </c>
    </row>
    <row r="82" spans="1:27" ht="13.5" customHeight="1">
      <c r="A82" s="99"/>
      <c r="B82" s="100"/>
      <c r="C82" s="100"/>
      <c r="D82" s="100"/>
      <c r="E82" s="88" t="str">
        <f t="shared" si="12"/>
        <v/>
      </c>
      <c r="F82" s="109"/>
      <c r="G82" s="320"/>
      <c r="H82" s="100"/>
      <c r="I82" s="100"/>
      <c r="J82" s="100"/>
      <c r="K82" s="100"/>
      <c r="L82" s="100"/>
      <c r="M82" s="100"/>
      <c r="N82" s="205"/>
      <c r="O82" s="206"/>
      <c r="P82" s="183"/>
      <c r="Q82" s="183"/>
      <c r="R82" s="183"/>
      <c r="S82" s="48" t="str">
        <f t="shared" si="8"/>
        <v/>
      </c>
      <c r="T82" s="125" t="str">
        <f t="shared" si="9"/>
        <v/>
      </c>
      <c r="U82" s="120" t="str">
        <f t="shared" si="10"/>
        <v/>
      </c>
      <c r="V82" s="183"/>
      <c r="W82" s="183"/>
      <c r="X82" s="183"/>
      <c r="Y82" s="121" t="str">
        <f t="shared" si="11"/>
        <v/>
      </c>
      <c r="Z82" s="130" t="str">
        <f t="shared" si="13"/>
        <v/>
      </c>
    </row>
    <row r="83" spans="1:27" ht="13.5" customHeight="1">
      <c r="A83" s="99"/>
      <c r="B83" s="100"/>
      <c r="C83" s="100"/>
      <c r="D83" s="100"/>
      <c r="E83" s="88" t="str">
        <f t="shared" si="12"/>
        <v/>
      </c>
      <c r="F83" s="109"/>
      <c r="G83" s="320"/>
      <c r="H83" s="100"/>
      <c r="I83" s="100"/>
      <c r="J83" s="100"/>
      <c r="K83" s="100"/>
      <c r="L83" s="100"/>
      <c r="M83" s="100"/>
      <c r="N83" s="205"/>
      <c r="O83" s="206"/>
      <c r="P83" s="183"/>
      <c r="Q83" s="183"/>
      <c r="R83" s="183"/>
      <c r="S83" s="48" t="str">
        <f t="shared" si="8"/>
        <v/>
      </c>
      <c r="T83" s="125" t="str">
        <f t="shared" si="9"/>
        <v/>
      </c>
      <c r="U83" s="120" t="str">
        <f t="shared" si="10"/>
        <v/>
      </c>
      <c r="V83" s="183"/>
      <c r="W83" s="183"/>
      <c r="X83" s="183"/>
      <c r="Y83" s="121" t="str">
        <f t="shared" si="11"/>
        <v/>
      </c>
      <c r="Z83" s="130" t="str">
        <f t="shared" si="13"/>
        <v/>
      </c>
    </row>
    <row r="84" spans="1:27" ht="13.5" customHeight="1">
      <c r="A84" s="99"/>
      <c r="B84" s="100"/>
      <c r="C84" s="100"/>
      <c r="D84" s="100"/>
      <c r="E84" s="88" t="str">
        <f t="shared" si="12"/>
        <v/>
      </c>
      <c r="F84" s="109"/>
      <c r="G84" s="320"/>
      <c r="H84" s="100"/>
      <c r="I84" s="100"/>
      <c r="J84" s="100"/>
      <c r="K84" s="100"/>
      <c r="L84" s="100"/>
      <c r="M84" s="100"/>
      <c r="N84" s="205"/>
      <c r="O84" s="206"/>
      <c r="P84" s="183"/>
      <c r="Q84" s="183"/>
      <c r="R84" s="183"/>
      <c r="S84" s="48" t="str">
        <f t="shared" si="8"/>
        <v/>
      </c>
      <c r="T84" s="125" t="str">
        <f t="shared" si="9"/>
        <v/>
      </c>
      <c r="U84" s="120" t="str">
        <f t="shared" si="10"/>
        <v/>
      </c>
      <c r="V84" s="183"/>
      <c r="W84" s="183"/>
      <c r="X84" s="183"/>
      <c r="Y84" s="121" t="str">
        <f t="shared" si="11"/>
        <v/>
      </c>
      <c r="Z84" s="130" t="str">
        <f t="shared" si="13"/>
        <v/>
      </c>
    </row>
    <row r="85" spans="1:27" ht="13.5" customHeight="1">
      <c r="A85" s="99"/>
      <c r="B85" s="100"/>
      <c r="C85" s="100"/>
      <c r="D85" s="100"/>
      <c r="E85" s="88" t="str">
        <f t="shared" si="12"/>
        <v/>
      </c>
      <c r="F85" s="109"/>
      <c r="G85" s="320"/>
      <c r="H85" s="100"/>
      <c r="I85" s="100"/>
      <c r="J85" s="100"/>
      <c r="K85" s="100"/>
      <c r="L85" s="100"/>
      <c r="M85" s="100"/>
      <c r="N85" s="205"/>
      <c r="O85" s="206"/>
      <c r="P85" s="183"/>
      <c r="Q85" s="183"/>
      <c r="R85" s="183"/>
      <c r="S85" s="48" t="str">
        <f t="shared" si="8"/>
        <v/>
      </c>
      <c r="T85" s="125" t="str">
        <f t="shared" si="9"/>
        <v/>
      </c>
      <c r="U85" s="120" t="str">
        <f t="shared" si="10"/>
        <v/>
      </c>
      <c r="V85" s="183"/>
      <c r="W85" s="183"/>
      <c r="X85" s="183"/>
      <c r="Y85" s="121" t="str">
        <f t="shared" si="11"/>
        <v/>
      </c>
      <c r="Z85" s="130" t="str">
        <f t="shared" si="13"/>
        <v/>
      </c>
    </row>
    <row r="86" spans="1:27" ht="13.5" customHeight="1">
      <c r="A86" s="99"/>
      <c r="B86" s="100"/>
      <c r="C86" s="100"/>
      <c r="D86" s="100"/>
      <c r="E86" s="88" t="str">
        <f t="shared" si="12"/>
        <v/>
      </c>
      <c r="F86" s="109"/>
      <c r="G86" s="320"/>
      <c r="H86" s="100"/>
      <c r="I86" s="100"/>
      <c r="J86" s="100"/>
      <c r="K86" s="100"/>
      <c r="L86" s="100"/>
      <c r="M86" s="100"/>
      <c r="N86" s="205"/>
      <c r="O86" s="206"/>
      <c r="P86" s="183"/>
      <c r="Q86" s="183"/>
      <c r="R86" s="183"/>
      <c r="S86" s="48" t="str">
        <f t="shared" si="8"/>
        <v/>
      </c>
      <c r="T86" s="125" t="str">
        <f t="shared" si="9"/>
        <v/>
      </c>
      <c r="U86" s="120" t="str">
        <f t="shared" si="10"/>
        <v/>
      </c>
      <c r="V86" s="183"/>
      <c r="W86" s="183"/>
      <c r="X86" s="183"/>
      <c r="Y86" s="121" t="str">
        <f t="shared" si="11"/>
        <v/>
      </c>
      <c r="Z86" s="130" t="str">
        <f t="shared" si="13"/>
        <v/>
      </c>
    </row>
    <row r="87" spans="1:27" ht="13.5" customHeight="1">
      <c r="A87" s="99"/>
      <c r="B87" s="100"/>
      <c r="C87" s="100"/>
      <c r="D87" s="100"/>
      <c r="E87" s="88" t="str">
        <f t="shared" si="12"/>
        <v/>
      </c>
      <c r="F87" s="109"/>
      <c r="G87" s="320"/>
      <c r="H87" s="100"/>
      <c r="I87" s="100"/>
      <c r="J87" s="100"/>
      <c r="K87" s="100"/>
      <c r="L87" s="100"/>
      <c r="M87" s="100"/>
      <c r="N87" s="205"/>
      <c r="O87" s="206"/>
      <c r="P87" s="183"/>
      <c r="Q87" s="183"/>
      <c r="R87" s="183"/>
      <c r="S87" s="48" t="str">
        <f t="shared" si="8"/>
        <v/>
      </c>
      <c r="T87" s="125" t="str">
        <f t="shared" si="9"/>
        <v/>
      </c>
      <c r="U87" s="120" t="str">
        <f t="shared" si="10"/>
        <v/>
      </c>
      <c r="V87" s="183"/>
      <c r="W87" s="183"/>
      <c r="X87" s="183"/>
      <c r="Y87" s="121" t="str">
        <f t="shared" si="11"/>
        <v/>
      </c>
      <c r="Z87" s="130" t="str">
        <f t="shared" si="13"/>
        <v/>
      </c>
    </row>
    <row r="88" spans="1:27" ht="13.5" customHeight="1">
      <c r="A88" s="99"/>
      <c r="B88" s="100"/>
      <c r="C88" s="100"/>
      <c r="D88" s="100"/>
      <c r="E88" s="88" t="str">
        <f t="shared" si="12"/>
        <v/>
      </c>
      <c r="F88" s="109"/>
      <c r="G88" s="320"/>
      <c r="H88" s="100"/>
      <c r="I88" s="100"/>
      <c r="J88" s="100"/>
      <c r="K88" s="100"/>
      <c r="L88" s="100"/>
      <c r="M88" s="100"/>
      <c r="N88" s="205"/>
      <c r="O88" s="206"/>
      <c r="P88" s="183"/>
      <c r="Q88" s="183"/>
      <c r="R88" s="183"/>
      <c r="S88" s="48" t="str">
        <f t="shared" si="8"/>
        <v/>
      </c>
      <c r="T88" s="125" t="str">
        <f t="shared" si="9"/>
        <v/>
      </c>
      <c r="U88" s="120" t="str">
        <f t="shared" si="10"/>
        <v/>
      </c>
      <c r="V88" s="183"/>
      <c r="W88" s="183"/>
      <c r="X88" s="183"/>
      <c r="Y88" s="121" t="str">
        <f t="shared" si="11"/>
        <v/>
      </c>
      <c r="Z88" s="130" t="str">
        <f t="shared" si="13"/>
        <v/>
      </c>
    </row>
    <row r="89" spans="1:27" ht="13.5" customHeight="1">
      <c r="A89" s="99"/>
      <c r="B89" s="100"/>
      <c r="C89" s="100"/>
      <c r="D89" s="100"/>
      <c r="E89" s="88" t="str">
        <f t="shared" si="12"/>
        <v/>
      </c>
      <c r="F89" s="109"/>
      <c r="G89" s="320"/>
      <c r="H89" s="100"/>
      <c r="I89" s="100"/>
      <c r="J89" s="100"/>
      <c r="K89" s="100"/>
      <c r="L89" s="100"/>
      <c r="M89" s="100"/>
      <c r="N89" s="205"/>
      <c r="O89" s="206"/>
      <c r="P89" s="183"/>
      <c r="Q89" s="183"/>
      <c r="R89" s="183"/>
      <c r="S89" s="48" t="str">
        <f t="shared" si="8"/>
        <v/>
      </c>
      <c r="T89" s="125" t="str">
        <f t="shared" si="9"/>
        <v/>
      </c>
      <c r="U89" s="120" t="str">
        <f t="shared" si="10"/>
        <v/>
      </c>
      <c r="V89" s="183"/>
      <c r="W89" s="183"/>
      <c r="X89" s="183"/>
      <c r="Y89" s="121" t="str">
        <f t="shared" si="11"/>
        <v/>
      </c>
      <c r="Z89" s="130" t="str">
        <f t="shared" si="13"/>
        <v/>
      </c>
    </row>
    <row r="90" spans="1:27" ht="13.5" customHeight="1">
      <c r="A90" s="99"/>
      <c r="B90" s="100"/>
      <c r="C90" s="100"/>
      <c r="D90" s="100"/>
      <c r="E90" s="88" t="str">
        <f t="shared" si="12"/>
        <v/>
      </c>
      <c r="F90" s="109"/>
      <c r="G90" s="320"/>
      <c r="H90" s="100"/>
      <c r="I90" s="100"/>
      <c r="J90" s="100"/>
      <c r="K90" s="100"/>
      <c r="L90" s="100"/>
      <c r="M90" s="100"/>
      <c r="N90" s="205"/>
      <c r="O90" s="206"/>
      <c r="P90" s="183"/>
      <c r="Q90" s="183"/>
      <c r="R90" s="183"/>
      <c r="S90" s="48" t="str">
        <f t="shared" si="8"/>
        <v/>
      </c>
      <c r="T90" s="125" t="str">
        <f t="shared" si="9"/>
        <v/>
      </c>
      <c r="U90" s="120" t="str">
        <f t="shared" si="10"/>
        <v/>
      </c>
      <c r="V90" s="183"/>
      <c r="W90" s="183"/>
      <c r="X90" s="183"/>
      <c r="Y90" s="121" t="str">
        <f t="shared" si="11"/>
        <v/>
      </c>
      <c r="Z90" s="130" t="str">
        <f t="shared" si="13"/>
        <v/>
      </c>
    </row>
    <row r="91" spans="1:27" ht="13.5" customHeight="1">
      <c r="A91" s="99"/>
      <c r="B91" s="100"/>
      <c r="C91" s="100"/>
      <c r="D91" s="100"/>
      <c r="E91" s="88" t="str">
        <f t="shared" si="12"/>
        <v/>
      </c>
      <c r="F91" s="109"/>
      <c r="G91" s="320"/>
      <c r="H91" s="100"/>
      <c r="I91" s="100"/>
      <c r="J91" s="100"/>
      <c r="K91" s="100"/>
      <c r="L91" s="100"/>
      <c r="M91" s="100"/>
      <c r="N91" s="205"/>
      <c r="O91" s="206"/>
      <c r="P91" s="183"/>
      <c r="Q91" s="183"/>
      <c r="R91" s="183"/>
      <c r="S91" s="48" t="str">
        <f t="shared" si="8"/>
        <v/>
      </c>
      <c r="T91" s="125" t="str">
        <f t="shared" si="9"/>
        <v/>
      </c>
      <c r="U91" s="120" t="str">
        <f t="shared" si="10"/>
        <v/>
      </c>
      <c r="V91" s="183"/>
      <c r="W91" s="183"/>
      <c r="X91" s="183"/>
      <c r="Y91" s="121" t="str">
        <f t="shared" si="11"/>
        <v/>
      </c>
      <c r="Z91" s="130" t="str">
        <f t="shared" si="13"/>
        <v/>
      </c>
    </row>
    <row r="92" spans="1:27" ht="13.5" customHeight="1">
      <c r="A92" s="103"/>
      <c r="B92" s="104"/>
      <c r="C92" s="104"/>
      <c r="D92" s="104"/>
      <c r="E92" s="89" t="str">
        <f t="shared" si="12"/>
        <v/>
      </c>
      <c r="F92" s="110"/>
      <c r="G92" s="322"/>
      <c r="H92" s="100"/>
      <c r="I92" s="100"/>
      <c r="J92" s="100"/>
      <c r="K92" s="100"/>
      <c r="L92" s="100"/>
      <c r="M92" s="100"/>
      <c r="N92" s="205"/>
      <c r="O92" s="206"/>
      <c r="P92" s="262"/>
      <c r="Q92" s="262"/>
      <c r="R92" s="262"/>
      <c r="S92" s="52" t="str">
        <f t="shared" si="8"/>
        <v/>
      </c>
      <c r="T92" s="126" t="str">
        <f t="shared" si="9"/>
        <v/>
      </c>
      <c r="U92" s="123" t="str">
        <f t="shared" si="10"/>
        <v/>
      </c>
      <c r="V92" s="262"/>
      <c r="W92" s="262"/>
      <c r="X92" s="262"/>
      <c r="Y92" s="124" t="str">
        <f t="shared" si="11"/>
        <v/>
      </c>
      <c r="Z92" s="131" t="str">
        <f t="shared" si="13"/>
        <v/>
      </c>
    </row>
    <row r="93" spans="1:27" ht="24" customHeight="1">
      <c r="A93" s="54" t="s">
        <v>2</v>
      </c>
      <c r="B93" s="55">
        <f>SUM(B62:B92)</f>
        <v>2918.75</v>
      </c>
      <c r="C93" s="55">
        <f>SUM(C62:C92)</f>
        <v>1</v>
      </c>
      <c r="D93" s="55">
        <f>SUM(D62:D92)</f>
        <v>2918.75</v>
      </c>
      <c r="E93" s="202">
        <f>IFERROR(S93/B93,"")</f>
        <v>37.9359921</v>
      </c>
      <c r="F93" s="201" t="s">
        <v>3</v>
      </c>
      <c r="G93" s="55">
        <f>SUMPRODUCT(G62:G92,B62:B92,C62:C92)</f>
        <v>0</v>
      </c>
      <c r="H93" s="199">
        <f>SUMPRODUCT(G62:G92,B62:B92,C62:C92)</f>
        <v>0</v>
      </c>
      <c r="I93" s="199">
        <f>SUMPRODUCT(H62:H92,C62:C92,G62:G92)</f>
        <v>0</v>
      </c>
      <c r="J93" s="199">
        <f>SUMPRODUCT(I62:I92,G62:G92,H62:H92)</f>
        <v>0</v>
      </c>
      <c r="K93" s="199">
        <f>SUMPRODUCT(J62:J92,H62:H92,I62:I92)</f>
        <v>0</v>
      </c>
      <c r="L93" s="199">
        <f>SUMPRODUCT(K62:K92,I62:I92,J62:J92)</f>
        <v>0</v>
      </c>
      <c r="M93" s="199">
        <f>SUMPRODUCT(L62:L92,J62:J92,K62:K92)</f>
        <v>0</v>
      </c>
      <c r="N93" s="65">
        <f>SUMPRODUCT(N62:N92,$C$62:$C$92)</f>
        <v>101.384</v>
      </c>
      <c r="O93" s="66">
        <f>SUMPRODUCT(O62:O92,$C$62:$C$92)</f>
        <v>30.899899999999999</v>
      </c>
      <c r="P93" s="209" t="s">
        <v>12</v>
      </c>
      <c r="Q93" s="209" t="s">
        <v>12</v>
      </c>
      <c r="R93" s="209" t="s">
        <v>12</v>
      </c>
      <c r="S93" s="57">
        <f>SUMPRODUCT(E62:E92,D62:D92)</f>
        <v>110725.676941875</v>
      </c>
      <c r="T93" s="237">
        <f>SUMPRODUCT(T62:T92,$C$62:$C$92)</f>
        <v>101.384</v>
      </c>
      <c r="U93" s="238">
        <f>SUMPRODUCT(U62:U92,$C$62:$C$92)</f>
        <v>30.899899999999999</v>
      </c>
      <c r="V93" s="209" t="s">
        <v>12</v>
      </c>
      <c r="W93" s="209" t="s">
        <v>12</v>
      </c>
      <c r="X93" s="209" t="s">
        <v>12</v>
      </c>
      <c r="Y93" s="57">
        <f>SUMPRODUCT(Z62:Z92,D62:D92)</f>
        <v>83156.111868125008</v>
      </c>
      <c r="Z93" s="203">
        <f>Y93/B93</f>
        <v>28.490316700000001</v>
      </c>
    </row>
    <row r="94" spans="1:27" s="37" customFormat="1" ht="27" customHeight="1">
      <c r="A94" s="404" t="s">
        <v>185</v>
      </c>
      <c r="B94" s="404"/>
      <c r="C94" s="404"/>
      <c r="D94" s="404"/>
      <c r="E94" s="404"/>
      <c r="F94" s="404"/>
      <c r="G94" s="404"/>
      <c r="H94" s="404"/>
      <c r="I94" s="404"/>
      <c r="J94" s="404"/>
      <c r="K94" s="404"/>
      <c r="L94" s="405"/>
      <c r="M94" s="405"/>
      <c r="N94" s="405"/>
      <c r="O94" s="405"/>
      <c r="P94" s="405"/>
      <c r="Q94" s="404"/>
      <c r="R94" s="404"/>
      <c r="S94" s="404"/>
      <c r="T94" s="406"/>
      <c r="U94" s="406"/>
      <c r="V94" s="406"/>
      <c r="W94" s="406"/>
      <c r="X94" s="406"/>
      <c r="Y94" s="404"/>
      <c r="Z94" s="404"/>
      <c r="AA94" s="36"/>
    </row>
    <row r="95" spans="1:27" ht="22.5" customHeight="1">
      <c r="A95" s="400" t="s">
        <v>0</v>
      </c>
      <c r="B95" s="409" t="s">
        <v>95</v>
      </c>
      <c r="C95" s="410"/>
      <c r="D95" s="411"/>
      <c r="E95" s="380" t="s">
        <v>23</v>
      </c>
      <c r="F95" s="391" t="s">
        <v>3</v>
      </c>
      <c r="G95" s="371" t="s">
        <v>4</v>
      </c>
      <c r="H95" s="372"/>
      <c r="I95" s="372"/>
      <c r="J95" s="372"/>
      <c r="K95" s="372"/>
      <c r="L95" s="372"/>
      <c r="M95" s="373"/>
      <c r="N95" s="218"/>
      <c r="O95" s="213"/>
      <c r="P95" s="213"/>
      <c r="Q95" s="213"/>
      <c r="R95" s="219"/>
      <c r="S95" s="261" t="s">
        <v>19</v>
      </c>
      <c r="T95" s="236"/>
      <c r="U95" s="231"/>
      <c r="V95" s="231"/>
      <c r="W95" s="231"/>
      <c r="X95" s="231"/>
      <c r="Y95" s="398" t="s">
        <v>18</v>
      </c>
      <c r="Z95" s="399"/>
    </row>
    <row r="96" spans="1:27" ht="54.75" customHeight="1" thickBot="1">
      <c r="A96" s="401"/>
      <c r="B96" s="401"/>
      <c r="C96" s="412"/>
      <c r="D96" s="413"/>
      <c r="E96" s="416"/>
      <c r="F96" s="417"/>
      <c r="G96" s="41" t="s">
        <v>5</v>
      </c>
      <c r="H96" s="402" t="s">
        <v>12</v>
      </c>
      <c r="I96" s="151" t="s">
        <v>6</v>
      </c>
      <c r="J96" s="402" t="s">
        <v>12</v>
      </c>
      <c r="K96" s="151" t="s">
        <v>7</v>
      </c>
      <c r="L96" s="151" t="s">
        <v>8</v>
      </c>
      <c r="M96" s="151" t="s">
        <v>9</v>
      </c>
      <c r="N96" s="214"/>
      <c r="O96" s="183"/>
      <c r="P96" s="183"/>
      <c r="Q96" s="183"/>
      <c r="R96" s="184"/>
      <c r="S96" s="151" t="s">
        <v>96</v>
      </c>
      <c r="T96" s="232"/>
      <c r="U96" s="183"/>
      <c r="V96" s="183"/>
      <c r="W96" s="183"/>
      <c r="X96" s="183"/>
      <c r="Y96" s="151" t="s">
        <v>114</v>
      </c>
      <c r="Z96" s="86" t="s">
        <v>118</v>
      </c>
    </row>
    <row r="97" spans="1:26" ht="23.25" customHeight="1">
      <c r="A97" s="85" t="s">
        <v>2</v>
      </c>
      <c r="B97" s="414">
        <f>D93+D57</f>
        <v>29663.75</v>
      </c>
      <c r="C97" s="414"/>
      <c r="D97" s="415"/>
      <c r="E97" s="92">
        <f>S97/B97</f>
        <v>17.527148567590917</v>
      </c>
      <c r="F97" s="95" t="s">
        <v>3</v>
      </c>
      <c r="G97" s="30">
        <f>G57+G93</f>
        <v>785063.02000000014</v>
      </c>
      <c r="H97" s="403"/>
      <c r="I97" s="30">
        <f>I57+I93</f>
        <v>759958.51999999979</v>
      </c>
      <c r="J97" s="403"/>
      <c r="K97" s="30">
        <f>K57+K93</f>
        <v>117290.46000000002</v>
      </c>
      <c r="L97" s="30">
        <f>L57+L93</f>
        <v>28125</v>
      </c>
      <c r="M97" s="30">
        <f>M57+M93</f>
        <v>0</v>
      </c>
      <c r="N97" s="215"/>
      <c r="O97" s="216"/>
      <c r="P97" s="216"/>
      <c r="Q97" s="216"/>
      <c r="R97" s="217"/>
      <c r="S97" s="69">
        <f>S57+S93</f>
        <v>519920.95332187507</v>
      </c>
      <c r="T97" s="233"/>
      <c r="U97" s="216"/>
      <c r="V97" s="216"/>
      <c r="W97" s="216"/>
      <c r="X97" s="216"/>
      <c r="Y97" s="69">
        <f>Y57+Y93</f>
        <v>441492.43744812498</v>
      </c>
      <c r="Z97" s="91">
        <f>Y97/B97</f>
        <v>14.883230793413677</v>
      </c>
    </row>
    <row r="98" spans="1:26">
      <c r="A98" s="71"/>
      <c r="B98" s="72"/>
      <c r="C98" s="73"/>
      <c r="D98" s="73"/>
      <c r="E98" s="73"/>
      <c r="F98" s="73"/>
      <c r="G98" s="73"/>
      <c r="H98" s="73"/>
      <c r="I98" s="73"/>
      <c r="J98" s="73"/>
      <c r="K98" s="73"/>
      <c r="L98" s="73"/>
      <c r="M98" s="73"/>
      <c r="N98" s="73"/>
      <c r="O98" s="73"/>
      <c r="P98" s="73"/>
      <c r="Q98" s="73"/>
      <c r="R98" s="73"/>
    </row>
    <row r="99" spans="1:26">
      <c r="A99" s="71"/>
      <c r="B99" s="72"/>
      <c r="C99" s="73"/>
      <c r="D99" s="73"/>
      <c r="E99" s="73"/>
      <c r="F99" s="73"/>
      <c r="G99" s="73"/>
      <c r="H99" s="73"/>
      <c r="I99" s="73"/>
      <c r="J99" s="73"/>
      <c r="K99" s="73"/>
      <c r="L99" s="73"/>
      <c r="M99" s="73"/>
      <c r="N99" s="73"/>
      <c r="O99" s="73"/>
      <c r="P99" s="73"/>
      <c r="Q99" s="73"/>
      <c r="R99" s="74"/>
    </row>
    <row r="100" spans="1:26">
      <c r="A100" s="71"/>
      <c r="B100" s="72"/>
      <c r="C100" s="73"/>
      <c r="D100" s="73"/>
      <c r="E100" s="73"/>
      <c r="F100" s="73"/>
      <c r="G100" s="73"/>
      <c r="H100" s="73"/>
      <c r="I100" s="73"/>
      <c r="J100" s="73"/>
      <c r="K100" s="73"/>
      <c r="L100" s="73"/>
      <c r="M100" s="73"/>
      <c r="N100" s="73"/>
      <c r="O100" s="73"/>
      <c r="P100" s="73"/>
      <c r="Q100" s="73"/>
      <c r="R100" s="73"/>
    </row>
    <row r="101" spans="1:26">
      <c r="A101" s="71"/>
      <c r="B101" s="72"/>
      <c r="C101" s="73"/>
      <c r="D101" s="73"/>
      <c r="E101" s="73"/>
      <c r="F101" s="73"/>
      <c r="G101" s="73"/>
      <c r="H101" s="73"/>
      <c r="I101" s="73"/>
      <c r="J101" s="73"/>
      <c r="K101" s="73"/>
      <c r="L101" s="73"/>
      <c r="M101" s="73"/>
      <c r="N101" s="73"/>
      <c r="O101" s="73"/>
      <c r="P101" s="73"/>
      <c r="Q101" s="73"/>
      <c r="R101" s="73"/>
    </row>
    <row r="102" spans="1:26">
      <c r="A102" s="71"/>
      <c r="B102" s="72"/>
      <c r="C102" s="73"/>
      <c r="D102" s="73"/>
      <c r="E102" s="73"/>
      <c r="F102" s="73"/>
      <c r="G102" s="73"/>
      <c r="H102" s="73"/>
      <c r="I102" s="73"/>
      <c r="J102" s="73"/>
      <c r="K102" s="73"/>
      <c r="L102" s="73"/>
      <c r="M102" s="73"/>
      <c r="N102" s="73"/>
      <c r="O102" s="73"/>
      <c r="P102" s="73"/>
      <c r="Q102" s="73"/>
      <c r="R102" s="73"/>
    </row>
    <row r="103" spans="1:26">
      <c r="A103" s="71"/>
      <c r="B103" s="72"/>
      <c r="C103" s="73"/>
      <c r="D103" s="73"/>
      <c r="E103" s="73"/>
      <c r="F103" s="73"/>
      <c r="G103" s="73"/>
      <c r="H103" s="73"/>
      <c r="I103" s="73"/>
      <c r="J103" s="73"/>
      <c r="K103" s="73"/>
      <c r="L103" s="73"/>
      <c r="M103" s="73"/>
      <c r="N103" s="73"/>
      <c r="O103" s="73"/>
      <c r="P103" s="73"/>
      <c r="Q103" s="73"/>
      <c r="R103" s="73"/>
    </row>
    <row r="104" spans="1:26">
      <c r="A104" s="71"/>
      <c r="B104" s="72"/>
      <c r="C104" s="73"/>
      <c r="D104" s="73"/>
      <c r="E104" s="73"/>
      <c r="F104" s="73"/>
      <c r="G104" s="73"/>
      <c r="H104" s="73"/>
      <c r="I104" s="73"/>
      <c r="J104" s="73"/>
      <c r="K104" s="73"/>
      <c r="L104" s="73"/>
      <c r="M104" s="73"/>
      <c r="N104" s="73"/>
      <c r="O104" s="73"/>
      <c r="P104" s="73"/>
      <c r="Q104" s="73"/>
      <c r="R104" s="73"/>
    </row>
    <row r="105" spans="1:26">
      <c r="A105" s="71"/>
      <c r="B105" s="72"/>
      <c r="C105" s="73"/>
      <c r="D105" s="73"/>
      <c r="E105" s="73"/>
      <c r="F105" s="73"/>
      <c r="G105" s="73"/>
      <c r="H105" s="73"/>
      <c r="I105" s="73"/>
      <c r="J105" s="73"/>
      <c r="K105" s="73"/>
      <c r="L105" s="73"/>
      <c r="M105" s="73"/>
      <c r="N105" s="73"/>
      <c r="O105" s="73"/>
      <c r="P105" s="73"/>
      <c r="Q105" s="73"/>
      <c r="R105" s="73"/>
    </row>
    <row r="106" spans="1:26">
      <c r="A106" s="71"/>
      <c r="B106" s="72"/>
      <c r="C106" s="73"/>
      <c r="D106" s="73"/>
      <c r="E106" s="73"/>
      <c r="F106" s="73"/>
      <c r="G106" s="73"/>
      <c r="H106" s="73"/>
      <c r="I106" s="73"/>
      <c r="J106" s="73"/>
      <c r="K106" s="73"/>
      <c r="L106" s="73"/>
      <c r="M106" s="73"/>
      <c r="N106" s="73"/>
      <c r="O106" s="73"/>
      <c r="P106" s="73"/>
      <c r="Q106" s="73"/>
      <c r="R106" s="73"/>
    </row>
    <row r="107" spans="1:26">
      <c r="A107" s="71"/>
      <c r="B107" s="72"/>
      <c r="C107" s="73"/>
      <c r="D107" s="73"/>
      <c r="E107" s="73"/>
      <c r="F107" s="73"/>
      <c r="G107" s="73"/>
      <c r="H107" s="73"/>
      <c r="I107" s="73"/>
      <c r="J107" s="73"/>
      <c r="K107" s="73"/>
      <c r="L107" s="73"/>
      <c r="M107" s="73"/>
      <c r="N107" s="73"/>
      <c r="O107" s="73"/>
      <c r="P107" s="73"/>
      <c r="Q107" s="73"/>
      <c r="R107" s="73"/>
    </row>
    <row r="108" spans="1:26">
      <c r="A108" s="71"/>
      <c r="B108" s="72"/>
      <c r="C108" s="73"/>
      <c r="D108" s="73"/>
      <c r="E108" s="73"/>
      <c r="F108" s="73"/>
      <c r="G108" s="73"/>
      <c r="H108" s="73"/>
      <c r="I108" s="73"/>
      <c r="J108" s="73"/>
      <c r="K108" s="73"/>
      <c r="L108" s="73"/>
      <c r="M108" s="73"/>
      <c r="N108" s="73"/>
      <c r="O108" s="73"/>
      <c r="P108" s="73"/>
      <c r="Q108" s="73"/>
      <c r="R108" s="73"/>
    </row>
    <row r="109" spans="1:26">
      <c r="A109" s="71"/>
      <c r="B109" s="72"/>
      <c r="C109" s="73"/>
      <c r="D109" s="73"/>
      <c r="E109" s="73"/>
      <c r="F109" s="73"/>
      <c r="G109" s="73"/>
      <c r="H109" s="73"/>
      <c r="I109" s="73"/>
      <c r="J109" s="73"/>
      <c r="K109" s="73"/>
      <c r="L109" s="73"/>
      <c r="M109" s="73"/>
      <c r="N109" s="73"/>
      <c r="O109" s="73"/>
      <c r="P109" s="73"/>
      <c r="Q109" s="73"/>
      <c r="R109" s="73"/>
    </row>
    <row r="110" spans="1:26">
      <c r="A110" s="71"/>
      <c r="B110" s="72"/>
      <c r="C110" s="73"/>
      <c r="D110" s="73"/>
      <c r="E110" s="73"/>
      <c r="F110" s="73"/>
      <c r="G110" s="73"/>
      <c r="H110" s="73"/>
      <c r="I110" s="73"/>
      <c r="J110" s="73"/>
      <c r="K110" s="73"/>
      <c r="L110" s="73"/>
      <c r="M110" s="73"/>
      <c r="N110" s="73"/>
      <c r="O110" s="73"/>
      <c r="P110" s="73"/>
      <c r="Q110" s="73"/>
      <c r="R110" s="73"/>
    </row>
    <row r="111" spans="1:26">
      <c r="A111" s="71"/>
      <c r="B111" s="72"/>
      <c r="C111" s="73"/>
      <c r="D111" s="73"/>
      <c r="E111" s="73"/>
      <c r="F111" s="73"/>
      <c r="G111" s="73"/>
      <c r="H111" s="73"/>
      <c r="I111" s="73"/>
      <c r="J111" s="73"/>
      <c r="K111" s="73"/>
      <c r="L111" s="73"/>
      <c r="M111" s="73"/>
      <c r="N111" s="73"/>
      <c r="O111" s="73"/>
      <c r="P111" s="73"/>
      <c r="Q111" s="73"/>
      <c r="R111" s="73"/>
    </row>
    <row r="112" spans="1:26">
      <c r="A112" s="71"/>
      <c r="B112" s="72"/>
      <c r="C112" s="73"/>
      <c r="D112" s="73"/>
      <c r="E112" s="73"/>
      <c r="F112" s="73"/>
      <c r="G112" s="73"/>
      <c r="H112" s="73"/>
      <c r="I112" s="73"/>
      <c r="J112" s="73"/>
      <c r="K112" s="73"/>
      <c r="L112" s="73"/>
      <c r="M112" s="73"/>
      <c r="N112" s="73"/>
      <c r="O112" s="73"/>
      <c r="P112" s="73"/>
      <c r="Q112" s="73"/>
      <c r="R112" s="73"/>
    </row>
    <row r="113" spans="1:18">
      <c r="A113" s="71"/>
      <c r="B113" s="72"/>
      <c r="C113" s="73"/>
      <c r="D113" s="73"/>
      <c r="E113" s="73"/>
      <c r="F113" s="73"/>
      <c r="G113" s="73"/>
      <c r="H113" s="73"/>
      <c r="I113" s="73"/>
      <c r="J113" s="73"/>
      <c r="K113" s="73"/>
      <c r="L113" s="73"/>
      <c r="M113" s="73"/>
      <c r="N113" s="73"/>
      <c r="O113" s="73"/>
      <c r="P113" s="73"/>
      <c r="Q113" s="73"/>
      <c r="R113" s="73"/>
    </row>
    <row r="114" spans="1:18">
      <c r="A114" s="71"/>
      <c r="B114" s="72"/>
      <c r="C114" s="73"/>
      <c r="D114" s="73"/>
      <c r="E114" s="73"/>
      <c r="F114" s="73"/>
      <c r="G114" s="73"/>
      <c r="H114" s="73"/>
      <c r="I114" s="73"/>
      <c r="J114" s="73"/>
      <c r="K114" s="73"/>
      <c r="L114" s="73"/>
      <c r="M114" s="73"/>
      <c r="N114" s="73"/>
      <c r="O114" s="73"/>
      <c r="P114" s="73"/>
      <c r="Q114" s="73"/>
      <c r="R114" s="73"/>
    </row>
    <row r="115" spans="1:18">
      <c r="A115" s="71"/>
      <c r="B115" s="72"/>
      <c r="C115" s="73"/>
      <c r="D115" s="73"/>
      <c r="E115" s="73"/>
      <c r="F115" s="73"/>
      <c r="G115" s="73"/>
      <c r="H115" s="73"/>
      <c r="I115" s="73"/>
      <c r="J115" s="73"/>
      <c r="K115" s="73"/>
      <c r="L115" s="73"/>
      <c r="M115" s="73"/>
      <c r="N115" s="73"/>
      <c r="O115" s="73"/>
      <c r="P115" s="73"/>
      <c r="Q115" s="73"/>
      <c r="R115" s="73"/>
    </row>
    <row r="116" spans="1:18">
      <c r="A116" s="71"/>
      <c r="B116" s="72"/>
      <c r="C116" s="73"/>
      <c r="D116" s="73"/>
      <c r="E116" s="73"/>
      <c r="F116" s="73"/>
      <c r="G116" s="73"/>
      <c r="H116" s="73"/>
      <c r="I116" s="73"/>
      <c r="J116" s="73"/>
      <c r="K116" s="73"/>
      <c r="L116" s="73"/>
      <c r="M116" s="73"/>
      <c r="N116" s="73"/>
      <c r="O116" s="73"/>
      <c r="P116" s="73"/>
      <c r="Q116" s="73"/>
      <c r="R116" s="73"/>
    </row>
    <row r="117" spans="1:18">
      <c r="A117" s="71"/>
      <c r="B117" s="72"/>
      <c r="C117" s="73"/>
      <c r="D117" s="73"/>
      <c r="E117" s="73"/>
      <c r="F117" s="73"/>
      <c r="G117" s="73"/>
      <c r="H117" s="73"/>
      <c r="I117" s="73"/>
      <c r="J117" s="73"/>
      <c r="K117" s="73"/>
      <c r="L117" s="73"/>
      <c r="M117" s="73"/>
      <c r="N117" s="73"/>
      <c r="O117" s="73"/>
      <c r="P117" s="73"/>
      <c r="Q117" s="73"/>
      <c r="R117" s="73"/>
    </row>
    <row r="118" spans="1:18">
      <c r="A118" s="71"/>
      <c r="B118" s="72"/>
      <c r="C118" s="73"/>
      <c r="D118" s="73"/>
      <c r="E118" s="73"/>
      <c r="F118" s="73"/>
      <c r="G118" s="73"/>
      <c r="H118" s="73"/>
      <c r="I118" s="73"/>
      <c r="J118" s="73"/>
      <c r="K118" s="73"/>
      <c r="L118" s="73"/>
      <c r="M118" s="73"/>
      <c r="N118" s="73"/>
      <c r="O118" s="73"/>
      <c r="P118" s="73"/>
      <c r="Q118" s="73"/>
      <c r="R118" s="73"/>
    </row>
    <row r="119" spans="1:18">
      <c r="A119" s="71"/>
      <c r="B119" s="72"/>
      <c r="C119" s="73"/>
      <c r="D119" s="73"/>
      <c r="E119" s="73"/>
      <c r="F119" s="73"/>
      <c r="G119" s="73"/>
      <c r="H119" s="73"/>
      <c r="I119" s="73"/>
      <c r="J119" s="73"/>
      <c r="K119" s="73"/>
      <c r="L119" s="73"/>
      <c r="M119" s="73"/>
      <c r="N119" s="73"/>
      <c r="O119" s="73"/>
      <c r="P119" s="73"/>
      <c r="Q119" s="73"/>
      <c r="R119" s="73"/>
    </row>
    <row r="120" spans="1:18">
      <c r="A120" s="71"/>
      <c r="B120" s="72"/>
      <c r="C120" s="73"/>
      <c r="D120" s="73"/>
      <c r="E120" s="73"/>
      <c r="F120" s="73"/>
      <c r="G120" s="73"/>
      <c r="H120" s="73"/>
      <c r="I120" s="73"/>
      <c r="J120" s="73"/>
      <c r="K120" s="73"/>
      <c r="L120" s="73"/>
      <c r="M120" s="73"/>
      <c r="N120" s="73"/>
      <c r="O120" s="73"/>
      <c r="P120" s="73"/>
      <c r="Q120" s="73"/>
      <c r="R120" s="73"/>
    </row>
    <row r="121" spans="1:18">
      <c r="A121" s="71"/>
      <c r="B121" s="72"/>
      <c r="C121" s="73"/>
      <c r="D121" s="73"/>
      <c r="E121" s="73"/>
      <c r="F121" s="73"/>
      <c r="G121" s="73"/>
      <c r="H121" s="73"/>
      <c r="I121" s="73"/>
      <c r="J121" s="73"/>
      <c r="K121" s="73"/>
      <c r="L121" s="73"/>
      <c r="M121" s="73"/>
      <c r="N121" s="73"/>
      <c r="O121" s="73"/>
      <c r="P121" s="73"/>
      <c r="Q121" s="73"/>
      <c r="R121" s="73"/>
    </row>
    <row r="122" spans="1:18">
      <c r="A122" s="71"/>
      <c r="B122" s="72"/>
      <c r="C122" s="73"/>
      <c r="D122" s="73"/>
      <c r="E122" s="73"/>
      <c r="F122" s="73"/>
      <c r="G122" s="73"/>
      <c r="H122" s="73"/>
      <c r="I122" s="73"/>
      <c r="J122" s="73"/>
      <c r="K122" s="73"/>
      <c r="L122" s="73"/>
      <c r="M122" s="73"/>
      <c r="N122" s="73"/>
      <c r="O122" s="73"/>
      <c r="P122" s="73"/>
      <c r="Q122" s="73"/>
      <c r="R122" s="73"/>
    </row>
    <row r="123" spans="1:18">
      <c r="A123" s="71"/>
      <c r="B123" s="72"/>
      <c r="C123" s="73"/>
      <c r="D123" s="73"/>
      <c r="E123" s="73"/>
      <c r="F123" s="73"/>
      <c r="G123" s="73"/>
      <c r="H123" s="73"/>
      <c r="I123" s="73"/>
      <c r="J123" s="73"/>
      <c r="K123" s="73"/>
      <c r="L123" s="73"/>
      <c r="M123" s="73"/>
      <c r="N123" s="73"/>
      <c r="O123" s="73"/>
      <c r="P123" s="73"/>
      <c r="Q123" s="73"/>
      <c r="R123" s="73"/>
    </row>
    <row r="124" spans="1:18">
      <c r="A124" s="71"/>
      <c r="B124" s="72"/>
      <c r="C124" s="73"/>
      <c r="D124" s="73"/>
      <c r="E124" s="73"/>
      <c r="F124" s="73"/>
      <c r="G124" s="73"/>
      <c r="H124" s="73"/>
      <c r="I124" s="73"/>
      <c r="J124" s="73"/>
      <c r="K124" s="73"/>
      <c r="L124" s="73"/>
      <c r="M124" s="73"/>
      <c r="N124" s="73"/>
      <c r="O124" s="73"/>
      <c r="P124" s="73"/>
      <c r="Q124" s="73"/>
      <c r="R124" s="73"/>
    </row>
    <row r="125" spans="1:18">
      <c r="A125" s="71"/>
      <c r="B125" s="72"/>
      <c r="C125" s="73"/>
      <c r="D125" s="73"/>
      <c r="E125" s="73"/>
      <c r="F125" s="73"/>
      <c r="G125" s="73"/>
      <c r="H125" s="73"/>
      <c r="I125" s="73"/>
      <c r="J125" s="73"/>
      <c r="K125" s="73"/>
      <c r="L125" s="73"/>
      <c r="M125" s="73"/>
      <c r="N125" s="73"/>
      <c r="O125" s="73"/>
      <c r="P125" s="73"/>
      <c r="Q125" s="73"/>
      <c r="R125" s="73"/>
    </row>
    <row r="126" spans="1:18">
      <c r="A126" s="71"/>
      <c r="B126" s="73"/>
      <c r="C126" s="73"/>
      <c r="D126" s="73"/>
      <c r="E126" s="73"/>
      <c r="F126" s="73"/>
      <c r="G126" s="73"/>
      <c r="H126" s="73"/>
      <c r="I126" s="73"/>
      <c r="J126" s="73"/>
      <c r="K126" s="73"/>
      <c r="L126" s="73"/>
      <c r="M126" s="73"/>
      <c r="N126" s="73"/>
      <c r="O126" s="73"/>
      <c r="P126" s="73"/>
      <c r="Q126" s="73"/>
      <c r="R126" s="73"/>
    </row>
    <row r="127" spans="1:18">
      <c r="A127" s="71"/>
      <c r="B127" s="72"/>
      <c r="C127" s="73"/>
      <c r="D127" s="73"/>
      <c r="E127" s="73"/>
      <c r="F127" s="73"/>
      <c r="G127" s="73"/>
      <c r="H127" s="73"/>
      <c r="I127" s="73"/>
      <c r="J127" s="73"/>
      <c r="K127" s="73"/>
      <c r="L127" s="73"/>
      <c r="M127" s="73"/>
      <c r="N127" s="73"/>
      <c r="O127" s="73"/>
      <c r="P127" s="73"/>
      <c r="Q127" s="73"/>
      <c r="R127" s="73"/>
    </row>
    <row r="130" spans="1:18">
      <c r="A130" s="75"/>
      <c r="B130" s="76"/>
      <c r="C130" s="76"/>
      <c r="D130" s="76"/>
      <c r="E130" s="76"/>
      <c r="F130" s="76"/>
      <c r="G130" s="76"/>
      <c r="H130" s="76"/>
      <c r="I130" s="76"/>
      <c r="J130" s="76"/>
      <c r="K130" s="76"/>
      <c r="L130" s="76"/>
      <c r="M130" s="76"/>
      <c r="N130" s="76"/>
      <c r="O130" s="76"/>
      <c r="P130" s="76"/>
      <c r="Q130" s="76"/>
      <c r="R130" s="76"/>
    </row>
    <row r="131" spans="1:18">
      <c r="A131" s="75"/>
      <c r="B131" s="76"/>
      <c r="C131" s="76"/>
      <c r="D131" s="76"/>
      <c r="E131" s="76"/>
      <c r="F131" s="76"/>
      <c r="G131" s="76"/>
      <c r="H131" s="76"/>
      <c r="I131" s="76"/>
      <c r="J131" s="76"/>
      <c r="K131" s="76"/>
      <c r="L131" s="76"/>
      <c r="M131" s="76"/>
      <c r="N131" s="76"/>
      <c r="O131" s="76"/>
      <c r="P131" s="76"/>
      <c r="Q131" s="76"/>
      <c r="R131" s="76"/>
    </row>
  </sheetData>
  <sheetProtection algorithmName="SHA-512" hashValue="F7DSHVge3hoeL58slM0a1EC2WdvkXOjvs9iz0QWvRCstixiN5hT3YMsi0mwdz6jvFHyYEqL+dXG2TQXCSJ7PcA==" saltValue="aczhUNqAnN8da7V/Y4ADbA==" spinCount="100000" sheet="1" objects="1" scenarios="1"/>
  <mergeCells count="44">
    <mergeCell ref="T1:Z1"/>
    <mergeCell ref="G3:M3"/>
    <mergeCell ref="A3:A4"/>
    <mergeCell ref="B3:B4"/>
    <mergeCell ref="C3:C4"/>
    <mergeCell ref="N1:S1"/>
    <mergeCell ref="A2:Z2"/>
    <mergeCell ref="A1:M1"/>
    <mergeCell ref="N3:S3"/>
    <mergeCell ref="E3:F3"/>
    <mergeCell ref="D3:D4"/>
    <mergeCell ref="T3:Z3"/>
    <mergeCell ref="A95:A96"/>
    <mergeCell ref="H96:H97"/>
    <mergeCell ref="J96:J97"/>
    <mergeCell ref="A94:Z94"/>
    <mergeCell ref="I60:I61"/>
    <mergeCell ref="G60:G61"/>
    <mergeCell ref="Y95:Z95"/>
    <mergeCell ref="G95:M95"/>
    <mergeCell ref="B95:D96"/>
    <mergeCell ref="B97:D97"/>
    <mergeCell ref="E95:E96"/>
    <mergeCell ref="F95:F96"/>
    <mergeCell ref="C59:C61"/>
    <mergeCell ref="B59:B61"/>
    <mergeCell ref="T59:X59"/>
    <mergeCell ref="H60:H61"/>
    <mergeCell ref="G59:M59"/>
    <mergeCell ref="S60:S61"/>
    <mergeCell ref="A58:Z58"/>
    <mergeCell ref="Y60:Y61"/>
    <mergeCell ref="Z60:Z61"/>
    <mergeCell ref="D59:D61"/>
    <mergeCell ref="E60:E61"/>
    <mergeCell ref="M60:M61"/>
    <mergeCell ref="L60:L61"/>
    <mergeCell ref="K60:K61"/>
    <mergeCell ref="F60:F61"/>
    <mergeCell ref="J60:J61"/>
    <mergeCell ref="A59:A61"/>
    <mergeCell ref="N59:S59"/>
    <mergeCell ref="E59:F59"/>
    <mergeCell ref="Y59:Z59"/>
  </mergeCells>
  <dataValidations count="2">
    <dataValidation type="list" allowBlank="1" showInputMessage="1" showErrorMessage="1" sqref="H62:H92 J62:J92" xr:uid="{00000000-0002-0000-0200-000000000000}">
      <formula1>Fuel_Type</formula1>
    </dataValidation>
    <dataValidation allowBlank="1" showInputMessage="1" showErrorMessage="1" promptTitle="Power factor correction" prompt="Note that Part L consumption may need to be amended where power factor correction is present._x000a__x000a_See table 1 in ADL2A for adjustment factors_x000a_" sqref="O62:O92" xr:uid="{00000000-0002-0000-0200-000001000000}"/>
  </dataValidations>
  <pageMargins left="0.70866141732283472" right="0.70866141732283472" top="0.74803149606299213" bottom="0.74803149606299213" header="0.31496062992125984" footer="0.31496062992125984"/>
  <pageSetup paperSize="9" scale="8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I131"/>
  <sheetViews>
    <sheetView topLeftCell="A46" zoomScale="85" zoomScaleNormal="85" workbookViewId="0">
      <selection activeCell="M24" sqref="M24"/>
    </sheetView>
  </sheetViews>
  <sheetFormatPr defaultColWidth="9.140625" defaultRowHeight="12.75"/>
  <cols>
    <col min="1" max="1" width="15.7109375" style="34" customWidth="1"/>
    <col min="2" max="4" width="12.42578125" style="35" customWidth="1"/>
    <col min="5" max="5" width="15.28515625" style="35" customWidth="1"/>
    <col min="6" max="6" width="16.140625" style="35" bestFit="1" customWidth="1"/>
    <col min="7" max="7" width="15.28515625" style="35" customWidth="1"/>
    <col min="8" max="8" width="18.42578125" style="35" customWidth="1"/>
    <col min="9" max="18" width="15.28515625" style="35" customWidth="1"/>
    <col min="19" max="25" width="15.28515625" style="2" customWidth="1"/>
    <col min="26" max="26" width="17.85546875" style="2" customWidth="1"/>
    <col min="27" max="42" width="15.28515625" style="2" customWidth="1"/>
    <col min="43" max="43" width="10" style="2" customWidth="1"/>
    <col min="44" max="44" width="35" style="2" customWidth="1"/>
    <col min="45" max="45" width="19.5703125" style="2" customWidth="1"/>
    <col min="46" max="46" width="14" style="2" customWidth="1"/>
    <col min="47" max="47" width="14.5703125" style="2" customWidth="1"/>
    <col min="48" max="48" width="13.5703125" style="2" customWidth="1"/>
    <col min="49" max="49" width="11.42578125" style="2" customWidth="1"/>
    <col min="50" max="50" width="10.42578125" style="2" customWidth="1"/>
    <col min="51" max="51" width="12" style="2" customWidth="1"/>
    <col min="52" max="16384" width="9.140625" style="2"/>
  </cols>
  <sheetData>
    <row r="1" spans="1:35" s="36" customFormat="1" ht="27" customHeight="1">
      <c r="A1" s="427" t="s">
        <v>106</v>
      </c>
      <c r="B1" s="427"/>
      <c r="C1" s="427"/>
      <c r="D1" s="427"/>
      <c r="E1" s="427"/>
      <c r="F1" s="427"/>
      <c r="G1" s="427"/>
      <c r="H1" s="427"/>
      <c r="I1" s="427"/>
      <c r="J1" s="427"/>
      <c r="K1" s="427"/>
      <c r="L1" s="427"/>
      <c r="M1" s="427"/>
      <c r="N1" s="458" t="s">
        <v>110</v>
      </c>
      <c r="O1" s="458"/>
      <c r="P1" s="458"/>
      <c r="Q1" s="458"/>
      <c r="R1" s="458"/>
      <c r="S1" s="459"/>
      <c r="T1" s="456" t="s">
        <v>111</v>
      </c>
      <c r="U1" s="457"/>
      <c r="V1" s="457"/>
      <c r="W1" s="457"/>
      <c r="X1" s="457"/>
      <c r="Y1" s="457"/>
      <c r="Z1" s="457"/>
      <c r="AA1" s="73"/>
    </row>
    <row r="2" spans="1:35" s="37" customFormat="1" ht="27" customHeight="1">
      <c r="A2" s="272" t="s">
        <v>180</v>
      </c>
      <c r="B2" s="273"/>
      <c r="C2" s="273"/>
      <c r="D2" s="273"/>
      <c r="E2" s="273"/>
      <c r="F2" s="273"/>
      <c r="G2" s="273"/>
      <c r="H2" s="273"/>
      <c r="I2" s="273"/>
      <c r="J2" s="273"/>
      <c r="K2" s="273"/>
      <c r="L2" s="273"/>
      <c r="M2" s="273"/>
      <c r="N2" s="273"/>
      <c r="O2" s="273"/>
      <c r="P2" s="273"/>
      <c r="Q2" s="273"/>
      <c r="R2" s="273"/>
      <c r="S2" s="273"/>
      <c r="T2" s="273"/>
      <c r="U2" s="273"/>
      <c r="V2" s="273"/>
      <c r="W2" s="273"/>
      <c r="X2" s="273"/>
      <c r="Y2" s="273"/>
      <c r="Z2" s="273"/>
      <c r="AA2" s="460" t="s">
        <v>210</v>
      </c>
      <c r="AB2" s="460"/>
      <c r="AC2" s="460"/>
      <c r="AD2" s="460"/>
      <c r="AE2" s="460"/>
      <c r="AF2" s="461"/>
    </row>
    <row r="3" spans="1:35" s="36" customFormat="1" ht="30.75" customHeight="1">
      <c r="A3" s="385" t="str">
        <f>Baseline!A3</f>
        <v>Unit identifier (e.g. plot number, dwelling type etc.)</v>
      </c>
      <c r="B3" s="385" t="str">
        <f>Baseline!B3</f>
        <v>Model total floor area (m²)</v>
      </c>
      <c r="C3" s="385" t="str">
        <f>Baseline!C3</f>
        <v>Number of units</v>
      </c>
      <c r="D3" s="385" t="str">
        <f>Baseline!D3</f>
        <v>Total area represented by model  (m²)</v>
      </c>
      <c r="E3" s="396" t="str">
        <f>Baseline!E3</f>
        <v>VALIDATION CHECK</v>
      </c>
      <c r="F3" s="397"/>
      <c r="G3" s="371" t="s">
        <v>160</v>
      </c>
      <c r="H3" s="372"/>
      <c r="I3" s="372"/>
      <c r="J3" s="372"/>
      <c r="K3" s="372"/>
      <c r="L3" s="372"/>
      <c r="M3" s="373"/>
      <c r="N3" s="396" t="s">
        <v>152</v>
      </c>
      <c r="O3" s="428"/>
      <c r="P3" s="428"/>
      <c r="Q3" s="428"/>
      <c r="R3" s="428"/>
      <c r="S3" s="428"/>
      <c r="T3" s="448" t="s">
        <v>18</v>
      </c>
      <c r="U3" s="449"/>
      <c r="V3" s="449"/>
      <c r="W3" s="449"/>
      <c r="X3" s="449"/>
      <c r="Y3" s="463"/>
      <c r="Z3" s="464"/>
      <c r="AA3" s="185" t="s">
        <v>81</v>
      </c>
      <c r="AB3" s="371" t="s">
        <v>82</v>
      </c>
      <c r="AC3" s="372"/>
      <c r="AD3" s="372"/>
      <c r="AE3" s="372"/>
      <c r="AF3" s="373"/>
      <c r="AG3" s="2"/>
      <c r="AH3" s="2"/>
      <c r="AI3" s="2"/>
    </row>
    <row r="4" spans="1:35" s="181" customFormat="1" ht="58.5" customHeight="1">
      <c r="A4" s="385"/>
      <c r="B4" s="385"/>
      <c r="C4" s="385"/>
      <c r="D4" s="385"/>
      <c r="E4" s="245" t="s">
        <v>26</v>
      </c>
      <c r="F4" s="250" t="s">
        <v>27</v>
      </c>
      <c r="G4" s="156" t="s">
        <v>130</v>
      </c>
      <c r="H4" s="251" t="s">
        <v>20</v>
      </c>
      <c r="I4" s="251" t="s">
        <v>131</v>
      </c>
      <c r="J4" s="251" t="s">
        <v>21</v>
      </c>
      <c r="K4" s="251" t="s">
        <v>132</v>
      </c>
      <c r="L4" s="251" t="s">
        <v>133</v>
      </c>
      <c r="M4" s="158" t="s">
        <v>134</v>
      </c>
      <c r="N4" s="156" t="s">
        <v>136</v>
      </c>
      <c r="O4" s="251" t="s">
        <v>137</v>
      </c>
      <c r="P4" s="251" t="s">
        <v>139</v>
      </c>
      <c r="Q4" s="251" t="s">
        <v>140</v>
      </c>
      <c r="R4" s="251" t="s">
        <v>141</v>
      </c>
      <c r="S4" s="269" t="s">
        <v>96</v>
      </c>
      <c r="T4" s="178" t="s">
        <v>13</v>
      </c>
      <c r="U4" s="251" t="s">
        <v>14</v>
      </c>
      <c r="V4" s="251" t="s">
        <v>15</v>
      </c>
      <c r="W4" s="251" t="s">
        <v>16</v>
      </c>
      <c r="X4" s="251" t="s">
        <v>17</v>
      </c>
      <c r="Y4" s="245" t="s">
        <v>114</v>
      </c>
      <c r="Z4" s="241" t="s">
        <v>115</v>
      </c>
      <c r="AA4" s="158" t="s">
        <v>98</v>
      </c>
      <c r="AB4" s="156" t="s">
        <v>5</v>
      </c>
      <c r="AC4" s="251" t="s">
        <v>6</v>
      </c>
      <c r="AD4" s="251" t="s">
        <v>7</v>
      </c>
      <c r="AE4" s="251" t="s">
        <v>8</v>
      </c>
      <c r="AF4" s="158" t="s">
        <v>9</v>
      </c>
      <c r="AG4" s="293"/>
      <c r="AH4" s="293"/>
      <c r="AI4" s="293"/>
    </row>
    <row r="5" spans="1:35" s="36" customFormat="1" ht="51">
      <c r="A5" s="142"/>
      <c r="B5" s="149"/>
      <c r="C5" s="149"/>
      <c r="D5" s="143"/>
      <c r="E5" s="145"/>
      <c r="F5" s="228" t="s">
        <v>202</v>
      </c>
      <c r="G5" s="149" t="s">
        <v>203</v>
      </c>
      <c r="H5" s="149" t="s">
        <v>221</v>
      </c>
      <c r="I5" s="149" t="s">
        <v>204</v>
      </c>
      <c r="J5" s="149" t="s">
        <v>221</v>
      </c>
      <c r="K5" s="149" t="s">
        <v>125</v>
      </c>
      <c r="L5" s="150" t="s">
        <v>127</v>
      </c>
      <c r="M5" s="150" t="s">
        <v>124</v>
      </c>
      <c r="N5" s="145"/>
      <c r="O5" s="143"/>
      <c r="P5" s="143"/>
      <c r="Q5" s="143"/>
      <c r="R5" s="143"/>
      <c r="S5" s="266"/>
      <c r="T5" s="146"/>
      <c r="U5" s="143"/>
      <c r="V5" s="143"/>
      <c r="W5" s="143"/>
      <c r="X5" s="143"/>
      <c r="Y5" s="145"/>
      <c r="Z5" s="144"/>
      <c r="AA5" s="144"/>
      <c r="AB5" s="145"/>
      <c r="AC5" s="143"/>
      <c r="AD5" s="143"/>
      <c r="AE5" s="143"/>
      <c r="AF5" s="144"/>
      <c r="AG5" s="2"/>
      <c r="AH5" s="2"/>
      <c r="AI5" s="2"/>
    </row>
    <row r="6" spans="1:35" s="36" customFormat="1" ht="13.5" customHeight="1">
      <c r="A6" s="287" t="str">
        <f>IF(Baseline!A6="","",Baseline!A6)</f>
        <v>B7-A-04-01</v>
      </c>
      <c r="B6" s="141">
        <f>IF(Baseline!B6="","",Baseline!B6)</f>
        <v>83</v>
      </c>
      <c r="C6" s="141">
        <f>IF(Baseline!C6="","",Baseline!C6)</f>
        <v>17</v>
      </c>
      <c r="D6" s="288">
        <f>IF(Baseline!D6="","",Baseline!D6)</f>
        <v>1411</v>
      </c>
      <c r="E6" s="88">
        <f t="shared" ref="E6:E37" si="0">IFERROR(S6/$B6,"")</f>
        <v>13.105790855266559</v>
      </c>
      <c r="F6" s="109">
        <v>13.11</v>
      </c>
      <c r="G6" s="100">
        <f>1420*100/93.2</f>
        <v>1523.6051502145922</v>
      </c>
      <c r="H6" s="100" t="s">
        <v>11</v>
      </c>
      <c r="I6" s="100">
        <f>1954.46*100/93.2</f>
        <v>2097.0600858369098</v>
      </c>
      <c r="J6" s="100" t="s">
        <v>11</v>
      </c>
      <c r="K6" s="100">
        <v>355.19</v>
      </c>
      <c r="L6" s="100">
        <f>33.74+200.12</f>
        <v>233.86</v>
      </c>
      <c r="M6" s="100"/>
      <c r="N6" s="46">
        <f>IFERROR($G6*INDEX('Carbon factors'!$B$4:$B$10,MATCH($H6,Fuel_Type,0),1),"")</f>
        <v>329.0987124463519</v>
      </c>
      <c r="O6" s="47">
        <f>IFERROR($I6*INDEX('Carbon factors'!$B$4:$B$10,MATCH($J6,Fuel_Type,0),1),"")</f>
        <v>452.96497854077251</v>
      </c>
      <c r="P6" s="47">
        <f>IF(K6="","",K6*'Carbon factors'!$B$5)</f>
        <v>184.34361000000001</v>
      </c>
      <c r="Q6" s="47">
        <f>IF(L6="","",L6*'Carbon factors'!$B$5)</f>
        <v>121.37334000000001</v>
      </c>
      <c r="R6" s="47" t="str">
        <f>IF(M6="","",M6*'Carbon factors'!$B$5)</f>
        <v/>
      </c>
      <c r="S6" s="267">
        <f>IF(SUM(N6:R6)=0,"",(SUM(N6:R6)))</f>
        <v>1087.7806409871243</v>
      </c>
      <c r="T6" s="49">
        <f>IFERROR($G6*INDEX('Carbon factors'!$C$4:$C$10,MATCH($H6,Fuel_Type,0),1),"")</f>
        <v>319.95708154506434</v>
      </c>
      <c r="U6" s="47">
        <f>IFERROR($I6*INDEX('Carbon factors'!$C$4:$C$10,MATCH($J6,Fuel_Type,0),1),"")</f>
        <v>440.38261802575107</v>
      </c>
      <c r="V6" s="47">
        <f>IF(K6="","",K6*'Carbon factors'!$C$5)</f>
        <v>82.759270000000001</v>
      </c>
      <c r="W6" s="47">
        <f>IF(L6="","",L6*'Carbon factors'!$C$5)</f>
        <v>54.489380000000004</v>
      </c>
      <c r="X6" s="47" t="str">
        <f>IF(M6="","",M6*'Carbon factors'!$C$5)</f>
        <v/>
      </c>
      <c r="Y6" s="222">
        <f>IF(SUM(T6:X6)=0,"",(SUM(T6:X6)))</f>
        <v>897.58834957081535</v>
      </c>
      <c r="Z6" s="61">
        <f>IFERROR(Y6/$B6,"")</f>
        <v>10.814317464708619</v>
      </c>
      <c r="AA6" s="281">
        <v>36.1</v>
      </c>
      <c r="AB6" s="314">
        <v>1420</v>
      </c>
      <c r="AC6" s="315">
        <v>1954.46</v>
      </c>
      <c r="AD6" s="315">
        <v>355.19</v>
      </c>
      <c r="AE6" s="315"/>
      <c r="AF6" s="316">
        <v>0</v>
      </c>
    </row>
    <row r="7" spans="1:35" s="36" customFormat="1" ht="13.5" customHeight="1">
      <c r="A7" s="287" t="str">
        <f>IF(Baseline!A7="","",Baseline!A7)</f>
        <v>B1-A-12-01</v>
      </c>
      <c r="B7" s="141">
        <f>IF(Baseline!B7="","",Baseline!B7)</f>
        <v>173</v>
      </c>
      <c r="C7" s="141">
        <f>IF(Baseline!C7="","",Baseline!C7)</f>
        <v>1</v>
      </c>
      <c r="D7" s="288">
        <f>IF(Baseline!D7="","",Baseline!D7)</f>
        <v>173</v>
      </c>
      <c r="E7" s="88">
        <f t="shared" si="0"/>
        <v>15.075749227467808</v>
      </c>
      <c r="F7" s="109">
        <v>15.08</v>
      </c>
      <c r="G7" s="100">
        <f>6320.32*100/93.2</f>
        <v>6781.4592274678107</v>
      </c>
      <c r="H7" s="100" t="s">
        <v>11</v>
      </c>
      <c r="I7" s="100">
        <f>2130.73*100/93.2</f>
        <v>2286.1909871244634</v>
      </c>
      <c r="J7" s="100" t="s">
        <v>11</v>
      </c>
      <c r="K7" s="100">
        <v>542.54</v>
      </c>
      <c r="L7" s="100">
        <f>84.51+531.48</f>
        <v>615.99</v>
      </c>
      <c r="M7" s="100">
        <v>92.9</v>
      </c>
      <c r="N7" s="46">
        <f>IFERROR($G7*INDEX('Carbon factors'!$B$4:$B$10,MATCH($H7,Fuel_Type,0),1),"")</f>
        <v>1464.7951931330472</v>
      </c>
      <c r="O7" s="47">
        <f>IFERROR($I7*INDEX('Carbon factors'!$B$4:$B$10,MATCH($J7,Fuel_Type,0),1),"")</f>
        <v>493.8172532188841</v>
      </c>
      <c r="P7" s="47">
        <f>IF(K7="","",K7*'Carbon factors'!$B$5)</f>
        <v>281.57826</v>
      </c>
      <c r="Q7" s="47">
        <f>IF(L7="","",L7*'Carbon factors'!$B$5)</f>
        <v>319.69881000000004</v>
      </c>
      <c r="R7" s="47">
        <f>IF(M7="","",M7*'Carbon factors'!$B$5)</f>
        <v>48.215100000000007</v>
      </c>
      <c r="S7" s="267">
        <f t="shared" ref="S7:S56" si="1">IF(SUM(N7:R7)=0,"",(SUM(N7:R7)))</f>
        <v>2608.1046163519309</v>
      </c>
      <c r="T7" s="49">
        <f>IFERROR($G7*INDEX('Carbon factors'!$C$4:$C$10,MATCH($H7,Fuel_Type,0),1),"")</f>
        <v>1424.1064377682401</v>
      </c>
      <c r="U7" s="47">
        <f>IFERROR($I7*INDEX('Carbon factors'!$C$4:$C$10,MATCH($J7,Fuel_Type,0),1),"")</f>
        <v>480.10010729613731</v>
      </c>
      <c r="V7" s="47">
        <f>IF(K7="","",K7*'Carbon factors'!$C$5)</f>
        <v>126.41181999999999</v>
      </c>
      <c r="W7" s="47">
        <f>IF(L7="","",L7*'Carbon factors'!$C$5)</f>
        <v>143.52567000000002</v>
      </c>
      <c r="X7" s="47">
        <f>IF(M7="","",M7*'Carbon factors'!$C$5)</f>
        <v>21.645700000000001</v>
      </c>
      <c r="Y7" s="222">
        <f t="shared" ref="Y7:Y56" si="2">IF(SUM(T7:X7)=0,"",(SUM(T7:X7)))</f>
        <v>2195.7897350643775</v>
      </c>
      <c r="Z7" s="61">
        <f t="shared" ref="Z7:Z56" si="3">IFERROR(Y7/$B7,"")</f>
        <v>12.692426214244957</v>
      </c>
      <c r="AA7" s="281">
        <v>52.2</v>
      </c>
      <c r="AB7" s="112">
        <v>6320.32</v>
      </c>
      <c r="AC7" s="113">
        <v>2130.73</v>
      </c>
      <c r="AD7" s="113">
        <v>542.54</v>
      </c>
      <c r="AE7" s="113"/>
      <c r="AF7" s="114">
        <v>92.9</v>
      </c>
    </row>
    <row r="8" spans="1:35" s="36" customFormat="1" ht="13.5" customHeight="1">
      <c r="A8" s="287" t="str">
        <f>IF(Baseline!A8="","",Baseline!A8)</f>
        <v>B4-A-14B4-02</v>
      </c>
      <c r="B8" s="141">
        <f>IF(Baseline!B8="","",Baseline!B8)</f>
        <v>149</v>
      </c>
      <c r="C8" s="141">
        <f>IF(Baseline!C8="","",Baseline!C8)</f>
        <v>2</v>
      </c>
      <c r="D8" s="288">
        <f>IF(Baseline!D8="","",Baseline!D8)</f>
        <v>298</v>
      </c>
      <c r="E8" s="88">
        <f t="shared" si="0"/>
        <v>16.466628842353888</v>
      </c>
      <c r="F8" s="109">
        <v>16.47</v>
      </c>
      <c r="G8" s="100">
        <f>6033.19*100/93.2</f>
        <v>6473.3798283261804</v>
      </c>
      <c r="H8" s="100" t="s">
        <v>11</v>
      </c>
      <c r="I8" s="100">
        <f>2117.41*100/93.2</f>
        <v>2271.8991416309013</v>
      </c>
      <c r="J8" s="100" t="s">
        <v>11</v>
      </c>
      <c r="K8" s="100">
        <v>502.92</v>
      </c>
      <c r="L8" s="100">
        <f>81.51+382.42</f>
        <v>463.93</v>
      </c>
      <c r="M8" s="100">
        <v>120.91</v>
      </c>
      <c r="N8" s="46">
        <f>IFERROR($G8*INDEX('Carbon factors'!$B$4:$B$10,MATCH($H8,Fuel_Type,0),1),"")</f>
        <v>1398.2500429184549</v>
      </c>
      <c r="O8" s="47">
        <f>IFERROR($I8*INDEX('Carbon factors'!$B$4:$B$10,MATCH($J8,Fuel_Type,0),1),"")</f>
        <v>490.73021459227471</v>
      </c>
      <c r="P8" s="47">
        <f>IF(K8="","",K8*'Carbon factors'!$B$5)</f>
        <v>261.01548000000003</v>
      </c>
      <c r="Q8" s="47">
        <f>IF(L8="","",L8*'Carbon factors'!$B$5)</f>
        <v>240.77967000000001</v>
      </c>
      <c r="R8" s="47">
        <f>IF(M8="","",M8*'Carbon factors'!$B$5)</f>
        <v>62.752290000000002</v>
      </c>
      <c r="S8" s="267">
        <f t="shared" si="1"/>
        <v>2453.5276975107295</v>
      </c>
      <c r="T8" s="49">
        <f>IFERROR($G8*INDEX('Carbon factors'!$C$4:$C$10,MATCH($H8,Fuel_Type,0),1),"")</f>
        <v>1359.4097639484978</v>
      </c>
      <c r="U8" s="47">
        <f>IFERROR($I8*INDEX('Carbon factors'!$C$4:$C$10,MATCH($J8,Fuel_Type,0),1),"")</f>
        <v>477.09881974248924</v>
      </c>
      <c r="V8" s="47">
        <f>IF(K8="","",K8*'Carbon factors'!$C$5)</f>
        <v>117.18036000000001</v>
      </c>
      <c r="W8" s="47">
        <f>IF(L8="","",L8*'Carbon factors'!$C$5)</f>
        <v>108.09569</v>
      </c>
      <c r="X8" s="47">
        <f>IF(M8="","",M8*'Carbon factors'!$C$5)</f>
        <v>28.172029999999999</v>
      </c>
      <c r="Y8" s="222">
        <f t="shared" si="2"/>
        <v>2089.9566636909872</v>
      </c>
      <c r="Z8" s="61">
        <f t="shared" si="3"/>
        <v>14.026554789872398</v>
      </c>
      <c r="AA8" s="281">
        <v>57.1</v>
      </c>
      <c r="AB8" s="112">
        <v>6033.19</v>
      </c>
      <c r="AC8" s="113">
        <v>2117.41</v>
      </c>
      <c r="AD8" s="113">
        <v>502.92</v>
      </c>
      <c r="AE8" s="113"/>
      <c r="AF8" s="114">
        <v>120.91</v>
      </c>
    </row>
    <row r="9" spans="1:35" s="36" customFormat="1" ht="13.5" customHeight="1">
      <c r="A9" s="287" t="str">
        <f>IF(Baseline!A9="","",Baseline!A9)</f>
        <v>B7-A-12-02</v>
      </c>
      <c r="B9" s="141">
        <f>IF(Baseline!B9="","",Baseline!B9)</f>
        <v>65</v>
      </c>
      <c r="C9" s="141">
        <f>IF(Baseline!C9="","",Baseline!C9)</f>
        <v>1</v>
      </c>
      <c r="D9" s="288">
        <f>IF(Baseline!D9="","",Baseline!D9)</f>
        <v>65</v>
      </c>
      <c r="E9" s="88">
        <f t="shared" si="0"/>
        <v>19.236291266424562</v>
      </c>
      <c r="F9" s="109">
        <v>19.239999999999998</v>
      </c>
      <c r="G9" s="100">
        <f>2496.29*100/93.2</f>
        <v>2678.4227467811156</v>
      </c>
      <c r="H9" s="100" t="s">
        <v>11</v>
      </c>
      <c r="I9" s="100">
        <f>1798.14*100/93.2</f>
        <v>1929.3347639484978</v>
      </c>
      <c r="J9" s="100" t="s">
        <v>11</v>
      </c>
      <c r="K9" s="100">
        <v>291.83</v>
      </c>
      <c r="L9" s="100">
        <f>42.94+156.72</f>
        <v>199.66</v>
      </c>
      <c r="M9" s="100"/>
      <c r="N9" s="46">
        <f>IFERROR($G9*INDEX('Carbon factors'!$B$4:$B$10,MATCH($H9,Fuel_Type,0),1),"")</f>
        <v>578.53931330472096</v>
      </c>
      <c r="O9" s="47">
        <f>IFERROR($I9*INDEX('Carbon factors'!$B$4:$B$10,MATCH($J9,Fuel_Type,0),1),"")</f>
        <v>416.73630901287549</v>
      </c>
      <c r="P9" s="47">
        <f>IF(K9="","",K9*'Carbon factors'!$B$5)</f>
        <v>151.45976999999999</v>
      </c>
      <c r="Q9" s="47">
        <f>IF(L9="","",L9*'Carbon factors'!$B$5)</f>
        <v>103.62354000000001</v>
      </c>
      <c r="R9" s="47" t="str">
        <f>IF(M9="","",M9*'Carbon factors'!$B$5)</f>
        <v/>
      </c>
      <c r="S9" s="267">
        <f t="shared" si="1"/>
        <v>1250.3589323175966</v>
      </c>
      <c r="T9" s="49">
        <f>IFERROR($G9*INDEX('Carbon factors'!$C$4:$C$10,MATCH($H9,Fuel_Type,0),1),"")</f>
        <v>562.46877682403431</v>
      </c>
      <c r="U9" s="47">
        <f>IFERROR($I9*INDEX('Carbon factors'!$C$4:$C$10,MATCH($J9,Fuel_Type,0),1),"")</f>
        <v>405.16030042918453</v>
      </c>
      <c r="V9" s="47">
        <f>IF(K9="","",K9*'Carbon factors'!$C$5)</f>
        <v>67.996390000000005</v>
      </c>
      <c r="W9" s="47">
        <f>IF(L9="","",L9*'Carbon factors'!$C$5)</f>
        <v>46.520780000000002</v>
      </c>
      <c r="X9" s="47" t="str">
        <f>IF(M9="","",M9*'Carbon factors'!$C$5)</f>
        <v/>
      </c>
      <c r="Y9" s="222">
        <f t="shared" si="2"/>
        <v>1082.1462472532189</v>
      </c>
      <c r="Z9" s="61">
        <f t="shared" si="3"/>
        <v>16.648403803895675</v>
      </c>
      <c r="AA9" s="281">
        <v>57.5</v>
      </c>
      <c r="AB9" s="112">
        <v>2496.29</v>
      </c>
      <c r="AC9" s="113">
        <v>1798.14</v>
      </c>
      <c r="AD9" s="113">
        <v>291.83</v>
      </c>
      <c r="AE9" s="113"/>
      <c r="AF9" s="114">
        <v>0</v>
      </c>
    </row>
    <row r="10" spans="1:35" s="36" customFormat="1" ht="13.5" customHeight="1">
      <c r="A10" s="287" t="str">
        <f>IF(Baseline!A10="","",Baseline!A10)</f>
        <v>B2-A-21-02</v>
      </c>
      <c r="B10" s="141">
        <f>IF(Baseline!B10="","",Baseline!B10)</f>
        <v>120</v>
      </c>
      <c r="C10" s="141">
        <f>IF(Baseline!C10="","",Baseline!C10)</f>
        <v>2</v>
      </c>
      <c r="D10" s="288">
        <f>IF(Baseline!D10="","",Baseline!D10)</f>
        <v>240</v>
      </c>
      <c r="E10" s="88">
        <f t="shared" si="0"/>
        <v>17.966185633047207</v>
      </c>
      <c r="F10" s="109">
        <v>17.97</v>
      </c>
      <c r="G10" s="100">
        <f>4997.75*100/93.2</f>
        <v>5362.3927038626607</v>
      </c>
      <c r="H10" s="100" t="s">
        <v>11</v>
      </c>
      <c r="I10" s="100">
        <f>2090.21*100/93.2</f>
        <v>2242.7145922746781</v>
      </c>
      <c r="J10" s="100" t="s">
        <v>11</v>
      </c>
      <c r="K10" s="100">
        <v>449.05</v>
      </c>
      <c r="L10" s="100">
        <f>70.88+289.32</f>
        <v>360.2</v>
      </c>
      <c r="M10" s="100">
        <v>179.65</v>
      </c>
      <c r="N10" s="46">
        <f>IFERROR($G10*INDEX('Carbon factors'!$B$4:$B$10,MATCH($H10,Fuel_Type,0),1),"")</f>
        <v>1158.2768240343346</v>
      </c>
      <c r="O10" s="47">
        <f>IFERROR($I10*INDEX('Carbon factors'!$B$4:$B$10,MATCH($J10,Fuel_Type,0),1),"")</f>
        <v>484.42635193133049</v>
      </c>
      <c r="P10" s="47">
        <f>IF(K10="","",K10*'Carbon factors'!$B$5)</f>
        <v>233.05695</v>
      </c>
      <c r="Q10" s="47">
        <f>IF(L10="","",L10*'Carbon factors'!$B$5)</f>
        <v>186.94380000000001</v>
      </c>
      <c r="R10" s="47">
        <f>IF(M10="","",M10*'Carbon factors'!$B$5)</f>
        <v>93.238350000000011</v>
      </c>
      <c r="S10" s="267">
        <f t="shared" si="1"/>
        <v>2155.942275965665</v>
      </c>
      <c r="T10" s="49">
        <f>IFERROR($G10*INDEX('Carbon factors'!$C$4:$C$10,MATCH($H10,Fuel_Type,0),1),"")</f>
        <v>1126.1024678111587</v>
      </c>
      <c r="U10" s="47">
        <f>IFERROR($I10*INDEX('Carbon factors'!$C$4:$C$10,MATCH($J10,Fuel_Type,0),1),"")</f>
        <v>470.97006437768238</v>
      </c>
      <c r="V10" s="47">
        <f>IF(K10="","",K10*'Carbon factors'!$C$5)</f>
        <v>104.62865000000001</v>
      </c>
      <c r="W10" s="47">
        <f>IF(L10="","",L10*'Carbon factors'!$C$5)</f>
        <v>83.926600000000008</v>
      </c>
      <c r="X10" s="47">
        <f>IF(M10="","",M10*'Carbon factors'!$C$5)</f>
        <v>41.858450000000005</v>
      </c>
      <c r="Y10" s="222">
        <f t="shared" si="2"/>
        <v>1827.4862321888411</v>
      </c>
      <c r="Z10" s="61">
        <f t="shared" si="3"/>
        <v>15.229051934907009</v>
      </c>
      <c r="AA10" s="281">
        <v>60.5</v>
      </c>
      <c r="AB10" s="112">
        <v>4997.75</v>
      </c>
      <c r="AC10" s="113">
        <v>2090.21</v>
      </c>
      <c r="AD10" s="113">
        <v>449.05</v>
      </c>
      <c r="AE10" s="113"/>
      <c r="AF10" s="114">
        <v>179.65</v>
      </c>
    </row>
    <row r="11" spans="1:35" s="36" customFormat="1" ht="13.5" customHeight="1">
      <c r="A11" s="287" t="str">
        <f>IF(Baseline!A11="","",Baseline!A11)</f>
        <v>B7-A-00-01</v>
      </c>
      <c r="B11" s="141">
        <f>IF(Baseline!B11="","",Baseline!B11)</f>
        <v>73</v>
      </c>
      <c r="C11" s="141">
        <f>IF(Baseline!C11="","",Baseline!C11)</f>
        <v>2</v>
      </c>
      <c r="D11" s="288">
        <f>IF(Baseline!D11="","",Baseline!D11)</f>
        <v>146</v>
      </c>
      <c r="E11" s="88">
        <f t="shared" si="0"/>
        <v>18.66026434534658</v>
      </c>
      <c r="F11" s="109">
        <v>18.66</v>
      </c>
      <c r="G11" s="100">
        <f>2784.23*100/93.2</f>
        <v>2987.3712446351929</v>
      </c>
      <c r="H11" s="100" t="s">
        <v>11</v>
      </c>
      <c r="I11" s="100">
        <f>1875.74*100/93.2</f>
        <v>2012.5965665236051</v>
      </c>
      <c r="J11" s="100" t="s">
        <v>11</v>
      </c>
      <c r="K11" s="100">
        <v>324.60000000000002</v>
      </c>
      <c r="L11" s="100">
        <f>46.6+172.55</f>
        <v>219.15</v>
      </c>
      <c r="M11" s="100"/>
      <c r="N11" s="46">
        <f>IFERROR($G11*INDEX('Carbon factors'!$B$4:$B$10,MATCH($H11,Fuel_Type,0),1),"")</f>
        <v>645.27218884120168</v>
      </c>
      <c r="O11" s="47">
        <f>IFERROR($I11*INDEX('Carbon factors'!$B$4:$B$10,MATCH($J11,Fuel_Type,0),1),"")</f>
        <v>434.72085836909872</v>
      </c>
      <c r="P11" s="47">
        <f>IF(K11="","",K11*'Carbon factors'!$B$5)</f>
        <v>168.46740000000003</v>
      </c>
      <c r="Q11" s="47">
        <f>IF(L11="","",L11*'Carbon factors'!$B$5)</f>
        <v>113.73885000000001</v>
      </c>
      <c r="R11" s="47" t="str">
        <f>IF(M11="","",M11*'Carbon factors'!$B$5)</f>
        <v/>
      </c>
      <c r="S11" s="267">
        <f t="shared" si="1"/>
        <v>1362.1992972103003</v>
      </c>
      <c r="T11" s="49">
        <f>IFERROR($G11*INDEX('Carbon factors'!$C$4:$C$10,MATCH($H11,Fuel_Type,0),1),"")</f>
        <v>627.34796137339049</v>
      </c>
      <c r="U11" s="47">
        <f>IFERROR($I11*INDEX('Carbon factors'!$C$4:$C$10,MATCH($J11,Fuel_Type,0),1),"")</f>
        <v>422.64527896995708</v>
      </c>
      <c r="V11" s="47">
        <f>IF(K11="","",K11*'Carbon factors'!$C$5)</f>
        <v>75.631800000000013</v>
      </c>
      <c r="W11" s="47">
        <f>IF(L11="","",L11*'Carbon factors'!$C$5)</f>
        <v>51.061950000000003</v>
      </c>
      <c r="X11" s="47" t="str">
        <f>IF(M11="","",M11*'Carbon factors'!$C$5)</f>
        <v/>
      </c>
      <c r="Y11" s="222">
        <f t="shared" si="2"/>
        <v>1176.6869903433478</v>
      </c>
      <c r="Z11" s="61">
        <f t="shared" si="3"/>
        <v>16.118999867717093</v>
      </c>
      <c r="AA11" s="281">
        <v>56.8</v>
      </c>
      <c r="AB11" s="112">
        <v>2784.23</v>
      </c>
      <c r="AC11" s="113">
        <v>1875.74</v>
      </c>
      <c r="AD11" s="113">
        <v>324.60000000000002</v>
      </c>
      <c r="AE11" s="113"/>
      <c r="AF11" s="114"/>
    </row>
    <row r="12" spans="1:35" s="36" customFormat="1" ht="13.5" customHeight="1">
      <c r="A12" s="287" t="str">
        <f>IF(Baseline!A12="","",Baseline!A12)</f>
        <v>B7-A-00-H1</v>
      </c>
      <c r="B12" s="141">
        <f>IF(Baseline!B12="","",Baseline!B12)</f>
        <v>125</v>
      </c>
      <c r="C12" s="141">
        <f>IF(Baseline!C12="","",Baseline!C12)</f>
        <v>1</v>
      </c>
      <c r="D12" s="288">
        <f>IF(Baseline!D12="","",Baseline!D12)</f>
        <v>125</v>
      </c>
      <c r="E12" s="88">
        <f t="shared" si="0"/>
        <v>18.914624273304717</v>
      </c>
      <c r="F12" s="109">
        <v>18.91</v>
      </c>
      <c r="G12" s="100">
        <f>6803.3*100/93.2</f>
        <v>7299.678111587983</v>
      </c>
      <c r="H12" s="100" t="s">
        <v>11</v>
      </c>
      <c r="I12" s="100">
        <f>2051.39*100/93.2</f>
        <v>2201.0622317596567</v>
      </c>
      <c r="J12" s="100" t="s">
        <v>11</v>
      </c>
      <c r="K12" s="100">
        <v>459.08</v>
      </c>
      <c r="L12" s="100">
        <f>88.55+53.85</f>
        <v>142.4</v>
      </c>
      <c r="M12" s="100"/>
      <c r="N12" s="46">
        <f>IFERROR($G12*INDEX('Carbon factors'!$B$4:$B$10,MATCH($H12,Fuel_Type,0),1),"")</f>
        <v>1576.7304721030043</v>
      </c>
      <c r="O12" s="47">
        <f>IFERROR($I12*INDEX('Carbon factors'!$B$4:$B$10,MATCH($J12,Fuel_Type,0),1),"")</f>
        <v>475.42944206008582</v>
      </c>
      <c r="P12" s="47">
        <f>IF(K12="","",K12*'Carbon factors'!$B$5)</f>
        <v>238.26251999999999</v>
      </c>
      <c r="Q12" s="47">
        <f>IF(L12="","",L12*'Carbon factors'!$B$5)</f>
        <v>73.905600000000007</v>
      </c>
      <c r="R12" s="47" t="str">
        <f>IF(M12="","",M12*'Carbon factors'!$B$5)</f>
        <v/>
      </c>
      <c r="S12" s="267">
        <f t="shared" si="1"/>
        <v>2364.3280341630898</v>
      </c>
      <c r="T12" s="49">
        <f>IFERROR($G12*INDEX('Carbon factors'!$C$4:$C$10,MATCH($H12,Fuel_Type,0),1),"")</f>
        <v>1532.9324034334763</v>
      </c>
      <c r="U12" s="47">
        <f>IFERROR($I12*INDEX('Carbon factors'!$C$4:$C$10,MATCH($J12,Fuel_Type,0),1),"")</f>
        <v>462.22306866952789</v>
      </c>
      <c r="V12" s="47">
        <f>IF(K12="","",K12*'Carbon factors'!$C$5)</f>
        <v>106.96564000000001</v>
      </c>
      <c r="W12" s="47">
        <f>IF(L12="","",L12*'Carbon factors'!$C$5)</f>
        <v>33.179200000000002</v>
      </c>
      <c r="X12" s="47" t="str">
        <f>IF(M12="","",M12*'Carbon factors'!$C$5)</f>
        <v/>
      </c>
      <c r="Y12" s="222">
        <f t="shared" si="2"/>
        <v>2135.3003121030042</v>
      </c>
      <c r="Z12" s="61">
        <f t="shared" si="3"/>
        <v>17.082402496824034</v>
      </c>
      <c r="AA12" s="281">
        <v>59.7</v>
      </c>
      <c r="AB12" s="112">
        <v>6803.3</v>
      </c>
      <c r="AC12" s="113">
        <v>2051.39</v>
      </c>
      <c r="AD12" s="113">
        <v>459.08</v>
      </c>
      <c r="AE12" s="113"/>
      <c r="AF12" s="114"/>
    </row>
    <row r="13" spans="1:35" s="36" customFormat="1" ht="13.5" customHeight="1">
      <c r="A13" s="287" t="str">
        <f>IF(Baseline!A13="","",Baseline!A13)</f>
        <v>B7-A-00-H2</v>
      </c>
      <c r="B13" s="141">
        <f>IF(Baseline!B13="","",Baseline!B13)</f>
        <v>113</v>
      </c>
      <c r="C13" s="141">
        <f>IF(Baseline!C13="","",Baseline!C13)</f>
        <v>2</v>
      </c>
      <c r="D13" s="288">
        <f>IF(Baseline!D13="","",Baseline!D13)</f>
        <v>226</v>
      </c>
      <c r="E13" s="88">
        <f t="shared" si="0"/>
        <v>19.8355073637434</v>
      </c>
      <c r="F13" s="109">
        <v>19.84</v>
      </c>
      <c r="G13" s="100">
        <f>6369.54*100/93.2</f>
        <v>6834.2703862660946</v>
      </c>
      <c r="H13" s="100" t="s">
        <v>11</v>
      </c>
      <c r="I13" s="100">
        <f>2032.14*100/93.2</f>
        <v>2180.4077253218884</v>
      </c>
      <c r="J13" s="100" t="s">
        <v>11</v>
      </c>
      <c r="K13" s="100">
        <v>434.22</v>
      </c>
      <c r="L13" s="100">
        <f>84.02+48.7</f>
        <v>132.72</v>
      </c>
      <c r="M13" s="100"/>
      <c r="N13" s="46">
        <f>IFERROR($G13*INDEX('Carbon factors'!$B$4:$B$10,MATCH($H13,Fuel_Type,0),1),"")</f>
        <v>1476.2024034334763</v>
      </c>
      <c r="O13" s="47">
        <f>IFERROR($I13*INDEX('Carbon factors'!$B$4:$B$10,MATCH($J13,Fuel_Type,0),1),"")</f>
        <v>470.9680686695279</v>
      </c>
      <c r="P13" s="47">
        <f>IF(K13="","",K13*'Carbon factors'!$B$5)</f>
        <v>225.36018000000001</v>
      </c>
      <c r="Q13" s="47">
        <f>IF(L13="","",L13*'Carbon factors'!$B$5)</f>
        <v>68.881680000000003</v>
      </c>
      <c r="R13" s="47" t="str">
        <f>IF(M13="","",M13*'Carbon factors'!$B$5)</f>
        <v/>
      </c>
      <c r="S13" s="267">
        <f t="shared" si="1"/>
        <v>2241.4123321030042</v>
      </c>
      <c r="T13" s="49">
        <f>IFERROR($G13*INDEX('Carbon factors'!$C$4:$C$10,MATCH($H13,Fuel_Type,0),1),"")</f>
        <v>1435.1967811158797</v>
      </c>
      <c r="U13" s="47">
        <f>IFERROR($I13*INDEX('Carbon factors'!$C$4:$C$10,MATCH($J13,Fuel_Type,0),1),"")</f>
        <v>457.88562231759653</v>
      </c>
      <c r="V13" s="47">
        <f>IF(K13="","",K13*'Carbon factors'!$C$5)</f>
        <v>101.17326000000001</v>
      </c>
      <c r="W13" s="47">
        <f>IF(L13="","",L13*'Carbon factors'!$C$5)</f>
        <v>30.923760000000001</v>
      </c>
      <c r="X13" s="47" t="str">
        <f>IF(M13="","",M13*'Carbon factors'!$C$5)</f>
        <v/>
      </c>
      <c r="Y13" s="222">
        <f t="shared" si="2"/>
        <v>2025.1794234334761</v>
      </c>
      <c r="Z13" s="61">
        <f t="shared" si="3"/>
        <v>17.921941800296249</v>
      </c>
      <c r="AA13" s="281">
        <v>62.3</v>
      </c>
      <c r="AB13" s="112">
        <v>6369.54</v>
      </c>
      <c r="AC13" s="113">
        <v>2032.14</v>
      </c>
      <c r="AD13" s="113">
        <v>434.22</v>
      </c>
      <c r="AE13" s="113"/>
      <c r="AF13" s="114"/>
    </row>
    <row r="14" spans="1:35" s="36" customFormat="1" ht="13.5" customHeight="1">
      <c r="A14" s="287" t="str">
        <f>IF(Baseline!A14="","",Baseline!A14)</f>
        <v>B7-A-00-H4</v>
      </c>
      <c r="B14" s="141">
        <f>IF(Baseline!B14="","",Baseline!B14)</f>
        <v>171</v>
      </c>
      <c r="C14" s="141">
        <f>IF(Baseline!C14="","",Baseline!C14)</f>
        <v>1</v>
      </c>
      <c r="D14" s="288">
        <f>IF(Baseline!D14="","",Baseline!D14)</f>
        <v>171</v>
      </c>
      <c r="E14" s="88">
        <f t="shared" si="0"/>
        <v>19.431056181763424</v>
      </c>
      <c r="F14" s="109">
        <v>19.43</v>
      </c>
      <c r="G14" s="100">
        <f>10592.69*100/93.2</f>
        <v>11365.547210300429</v>
      </c>
      <c r="H14" s="100" t="s">
        <v>11</v>
      </c>
      <c r="I14" s="100">
        <f>2084.02*100/93.2</f>
        <v>2236.0729613733906</v>
      </c>
      <c r="J14" s="100" t="s">
        <v>11</v>
      </c>
      <c r="K14" s="100">
        <v>539.35</v>
      </c>
      <c r="L14" s="100">
        <f>126.77+75.23</f>
        <v>202</v>
      </c>
      <c r="M14" s="100"/>
      <c r="N14" s="46">
        <f>IFERROR($G14*INDEX('Carbon factors'!$B$4:$B$10,MATCH($H14,Fuel_Type,0),1),"")</f>
        <v>2454.9581974248927</v>
      </c>
      <c r="O14" s="47">
        <f>IFERROR($I14*INDEX('Carbon factors'!$B$4:$B$10,MATCH($J14,Fuel_Type,0),1),"")</f>
        <v>482.99175965665239</v>
      </c>
      <c r="P14" s="47">
        <f>IF(K14="","",K14*'Carbon factors'!$B$5)</f>
        <v>279.92265000000003</v>
      </c>
      <c r="Q14" s="47">
        <f>IF(L14="","",L14*'Carbon factors'!$B$5)</f>
        <v>104.83800000000001</v>
      </c>
      <c r="R14" s="47" t="str">
        <f>IF(M14="","",M14*'Carbon factors'!$B$5)</f>
        <v/>
      </c>
      <c r="S14" s="267">
        <f t="shared" si="1"/>
        <v>3322.7106070815453</v>
      </c>
      <c r="T14" s="49">
        <f>IFERROR($G14*INDEX('Carbon factors'!$C$4:$C$10,MATCH($H14,Fuel_Type,0),1),"")</f>
        <v>2386.76491416309</v>
      </c>
      <c r="U14" s="47">
        <f>IFERROR($I14*INDEX('Carbon factors'!$C$4:$C$10,MATCH($J14,Fuel_Type,0),1),"")</f>
        <v>469.57532188841202</v>
      </c>
      <c r="V14" s="47">
        <f>IF(K14="","",K14*'Carbon factors'!$C$5)</f>
        <v>125.66855000000001</v>
      </c>
      <c r="W14" s="47">
        <f>IF(L14="","",L14*'Carbon factors'!$C$5)</f>
        <v>47.066000000000003</v>
      </c>
      <c r="X14" s="47" t="str">
        <f>IF(M14="","",M14*'Carbon factors'!$C$5)</f>
        <v/>
      </c>
      <c r="Y14" s="222">
        <f t="shared" si="2"/>
        <v>3029.0747860515016</v>
      </c>
      <c r="Z14" s="61">
        <f t="shared" si="3"/>
        <v>17.713887637728078</v>
      </c>
      <c r="AA14" s="281">
        <v>66.599999999999994</v>
      </c>
      <c r="AB14" s="112">
        <v>10592.69</v>
      </c>
      <c r="AC14" s="113">
        <v>2084.02</v>
      </c>
      <c r="AD14" s="113">
        <v>539.35</v>
      </c>
      <c r="AE14" s="113"/>
      <c r="AF14" s="114"/>
    </row>
    <row r="15" spans="1:35" s="36" customFormat="1" ht="13.5" customHeight="1">
      <c r="A15" s="287" t="str">
        <f>IF(Baseline!A15="","",Baseline!A15)</f>
        <v>B7-A-02-02</v>
      </c>
      <c r="B15" s="141">
        <f>IF(Baseline!B15="","",Baseline!B15)</f>
        <v>90</v>
      </c>
      <c r="C15" s="141">
        <f>IF(Baseline!C15="","",Baseline!C15)</f>
        <v>2</v>
      </c>
      <c r="D15" s="288">
        <f>IF(Baseline!D15="","",Baseline!D15)</f>
        <v>180</v>
      </c>
      <c r="E15" s="88">
        <f t="shared" si="0"/>
        <v>16.388783998569384</v>
      </c>
      <c r="F15" s="109">
        <v>16.39</v>
      </c>
      <c r="G15" s="100">
        <f>2781.05*100/93.2</f>
        <v>2983.9592274678112</v>
      </c>
      <c r="H15" s="100" t="s">
        <v>11</v>
      </c>
      <c r="I15" s="100">
        <f>1996.99*100/93.2</f>
        <v>2142.6931330472103</v>
      </c>
      <c r="J15" s="100" t="s">
        <v>11</v>
      </c>
      <c r="K15" s="100">
        <v>376.41</v>
      </c>
      <c r="L15" s="100">
        <f>284.16+47.78</f>
        <v>331.94000000000005</v>
      </c>
      <c r="M15" s="100"/>
      <c r="N15" s="46">
        <f>IFERROR($G15*INDEX('Carbon factors'!$B$4:$B$10,MATCH($H15,Fuel_Type,0),1),"")</f>
        <v>644.53519313304719</v>
      </c>
      <c r="O15" s="47">
        <f>IFERROR($I15*INDEX('Carbon factors'!$B$4:$B$10,MATCH($J15,Fuel_Type,0),1),"")</f>
        <v>462.82171673819744</v>
      </c>
      <c r="P15" s="47">
        <f>IF(K15="","",K15*'Carbon factors'!$B$5)</f>
        <v>195.35679000000002</v>
      </c>
      <c r="Q15" s="47">
        <f>IF(L15="","",L15*'Carbon factors'!$B$5)</f>
        <v>172.27686000000003</v>
      </c>
      <c r="R15" s="47" t="str">
        <f>IF(M15="","",M15*'Carbon factors'!$B$5)</f>
        <v/>
      </c>
      <c r="S15" s="267">
        <f t="shared" si="1"/>
        <v>1474.9905598712446</v>
      </c>
      <c r="T15" s="49">
        <f>IFERROR($G15*INDEX('Carbon factors'!$C$4:$C$10,MATCH($H15,Fuel_Type,0),1),"")</f>
        <v>626.63143776824029</v>
      </c>
      <c r="U15" s="47">
        <f>IFERROR($I15*INDEX('Carbon factors'!$C$4:$C$10,MATCH($J15,Fuel_Type,0),1),"")</f>
        <v>449.96555793991416</v>
      </c>
      <c r="V15" s="47">
        <f>IF(K15="","",K15*'Carbon factors'!$C$5)</f>
        <v>87.703530000000015</v>
      </c>
      <c r="W15" s="47">
        <f>IF(L15="","",L15*'Carbon factors'!$C$5)</f>
        <v>77.342020000000019</v>
      </c>
      <c r="X15" s="47" t="str">
        <f>IF(M15="","",M15*'Carbon factors'!$C$5)</f>
        <v/>
      </c>
      <c r="Y15" s="222">
        <f t="shared" si="2"/>
        <v>1241.6425457081546</v>
      </c>
      <c r="Z15" s="61">
        <f t="shared" si="3"/>
        <v>13.796028285646162</v>
      </c>
      <c r="AA15" s="281">
        <v>52.8</v>
      </c>
      <c r="AB15" s="112">
        <v>2781.05</v>
      </c>
      <c r="AC15" s="113">
        <v>1996.99</v>
      </c>
      <c r="AD15" s="113">
        <v>376.41</v>
      </c>
      <c r="AE15" s="113"/>
      <c r="AF15" s="114"/>
    </row>
    <row r="16" spans="1:35" s="36" customFormat="1" ht="13.5" customHeight="1">
      <c r="A16" s="287" t="str">
        <f>IF(Baseline!A16="","",Baseline!A16)</f>
        <v>B1-A-03-01</v>
      </c>
      <c r="B16" s="141">
        <f>IF(Baseline!B16="","",Baseline!B16)</f>
        <v>74</v>
      </c>
      <c r="C16" s="141">
        <f>IF(Baseline!C16="","",Baseline!C16)</f>
        <v>1</v>
      </c>
      <c r="D16" s="288">
        <f>IF(Baseline!D16="","",Baseline!D16)</f>
        <v>74</v>
      </c>
      <c r="E16" s="88">
        <f t="shared" si="0"/>
        <v>16.254606147198697</v>
      </c>
      <c r="F16" s="109">
        <v>16.260000000000002</v>
      </c>
      <c r="G16" s="100">
        <f>1959.66*100/93.2</f>
        <v>2102.6394849785406</v>
      </c>
      <c r="H16" s="100" t="s">
        <v>11</v>
      </c>
      <c r="I16" s="100">
        <f>1884.57*100/93.2</f>
        <v>2022.0708154506437</v>
      </c>
      <c r="J16" s="100" t="s">
        <v>11</v>
      </c>
      <c r="K16" s="100">
        <v>325.05</v>
      </c>
      <c r="L16" s="100">
        <f>38.44+178.42</f>
        <v>216.85999999999999</v>
      </c>
      <c r="M16" s="100">
        <v>59.06</v>
      </c>
      <c r="N16" s="46">
        <f>IFERROR($G16*INDEX('Carbon factors'!$B$4:$B$10,MATCH($H16,Fuel_Type,0),1),"")</f>
        <v>454.17012875536477</v>
      </c>
      <c r="O16" s="47">
        <f>IFERROR($I16*INDEX('Carbon factors'!$B$4:$B$10,MATCH($J16,Fuel_Type,0),1),"")</f>
        <v>436.76729613733903</v>
      </c>
      <c r="P16" s="47">
        <f>IF(K16="","",K16*'Carbon factors'!$B$5)</f>
        <v>168.70095000000001</v>
      </c>
      <c r="Q16" s="47">
        <f>IF(L16="","",L16*'Carbon factors'!$B$5)</f>
        <v>112.55033999999999</v>
      </c>
      <c r="R16" s="47">
        <f>IF(M16="","",M16*'Carbon factors'!$B$5)</f>
        <v>30.652140000000003</v>
      </c>
      <c r="S16" s="267">
        <f t="shared" si="1"/>
        <v>1202.8408548927036</v>
      </c>
      <c r="T16" s="49">
        <f>IFERROR($G16*INDEX('Carbon factors'!$C$4:$C$10,MATCH($H16,Fuel_Type,0),1),"")</f>
        <v>441.55429184549354</v>
      </c>
      <c r="U16" s="47">
        <f>IFERROR($I16*INDEX('Carbon factors'!$C$4:$C$10,MATCH($J16,Fuel_Type,0),1),"")</f>
        <v>424.63487124463518</v>
      </c>
      <c r="V16" s="47">
        <f>IF(K16="","",K16*'Carbon factors'!$C$5)</f>
        <v>75.736650000000012</v>
      </c>
      <c r="W16" s="47">
        <f>IF(L16="","",L16*'Carbon factors'!$C$5)</f>
        <v>50.528379999999999</v>
      </c>
      <c r="X16" s="47">
        <f>IF(M16="","",M16*'Carbon factors'!$C$5)</f>
        <v>13.760980000000002</v>
      </c>
      <c r="Y16" s="222">
        <f t="shared" si="2"/>
        <v>1006.2151730901287</v>
      </c>
      <c r="Z16" s="61">
        <f t="shared" si="3"/>
        <v>13.597502339055794</v>
      </c>
      <c r="AA16" s="281">
        <v>45.5</v>
      </c>
      <c r="AB16" s="112">
        <v>1959.66</v>
      </c>
      <c r="AC16" s="113">
        <v>1884.57</v>
      </c>
      <c r="AD16" s="113">
        <v>325.05</v>
      </c>
      <c r="AE16" s="113"/>
      <c r="AF16" s="114">
        <v>59.06</v>
      </c>
    </row>
    <row r="17" spans="1:32" s="36" customFormat="1" ht="13.5" customHeight="1">
      <c r="A17" s="287" t="str">
        <f>IF(Baseline!A17="","",Baseline!A17)</f>
        <v>B7-A-04-02</v>
      </c>
      <c r="B17" s="141">
        <f>IF(Baseline!B17="","",Baseline!B17)</f>
        <v>51</v>
      </c>
      <c r="C17" s="141">
        <f>IF(Baseline!C17="","",Baseline!C17)</f>
        <v>13</v>
      </c>
      <c r="D17" s="288">
        <f>IF(Baseline!D17="","",Baseline!D17)</f>
        <v>663</v>
      </c>
      <c r="E17" s="88">
        <f t="shared" si="0"/>
        <v>15.123351918707396</v>
      </c>
      <c r="F17" s="109">
        <v>15.12</v>
      </c>
      <c r="G17" s="100">
        <f>827.61*100/93.2</f>
        <v>887.9935622317596</v>
      </c>
      <c r="H17" s="100" t="s">
        <v>11</v>
      </c>
      <c r="I17" s="100">
        <f>1641.45*100/93.2</f>
        <v>1761.2124463519312</v>
      </c>
      <c r="J17" s="100" t="s">
        <v>11</v>
      </c>
      <c r="K17" s="100">
        <v>235.9</v>
      </c>
      <c r="L17" s="100">
        <f>24.69+122.96</f>
        <v>147.65</v>
      </c>
      <c r="M17" s="100"/>
      <c r="N17" s="46">
        <f>IFERROR($G17*INDEX('Carbon factors'!$B$4:$B$10,MATCH($H17,Fuel_Type,0),1),"")</f>
        <v>191.80660944206008</v>
      </c>
      <c r="O17" s="47">
        <f>IFERROR($I17*INDEX('Carbon factors'!$B$4:$B$10,MATCH($J17,Fuel_Type,0),1),"")</f>
        <v>380.42188841201715</v>
      </c>
      <c r="P17" s="47">
        <f>IF(K17="","",K17*'Carbon factors'!$B$5)</f>
        <v>122.43210000000001</v>
      </c>
      <c r="Q17" s="47">
        <f>IF(L17="","",L17*'Carbon factors'!$B$5)</f>
        <v>76.630350000000007</v>
      </c>
      <c r="R17" s="47" t="str">
        <f>IF(M17="","",M17*'Carbon factors'!$B$5)</f>
        <v/>
      </c>
      <c r="S17" s="267">
        <f t="shared" si="1"/>
        <v>771.29094785407722</v>
      </c>
      <c r="T17" s="49">
        <f>IFERROR($G17*INDEX('Carbon factors'!$C$4:$C$10,MATCH($H17,Fuel_Type,0),1),"")</f>
        <v>186.47864806866951</v>
      </c>
      <c r="U17" s="47">
        <f>IFERROR($I17*INDEX('Carbon factors'!$C$4:$C$10,MATCH($J17,Fuel_Type,0),1),"")</f>
        <v>369.85461373390552</v>
      </c>
      <c r="V17" s="47">
        <f>IF(K17="","",K17*'Carbon factors'!$C$5)</f>
        <v>54.964700000000008</v>
      </c>
      <c r="W17" s="47">
        <f>IF(L17="","",L17*'Carbon factors'!$C$5)</f>
        <v>34.402450000000002</v>
      </c>
      <c r="X17" s="47" t="str">
        <f>IF(M17="","",M17*'Carbon factors'!$C$5)</f>
        <v/>
      </c>
      <c r="Y17" s="222">
        <f t="shared" si="2"/>
        <v>645.7004118025751</v>
      </c>
      <c r="Z17" s="61">
        <f t="shared" si="3"/>
        <v>12.660792388285786</v>
      </c>
      <c r="AA17" s="281">
        <v>37.1</v>
      </c>
      <c r="AB17" s="112">
        <v>827.61</v>
      </c>
      <c r="AC17" s="113">
        <v>1641.45</v>
      </c>
      <c r="AD17" s="113">
        <v>235.9</v>
      </c>
      <c r="AE17" s="113"/>
      <c r="AF17" s="114"/>
    </row>
    <row r="18" spans="1:32" s="36" customFormat="1" ht="13.5" customHeight="1">
      <c r="A18" s="287" t="str">
        <f>IF(Baseline!A18="","",Baseline!A18)</f>
        <v>B1-A-04-03</v>
      </c>
      <c r="B18" s="141">
        <f>IF(Baseline!B18="","",Baseline!B18)</f>
        <v>73</v>
      </c>
      <c r="C18" s="141">
        <f>IF(Baseline!C18="","",Baseline!C18)</f>
        <v>10</v>
      </c>
      <c r="D18" s="288">
        <f>IF(Baseline!D18="","",Baseline!D18)</f>
        <v>730</v>
      </c>
      <c r="E18" s="88">
        <f t="shared" si="0"/>
        <v>13.419159845375978</v>
      </c>
      <c r="F18" s="109">
        <v>13.42</v>
      </c>
      <c r="G18" s="100">
        <f>993.91*100/93.2</f>
        <v>1066.4270386266094</v>
      </c>
      <c r="H18" s="100" t="s">
        <v>11</v>
      </c>
      <c r="I18" s="100">
        <f>1875.74*100/93.2</f>
        <v>2012.5965665236051</v>
      </c>
      <c r="J18" s="100" t="s">
        <v>11</v>
      </c>
      <c r="K18" s="100">
        <v>321.49</v>
      </c>
      <c r="L18" s="100">
        <f>28.7+176</f>
        <v>204.7</v>
      </c>
      <c r="M18" s="100">
        <v>79.84</v>
      </c>
      <c r="N18" s="46">
        <f>IFERROR($G18*INDEX('Carbon factors'!$B$4:$B$10,MATCH($H18,Fuel_Type,0),1),"")</f>
        <v>230.34824034334761</v>
      </c>
      <c r="O18" s="47">
        <f>IFERROR($I18*INDEX('Carbon factors'!$B$4:$B$10,MATCH($J18,Fuel_Type,0),1),"")</f>
        <v>434.72085836909872</v>
      </c>
      <c r="P18" s="47">
        <f>IF(K18="","",K18*'Carbon factors'!$B$5)</f>
        <v>166.85331000000002</v>
      </c>
      <c r="Q18" s="47">
        <f>IF(L18="","",L18*'Carbon factors'!$B$5)</f>
        <v>106.2393</v>
      </c>
      <c r="R18" s="47">
        <f>IF(M18="","",M18*'Carbon factors'!$B$5)</f>
        <v>41.436960000000006</v>
      </c>
      <c r="S18" s="267">
        <f t="shared" si="1"/>
        <v>979.5986687124464</v>
      </c>
      <c r="T18" s="49">
        <f>IFERROR($G18*INDEX('Carbon factors'!$C$4:$C$10,MATCH($H18,Fuel_Type,0),1),"")</f>
        <v>223.94967811158796</v>
      </c>
      <c r="U18" s="47">
        <f>IFERROR($I18*INDEX('Carbon factors'!$C$4:$C$10,MATCH($J18,Fuel_Type,0),1),"")</f>
        <v>422.64527896995708</v>
      </c>
      <c r="V18" s="47">
        <f>IF(K18="","",K18*'Carbon factors'!$C$5)</f>
        <v>74.907170000000008</v>
      </c>
      <c r="W18" s="47">
        <f>IF(L18="","",L18*'Carbon factors'!$C$5)</f>
        <v>47.695099999999996</v>
      </c>
      <c r="X18" s="47">
        <f>IF(M18="","",M18*'Carbon factors'!$C$5)</f>
        <v>18.602720000000001</v>
      </c>
      <c r="Y18" s="222">
        <f t="shared" si="2"/>
        <v>787.79994708154504</v>
      </c>
      <c r="Z18" s="61">
        <f t="shared" si="3"/>
        <v>10.791780097007466</v>
      </c>
      <c r="AA18" s="281">
        <v>33.700000000000003</v>
      </c>
      <c r="AB18" s="112">
        <v>993.91</v>
      </c>
      <c r="AC18" s="113">
        <v>1875.74</v>
      </c>
      <c r="AD18" s="113">
        <v>321.49</v>
      </c>
      <c r="AE18" s="113"/>
      <c r="AF18" s="114">
        <v>79.84</v>
      </c>
    </row>
    <row r="19" spans="1:32" s="36" customFormat="1" ht="13.5" customHeight="1">
      <c r="A19" s="287" t="str">
        <f>IF(Baseline!A19="","",Baseline!A19)</f>
        <v>B7-A-13-01</v>
      </c>
      <c r="B19" s="141">
        <f>IF(Baseline!B19="","",Baseline!B19)</f>
        <v>95</v>
      </c>
      <c r="C19" s="141">
        <f>IF(Baseline!C19="","",Baseline!C19)</f>
        <v>1</v>
      </c>
      <c r="D19" s="288">
        <f>IF(Baseline!D19="","",Baseline!D19)</f>
        <v>95</v>
      </c>
      <c r="E19" s="88">
        <f t="shared" si="0"/>
        <v>17.005830200587305</v>
      </c>
      <c r="F19" s="109">
        <v>17.010000000000002</v>
      </c>
      <c r="G19" s="100">
        <f>3435.79*100/93.2</f>
        <v>3686.4699570815451</v>
      </c>
      <c r="H19" s="100" t="s">
        <v>11</v>
      </c>
      <c r="I19" s="100">
        <f>2021.49*100/93.2</f>
        <v>2168.980686695279</v>
      </c>
      <c r="J19" s="100" t="s">
        <v>11</v>
      </c>
      <c r="K19" s="100">
        <v>392.25</v>
      </c>
      <c r="L19" s="100">
        <f>54.57+229.05</f>
        <v>283.62</v>
      </c>
      <c r="M19" s="100"/>
      <c r="N19" s="46">
        <f>IFERROR($G19*INDEX('Carbon factors'!$B$4:$B$10,MATCH($H19,Fuel_Type,0),1),"")</f>
        <v>796.27751072961371</v>
      </c>
      <c r="O19" s="47">
        <f>IFERROR($I19*INDEX('Carbon factors'!$B$4:$B$10,MATCH($J19,Fuel_Type,0),1),"")</f>
        <v>468.49982832618025</v>
      </c>
      <c r="P19" s="47">
        <f>IF(K19="","",K19*'Carbon factors'!$B$5)</f>
        <v>203.57775000000001</v>
      </c>
      <c r="Q19" s="47">
        <f>IF(L19="","",L19*'Carbon factors'!$B$5)</f>
        <v>147.19878</v>
      </c>
      <c r="R19" s="47" t="str">
        <f>IF(M19="","",M19*'Carbon factors'!$B$5)</f>
        <v/>
      </c>
      <c r="S19" s="267">
        <f t="shared" si="1"/>
        <v>1615.5538690557939</v>
      </c>
      <c r="T19" s="49">
        <f>IFERROR($G19*INDEX('Carbon factors'!$C$4:$C$10,MATCH($H19,Fuel_Type,0),1),"")</f>
        <v>774.15869098712449</v>
      </c>
      <c r="U19" s="47">
        <f>IFERROR($I19*INDEX('Carbon factors'!$C$4:$C$10,MATCH($J19,Fuel_Type,0),1),"")</f>
        <v>455.48594420600858</v>
      </c>
      <c r="V19" s="47">
        <f>IF(K19="","",K19*'Carbon factors'!$C$5)</f>
        <v>91.39425</v>
      </c>
      <c r="W19" s="47">
        <f>IF(L19="","",L19*'Carbon factors'!$C$5)</f>
        <v>66.083460000000002</v>
      </c>
      <c r="X19" s="47" t="str">
        <f>IF(M19="","",M19*'Carbon factors'!$C$5)</f>
        <v/>
      </c>
      <c r="Y19" s="222">
        <f t="shared" si="2"/>
        <v>1387.1223451931332</v>
      </c>
      <c r="Z19" s="61">
        <f t="shared" si="3"/>
        <v>14.601287844138245</v>
      </c>
      <c r="AA19" s="281">
        <v>53.5</v>
      </c>
      <c r="AB19" s="112">
        <v>3435.79</v>
      </c>
      <c r="AC19" s="113">
        <v>2021.49</v>
      </c>
      <c r="AD19" s="113">
        <v>392.25</v>
      </c>
      <c r="AE19" s="113"/>
      <c r="AF19" s="114"/>
    </row>
    <row r="20" spans="1:32" s="36" customFormat="1" ht="13.5" customHeight="1">
      <c r="A20" s="287" t="str">
        <f>IF(Baseline!A20="","",Baseline!A20)</f>
        <v>B5-B-02-03</v>
      </c>
      <c r="B20" s="141">
        <f>IF(Baseline!B20="","",Baseline!B20)</f>
        <v>53</v>
      </c>
      <c r="C20" s="141">
        <f>IF(Baseline!C20="","",Baseline!C20)</f>
        <v>4</v>
      </c>
      <c r="D20" s="288">
        <f>IF(Baseline!D20="","",Baseline!D20)</f>
        <v>212</v>
      </c>
      <c r="E20" s="88">
        <f t="shared" si="0"/>
        <v>15.35149441088347</v>
      </c>
      <c r="F20" s="109">
        <v>15.35</v>
      </c>
      <c r="G20" s="100">
        <f>936.33*100/93.2</f>
        <v>1004.6459227467811</v>
      </c>
      <c r="H20" s="100" t="s">
        <v>11</v>
      </c>
      <c r="I20" s="100">
        <f>1664.6*100/93.2</f>
        <v>1786.0515021459228</v>
      </c>
      <c r="J20" s="100" t="s">
        <v>11</v>
      </c>
      <c r="K20" s="100">
        <v>252.45</v>
      </c>
      <c r="L20" s="100">
        <f>26.01+127.78</f>
        <v>153.79</v>
      </c>
      <c r="M20" s="100"/>
      <c r="N20" s="46">
        <f>IFERROR($G20*INDEX('Carbon factors'!$B$4:$B$10,MATCH($H20,Fuel_Type,0),1),"")</f>
        <v>217.00351931330474</v>
      </c>
      <c r="O20" s="47">
        <f>IFERROR($I20*INDEX('Carbon factors'!$B$4:$B$10,MATCH($J20,Fuel_Type,0),1),"")</f>
        <v>385.78712446351932</v>
      </c>
      <c r="P20" s="47">
        <f>IF(K20="","",K20*'Carbon factors'!$B$5)</f>
        <v>131.02154999999999</v>
      </c>
      <c r="Q20" s="47">
        <f>IF(L20="","",L20*'Carbon factors'!$B$5)</f>
        <v>79.817009999999996</v>
      </c>
      <c r="R20" s="47" t="str">
        <f>IF(M20="","",M20*'Carbon factors'!$B$5)</f>
        <v/>
      </c>
      <c r="S20" s="267">
        <f t="shared" si="1"/>
        <v>813.62920377682394</v>
      </c>
      <c r="T20" s="49">
        <f>IFERROR($G20*INDEX('Carbon factors'!$C$4:$C$10,MATCH($H20,Fuel_Type,0),1),"")</f>
        <v>210.97564377682403</v>
      </c>
      <c r="U20" s="47">
        <f>IFERROR($I20*INDEX('Carbon factors'!$C$4:$C$10,MATCH($J20,Fuel_Type,0),1),"")</f>
        <v>375.07081545064375</v>
      </c>
      <c r="V20" s="47">
        <f>IF(K20="","",K20*'Carbon factors'!$C$5)</f>
        <v>58.82085</v>
      </c>
      <c r="W20" s="47">
        <f>IF(L20="","",L20*'Carbon factors'!$C$5)</f>
        <v>35.833069999999999</v>
      </c>
      <c r="X20" s="47" t="str">
        <f>IF(M20="","",M20*'Carbon factors'!$C$5)</f>
        <v/>
      </c>
      <c r="Y20" s="222">
        <f t="shared" si="2"/>
        <v>680.70037922746769</v>
      </c>
      <c r="Z20" s="61">
        <f t="shared" si="3"/>
        <v>12.843403381650333</v>
      </c>
      <c r="AA20" s="281">
        <v>38.6</v>
      </c>
      <c r="AB20" s="112">
        <v>936.33</v>
      </c>
      <c r="AC20" s="113">
        <v>1664.6</v>
      </c>
      <c r="AD20" s="113">
        <v>252.45</v>
      </c>
      <c r="AE20" s="113"/>
      <c r="AF20" s="114"/>
    </row>
    <row r="21" spans="1:32" s="36" customFormat="1" ht="13.5" customHeight="1">
      <c r="A21" s="287" t="str">
        <f>IF(Baseline!A21="","",Baseline!A21)</f>
        <v>B5-B-02-05</v>
      </c>
      <c r="B21" s="141">
        <f>IF(Baseline!B21="","",Baseline!B21)</f>
        <v>50</v>
      </c>
      <c r="C21" s="141">
        <f>IF(Baseline!C21="","",Baseline!C21)</f>
        <v>1</v>
      </c>
      <c r="D21" s="288">
        <f>IF(Baseline!D21="","",Baseline!D21)</f>
        <v>50</v>
      </c>
      <c r="E21" s="88">
        <f t="shared" si="0"/>
        <v>16.615897158798283</v>
      </c>
      <c r="F21" s="109">
        <v>16.62</v>
      </c>
      <c r="G21" s="100">
        <f>1104.54*100/93.2</f>
        <v>1185.1287553648069</v>
      </c>
      <c r="H21" s="100" t="s">
        <v>11</v>
      </c>
      <c r="I21" s="100">
        <f>1629.89*100/93.2</f>
        <v>1748.8090128755364</v>
      </c>
      <c r="J21" s="100" t="s">
        <v>11</v>
      </c>
      <c r="K21" s="100">
        <v>231.81</v>
      </c>
      <c r="L21" s="100">
        <f>27.34+120.55</f>
        <v>147.88999999999999</v>
      </c>
      <c r="M21" s="100"/>
      <c r="N21" s="46">
        <f>IFERROR($G21*INDEX('Carbon factors'!$B$4:$B$10,MATCH($H21,Fuel_Type,0),1),"")</f>
        <v>255.98781115879828</v>
      </c>
      <c r="O21" s="47">
        <f>IFERROR($I21*INDEX('Carbon factors'!$B$4:$B$10,MATCH($J21,Fuel_Type,0),1),"")</f>
        <v>377.74274678111584</v>
      </c>
      <c r="P21" s="47">
        <f>IF(K21="","",K21*'Carbon factors'!$B$5)</f>
        <v>120.30939000000001</v>
      </c>
      <c r="Q21" s="47">
        <f>IF(L21="","",L21*'Carbon factors'!$B$5)</f>
        <v>76.754909999999995</v>
      </c>
      <c r="R21" s="47" t="str">
        <f>IF(M21="","",M21*'Carbon factors'!$B$5)</f>
        <v/>
      </c>
      <c r="S21" s="267">
        <f t="shared" si="1"/>
        <v>830.7948579399141</v>
      </c>
      <c r="T21" s="49">
        <f>IFERROR($G21*INDEX('Carbon factors'!$C$4:$C$10,MATCH($H21,Fuel_Type,0),1),"")</f>
        <v>248.87703862660945</v>
      </c>
      <c r="U21" s="47">
        <f>IFERROR($I21*INDEX('Carbon factors'!$C$4:$C$10,MATCH($J21,Fuel_Type,0),1),"")</f>
        <v>367.2498927038626</v>
      </c>
      <c r="V21" s="47">
        <f>IF(K21="","",K21*'Carbon factors'!$C$5)</f>
        <v>54.01173</v>
      </c>
      <c r="W21" s="47">
        <f>IF(L21="","",L21*'Carbon factors'!$C$5)</f>
        <v>34.458370000000002</v>
      </c>
      <c r="X21" s="47" t="str">
        <f>IF(M21="","",M21*'Carbon factors'!$C$5)</f>
        <v/>
      </c>
      <c r="Y21" s="222">
        <f t="shared" si="2"/>
        <v>704.59703133047219</v>
      </c>
      <c r="Z21" s="61">
        <f t="shared" si="3"/>
        <v>14.091940626609444</v>
      </c>
      <c r="AA21" s="281">
        <v>42.8</v>
      </c>
      <c r="AB21" s="112">
        <v>1104.54</v>
      </c>
      <c r="AC21" s="113">
        <v>1629.89</v>
      </c>
      <c r="AD21" s="113">
        <v>231.81</v>
      </c>
      <c r="AE21" s="113"/>
      <c r="AF21" s="114"/>
    </row>
    <row r="22" spans="1:32" s="36" customFormat="1" ht="13.5" customHeight="1">
      <c r="A22" s="287" t="str">
        <f>IF(Baseline!A22="","",Baseline!A22)</f>
        <v>B5-B-02-08</v>
      </c>
      <c r="B22" s="141">
        <f>IF(Baseline!B22="","",Baseline!B22)</f>
        <v>57</v>
      </c>
      <c r="C22" s="141">
        <f>IF(Baseline!C22="","",Baseline!C22)</f>
        <v>2</v>
      </c>
      <c r="D22" s="288">
        <f>IF(Baseline!D22="","",Baseline!D22)</f>
        <v>114</v>
      </c>
      <c r="E22" s="88">
        <f t="shared" si="0"/>
        <v>17.155598942850688</v>
      </c>
      <c r="F22" s="109">
        <v>17.16</v>
      </c>
      <c r="G22" s="100">
        <f>1545.21*100/93.2</f>
        <v>1657.9506437768239</v>
      </c>
      <c r="H22" s="100" t="s">
        <v>11</v>
      </c>
      <c r="I22" s="100">
        <f>1710.55*100/93.2</f>
        <v>1835.3540772532187</v>
      </c>
      <c r="J22" s="100" t="s">
        <v>11</v>
      </c>
      <c r="K22" s="100">
        <v>260.29000000000002</v>
      </c>
      <c r="L22" s="100">
        <f>32.56+137.43</f>
        <v>169.99</v>
      </c>
      <c r="M22" s="100"/>
      <c r="N22" s="46">
        <f>IFERROR($G22*INDEX('Carbon factors'!$B$4:$B$10,MATCH($H22,Fuel_Type,0),1),"")</f>
        <v>358.11733905579393</v>
      </c>
      <c r="O22" s="47">
        <f>IFERROR($I22*INDEX('Carbon factors'!$B$4:$B$10,MATCH($J22,Fuel_Type,0),1),"")</f>
        <v>396.43648068669523</v>
      </c>
      <c r="P22" s="47">
        <f>IF(K22="","",K22*'Carbon factors'!$B$5)</f>
        <v>135.09051000000002</v>
      </c>
      <c r="Q22" s="47">
        <f>IF(L22="","",L22*'Carbon factors'!$B$5)</f>
        <v>88.224810000000005</v>
      </c>
      <c r="R22" s="47" t="str">
        <f>IF(M22="","",M22*'Carbon factors'!$B$5)</f>
        <v/>
      </c>
      <c r="S22" s="267">
        <f t="shared" si="1"/>
        <v>977.86913974248921</v>
      </c>
      <c r="T22" s="49">
        <f>IFERROR($G22*INDEX('Carbon factors'!$C$4:$C$10,MATCH($H22,Fuel_Type,0),1),"")</f>
        <v>348.16963519313299</v>
      </c>
      <c r="U22" s="47">
        <f>IFERROR($I22*INDEX('Carbon factors'!$C$4:$C$10,MATCH($J22,Fuel_Type,0),1),"")</f>
        <v>385.42435622317595</v>
      </c>
      <c r="V22" s="47">
        <f>IF(K22="","",K22*'Carbon factors'!$C$5)</f>
        <v>60.647570000000009</v>
      </c>
      <c r="W22" s="47">
        <f>IF(L22="","",L22*'Carbon factors'!$C$5)</f>
        <v>39.607670000000006</v>
      </c>
      <c r="X22" s="47" t="str">
        <f>IF(M22="","",M22*'Carbon factors'!$C$5)</f>
        <v/>
      </c>
      <c r="Y22" s="222">
        <f t="shared" si="2"/>
        <v>833.84923141630884</v>
      </c>
      <c r="Z22" s="61">
        <f t="shared" si="3"/>
        <v>14.628933884496647</v>
      </c>
      <c r="AA22" s="281">
        <v>47.4</v>
      </c>
      <c r="AB22" s="112">
        <v>1545.21</v>
      </c>
      <c r="AC22" s="113">
        <v>1710.55</v>
      </c>
      <c r="AD22" s="113">
        <v>260.29000000000002</v>
      </c>
      <c r="AE22" s="113"/>
      <c r="AF22" s="114"/>
    </row>
    <row r="23" spans="1:32" s="36" customFormat="1" ht="13.5" customHeight="1">
      <c r="A23" s="287" t="str">
        <f>IF(Baseline!A23="","",Baseline!A23)</f>
        <v>B5-02-H4</v>
      </c>
      <c r="B23" s="141">
        <f>IF(Baseline!B23="","",Baseline!B23)</f>
        <v>124</v>
      </c>
      <c r="C23" s="141">
        <f>IF(Baseline!C23="","",Baseline!C23)</f>
        <v>4</v>
      </c>
      <c r="D23" s="288">
        <f>IF(Baseline!D23="","",Baseline!D23)</f>
        <v>496</v>
      </c>
      <c r="E23" s="88">
        <f t="shared" si="0"/>
        <v>16.806004483594073</v>
      </c>
      <c r="F23" s="109">
        <v>16.809999999999999</v>
      </c>
      <c r="G23" s="100">
        <f>5577*100/93.2</f>
        <v>5983.9055793991411</v>
      </c>
      <c r="H23" s="100" t="s">
        <v>11</v>
      </c>
      <c r="I23" s="100">
        <f>2095.79*100/93.2</f>
        <v>2248.7017167381973</v>
      </c>
      <c r="J23" s="100" t="s">
        <v>11</v>
      </c>
      <c r="K23" s="100">
        <v>457.11</v>
      </c>
      <c r="L23" s="100">
        <f>76.73+55.18</f>
        <v>131.91</v>
      </c>
      <c r="M23" s="100"/>
      <c r="N23" s="46">
        <f>IFERROR($G23*INDEX('Carbon factors'!$B$4:$B$10,MATCH($H23,Fuel_Type,0),1),"")</f>
        <v>1292.5236051502145</v>
      </c>
      <c r="O23" s="47">
        <f>IFERROR($I23*INDEX('Carbon factors'!$B$4:$B$10,MATCH($J23,Fuel_Type,0),1),"")</f>
        <v>485.7195708154506</v>
      </c>
      <c r="P23" s="47">
        <f>IF(K23="","",K23*'Carbon factors'!$B$5)</f>
        <v>237.24009000000001</v>
      </c>
      <c r="Q23" s="47">
        <f>IF(L23="","",L23*'Carbon factors'!$B$5)</f>
        <v>68.461290000000005</v>
      </c>
      <c r="R23" s="47" t="str">
        <f>IF(M23="","",M23*'Carbon factors'!$B$5)</f>
        <v/>
      </c>
      <c r="S23" s="267">
        <f t="shared" si="1"/>
        <v>2083.9445559656651</v>
      </c>
      <c r="T23" s="49">
        <f>IFERROR($G23*INDEX('Carbon factors'!$C$4:$C$10,MATCH($H23,Fuel_Type,0),1),"")</f>
        <v>1256.6201716738196</v>
      </c>
      <c r="U23" s="47">
        <f>IFERROR($I23*INDEX('Carbon factors'!$C$4:$C$10,MATCH($J23,Fuel_Type,0),1),"")</f>
        <v>472.22736051502142</v>
      </c>
      <c r="V23" s="47">
        <f>IF(K23="","",K23*'Carbon factors'!$C$5)</f>
        <v>106.50663000000002</v>
      </c>
      <c r="W23" s="47">
        <f>IF(L23="","",L23*'Carbon factors'!$C$5)</f>
        <v>30.735030000000002</v>
      </c>
      <c r="X23" s="47" t="str">
        <f>IF(M23="","",M23*'Carbon factors'!$C$5)</f>
        <v/>
      </c>
      <c r="Y23" s="222">
        <f t="shared" si="2"/>
        <v>1866.0891921888413</v>
      </c>
      <c r="Z23" s="61">
        <f t="shared" si="3"/>
        <v>15.049106388619688</v>
      </c>
      <c r="AA23" s="281">
        <v>50.6</v>
      </c>
      <c r="AB23" s="112">
        <v>5577</v>
      </c>
      <c r="AC23" s="113">
        <v>2095.79</v>
      </c>
      <c r="AD23" s="113">
        <v>457.11</v>
      </c>
      <c r="AE23" s="113"/>
      <c r="AF23" s="114"/>
    </row>
    <row r="24" spans="1:32" s="36" customFormat="1" ht="13.5" customHeight="1">
      <c r="A24" s="287" t="str">
        <f>IF(Baseline!A24="","",Baseline!A24)</f>
        <v>B5-B-03-08</v>
      </c>
      <c r="B24" s="141">
        <f>IF(Baseline!B24="","",Baseline!B24)</f>
        <v>71</v>
      </c>
      <c r="C24" s="141">
        <f>IF(Baseline!C24="","",Baseline!C24)</f>
        <v>18</v>
      </c>
      <c r="D24" s="288">
        <f>IF(Baseline!D24="","",Baseline!D24)</f>
        <v>1278</v>
      </c>
      <c r="E24" s="88">
        <f t="shared" si="0"/>
        <v>11.65649936710391</v>
      </c>
      <c r="F24" s="109">
        <v>11.66</v>
      </c>
      <c r="G24" s="100">
        <f>564.95*100/93.2</f>
        <v>606.16952789699576</v>
      </c>
      <c r="H24" s="100" t="s">
        <v>11</v>
      </c>
      <c r="I24" s="100">
        <f>1857.48*100/93.2</f>
        <v>1993.0042918454935</v>
      </c>
      <c r="J24" s="100" t="s">
        <v>11</v>
      </c>
      <c r="K24" s="100">
        <v>317.51</v>
      </c>
      <c r="L24" s="100">
        <f>24.2+171.18</f>
        <v>195.38</v>
      </c>
      <c r="M24" s="100"/>
      <c r="N24" s="46">
        <f>IFERROR($G24*INDEX('Carbon factors'!$B$4:$B$10,MATCH($H24,Fuel_Type,0),1),"")</f>
        <v>130.93261802575108</v>
      </c>
      <c r="O24" s="47">
        <f>IFERROR($I24*INDEX('Carbon factors'!$B$4:$B$10,MATCH($J24,Fuel_Type,0),1),"")</f>
        <v>430.48892703862657</v>
      </c>
      <c r="P24" s="47">
        <f>IF(K24="","",K24*'Carbon factors'!$B$5)</f>
        <v>164.78769</v>
      </c>
      <c r="Q24" s="47">
        <f>IF(L24="","",L24*'Carbon factors'!$B$5)</f>
        <v>101.40222</v>
      </c>
      <c r="R24" s="47" t="str">
        <f>IF(M24="","",M24*'Carbon factors'!$B$5)</f>
        <v/>
      </c>
      <c r="S24" s="267">
        <f t="shared" si="1"/>
        <v>827.61145506437765</v>
      </c>
      <c r="T24" s="49">
        <f>IFERROR($G24*INDEX('Carbon factors'!$C$4:$C$10,MATCH($H24,Fuel_Type,0),1),"")</f>
        <v>127.2956008583691</v>
      </c>
      <c r="U24" s="47">
        <f>IFERROR($I24*INDEX('Carbon factors'!$C$4:$C$10,MATCH($J24,Fuel_Type,0),1),"")</f>
        <v>418.5309012875536</v>
      </c>
      <c r="V24" s="47">
        <f>IF(K24="","",K24*'Carbon factors'!$C$5)</f>
        <v>73.979830000000007</v>
      </c>
      <c r="W24" s="47">
        <f>IF(L24="","",L24*'Carbon factors'!$C$5)</f>
        <v>45.523540000000004</v>
      </c>
      <c r="X24" s="47" t="str">
        <f>IF(M24="","",M24*'Carbon factors'!$C$5)</f>
        <v/>
      </c>
      <c r="Y24" s="222">
        <f t="shared" si="2"/>
        <v>665.32987214592276</v>
      </c>
      <c r="Z24" s="61">
        <f t="shared" si="3"/>
        <v>9.3708432696608845</v>
      </c>
      <c r="AA24" s="281">
        <v>27.8</v>
      </c>
      <c r="AB24" s="112">
        <v>564.95000000000005</v>
      </c>
      <c r="AC24" s="113">
        <v>1857.48</v>
      </c>
      <c r="AD24" s="113">
        <v>317.51</v>
      </c>
      <c r="AE24" s="113"/>
      <c r="AF24" s="114"/>
    </row>
    <row r="25" spans="1:32" s="36" customFormat="1" ht="13.5" customHeight="1">
      <c r="A25" s="287" t="str">
        <f>IF(Baseline!A25="","",Baseline!A25)</f>
        <v>B5-A-11-01</v>
      </c>
      <c r="B25" s="141">
        <f>IF(Baseline!B25="","",Baseline!B25)</f>
        <v>53</v>
      </c>
      <c r="C25" s="141">
        <f>IF(Baseline!C25="","",Baseline!C25)</f>
        <v>9</v>
      </c>
      <c r="D25" s="288">
        <f>IF(Baseline!D25="","",Baseline!D25)</f>
        <v>477</v>
      </c>
      <c r="E25" s="88">
        <f t="shared" si="0"/>
        <v>13.840314240019435</v>
      </c>
      <c r="F25" s="109">
        <v>13.84</v>
      </c>
      <c r="G25" s="100">
        <f>616.7*100/93.2</f>
        <v>661.69527896995714</v>
      </c>
      <c r="H25" s="100" t="s">
        <v>11</v>
      </c>
      <c r="I25" s="100">
        <f>1664.6*100/93.2</f>
        <v>1786.0515021459228</v>
      </c>
      <c r="J25" s="100" t="s">
        <v>11</v>
      </c>
      <c r="K25" s="100">
        <v>244.06</v>
      </c>
      <c r="L25" s="100">
        <f>22.81+127.78</f>
        <v>150.59</v>
      </c>
      <c r="M25" s="100"/>
      <c r="N25" s="46">
        <f>IFERROR($G25*INDEX('Carbon factors'!$B$4:$B$10,MATCH($H25,Fuel_Type,0),1),"")</f>
        <v>142.92618025751074</v>
      </c>
      <c r="O25" s="47">
        <f>IFERROR($I25*INDEX('Carbon factors'!$B$4:$B$10,MATCH($J25,Fuel_Type,0),1),"")</f>
        <v>385.78712446351932</v>
      </c>
      <c r="P25" s="47">
        <f>IF(K25="","",K25*'Carbon factors'!$B$5)</f>
        <v>126.66714</v>
      </c>
      <c r="Q25" s="47">
        <f>IF(L25="","",L25*'Carbon factors'!$B$5)</f>
        <v>78.156210000000002</v>
      </c>
      <c r="R25" s="47" t="str">
        <f>IF(M25="","",M25*'Carbon factors'!$B$5)</f>
        <v/>
      </c>
      <c r="S25" s="267">
        <f t="shared" si="1"/>
        <v>733.53665472103</v>
      </c>
      <c r="T25" s="49">
        <f>IFERROR($G25*INDEX('Carbon factors'!$C$4:$C$10,MATCH($H25,Fuel_Type,0),1),"")</f>
        <v>138.95600858369099</v>
      </c>
      <c r="U25" s="47">
        <f>IFERROR($I25*INDEX('Carbon factors'!$C$4:$C$10,MATCH($J25,Fuel_Type,0),1),"")</f>
        <v>375.07081545064375</v>
      </c>
      <c r="V25" s="47">
        <f>IF(K25="","",K25*'Carbon factors'!$C$5)</f>
        <v>56.86598</v>
      </c>
      <c r="W25" s="47">
        <f>IF(L25="","",L25*'Carbon factors'!$C$5)</f>
        <v>35.087470000000003</v>
      </c>
      <c r="X25" s="47" t="str">
        <f>IF(M25="","",M25*'Carbon factors'!$C$5)</f>
        <v/>
      </c>
      <c r="Y25" s="222">
        <f t="shared" si="2"/>
        <v>605.9802740343348</v>
      </c>
      <c r="Z25" s="61">
        <f t="shared" si="3"/>
        <v>11.433590076119524</v>
      </c>
      <c r="AA25" s="281">
        <v>31.2</v>
      </c>
      <c r="AB25" s="112">
        <v>616.70000000000005</v>
      </c>
      <c r="AC25" s="113">
        <v>1664.6</v>
      </c>
      <c r="AD25" s="113">
        <v>244.06</v>
      </c>
      <c r="AE25" s="113"/>
      <c r="AF25" s="114"/>
    </row>
    <row r="26" spans="1:32" s="36" customFormat="1" ht="13.5" customHeight="1">
      <c r="A26" s="287" t="str">
        <f>IF(Baseline!A26="","",Baseline!A26)</f>
        <v>B5-A-11-02</v>
      </c>
      <c r="B26" s="141">
        <f>IF(Baseline!B26="","",Baseline!B26)</f>
        <v>51</v>
      </c>
      <c r="C26" s="141">
        <f>IF(Baseline!C26="","",Baseline!C26)</f>
        <v>29</v>
      </c>
      <c r="D26" s="288">
        <f>IF(Baseline!D26="","",Baseline!D26)</f>
        <v>1479</v>
      </c>
      <c r="E26" s="88">
        <f t="shared" si="0"/>
        <v>12.227368457460239</v>
      </c>
      <c r="F26" s="109">
        <v>12.23</v>
      </c>
      <c r="G26" s="100">
        <f>187.22*100/93.2</f>
        <v>200.87982832618025</v>
      </c>
      <c r="H26" s="100" t="s">
        <v>11</v>
      </c>
      <c r="I26" s="100">
        <f>1641.45*100/93.2</f>
        <v>1761.2124463519312</v>
      </c>
      <c r="J26" s="100" t="s">
        <v>11</v>
      </c>
      <c r="K26" s="100">
        <v>243.69</v>
      </c>
      <c r="L26" s="100">
        <f>18.29+122.96</f>
        <v>141.25</v>
      </c>
      <c r="M26" s="100"/>
      <c r="N26" s="46">
        <f>IFERROR($G26*INDEX('Carbon factors'!$B$4:$B$10,MATCH($H26,Fuel_Type,0),1),"")</f>
        <v>43.390042918454931</v>
      </c>
      <c r="O26" s="47">
        <f>IFERROR($I26*INDEX('Carbon factors'!$B$4:$B$10,MATCH($J26,Fuel_Type,0),1),"")</f>
        <v>380.42188841201715</v>
      </c>
      <c r="P26" s="47">
        <f>IF(K26="","",K26*'Carbon factors'!$B$5)</f>
        <v>126.47511</v>
      </c>
      <c r="Q26" s="47">
        <f>IF(L26="","",L26*'Carbon factors'!$B$5)</f>
        <v>73.308750000000003</v>
      </c>
      <c r="R26" s="47" t="str">
        <f>IF(M26="","",M26*'Carbon factors'!$B$5)</f>
        <v/>
      </c>
      <c r="S26" s="267">
        <f t="shared" si="1"/>
        <v>623.59579133047214</v>
      </c>
      <c r="T26" s="49">
        <f>IFERROR($G26*INDEX('Carbon factors'!$C$4:$C$10,MATCH($H26,Fuel_Type,0),1),"")</f>
        <v>42.184763948497853</v>
      </c>
      <c r="U26" s="47">
        <f>IFERROR($I26*INDEX('Carbon factors'!$C$4:$C$10,MATCH($J26,Fuel_Type,0),1),"")</f>
        <v>369.85461373390552</v>
      </c>
      <c r="V26" s="47">
        <f>IF(K26="","",K26*'Carbon factors'!$C$5)</f>
        <v>56.779769999999999</v>
      </c>
      <c r="W26" s="47">
        <f>IF(L26="","",L26*'Carbon factors'!$C$5)</f>
        <v>32.911250000000003</v>
      </c>
      <c r="X26" s="47" t="str">
        <f>IF(M26="","",M26*'Carbon factors'!$C$5)</f>
        <v/>
      </c>
      <c r="Y26" s="222">
        <f t="shared" si="2"/>
        <v>501.73039768240335</v>
      </c>
      <c r="Z26" s="61">
        <f t="shared" si="3"/>
        <v>9.8378509349490848</v>
      </c>
      <c r="AA26" s="281">
        <v>22.4</v>
      </c>
      <c r="AB26" s="112">
        <v>187.22</v>
      </c>
      <c r="AC26" s="113">
        <v>1641.45</v>
      </c>
      <c r="AD26" s="113">
        <v>243.69</v>
      </c>
      <c r="AE26" s="113"/>
      <c r="AF26" s="114"/>
    </row>
    <row r="27" spans="1:32" s="36" customFormat="1" ht="13.5" customHeight="1">
      <c r="A27" s="287" t="str">
        <f>IF(Baseline!A27="","",Baseline!A27)</f>
        <v>B5-A-13-01</v>
      </c>
      <c r="B27" s="141">
        <f>IF(Baseline!B27="","",Baseline!B27)</f>
        <v>57</v>
      </c>
      <c r="C27" s="141">
        <f>IF(Baseline!C27="","",Baseline!C27)</f>
        <v>2</v>
      </c>
      <c r="D27" s="288">
        <f>IF(Baseline!D27="","",Baseline!D27)</f>
        <v>114</v>
      </c>
      <c r="E27" s="88">
        <f t="shared" si="0"/>
        <v>15.772818511407273</v>
      </c>
      <c r="F27" s="109">
        <v>15.77</v>
      </c>
      <c r="G27" s="100">
        <f>1212.58*100/93.2</f>
        <v>1301.0515021459228</v>
      </c>
      <c r="H27" s="100" t="s">
        <v>11</v>
      </c>
      <c r="I27" s="100">
        <f>1710.55*100/93.2</f>
        <v>1835.3540772532187</v>
      </c>
      <c r="J27" s="100" t="s">
        <v>11</v>
      </c>
      <c r="K27" s="100">
        <v>260.29000000000002</v>
      </c>
      <c r="L27" s="100">
        <f>29.23+137.43</f>
        <v>166.66</v>
      </c>
      <c r="M27" s="100"/>
      <c r="N27" s="46">
        <f>IFERROR($G27*INDEX('Carbon factors'!$B$4:$B$10,MATCH($H27,Fuel_Type,0),1),"")</f>
        <v>281.02712446351933</v>
      </c>
      <c r="O27" s="47">
        <f>IFERROR($I27*INDEX('Carbon factors'!$B$4:$B$10,MATCH($J27,Fuel_Type,0),1),"")</f>
        <v>396.43648068669523</v>
      </c>
      <c r="P27" s="47">
        <f>IF(K27="","",K27*'Carbon factors'!$B$5)</f>
        <v>135.09051000000002</v>
      </c>
      <c r="Q27" s="47">
        <f>IF(L27="","",L27*'Carbon factors'!$B$5)</f>
        <v>86.496539999999996</v>
      </c>
      <c r="R27" s="47" t="str">
        <f>IF(M27="","",M27*'Carbon factors'!$B$5)</f>
        <v/>
      </c>
      <c r="S27" s="267">
        <f t="shared" si="1"/>
        <v>899.05065515021454</v>
      </c>
      <c r="T27" s="49">
        <f>IFERROR($G27*INDEX('Carbon factors'!$C$4:$C$10,MATCH($H27,Fuel_Type,0),1),"")</f>
        <v>273.22081545064378</v>
      </c>
      <c r="U27" s="47">
        <f>IFERROR($I27*INDEX('Carbon factors'!$C$4:$C$10,MATCH($J27,Fuel_Type,0),1),"")</f>
        <v>385.42435622317595</v>
      </c>
      <c r="V27" s="47">
        <f>IF(K27="","",K27*'Carbon factors'!$C$5)</f>
        <v>60.647570000000009</v>
      </c>
      <c r="W27" s="47">
        <f>IF(L27="","",L27*'Carbon factors'!$C$5)</f>
        <v>38.831780000000002</v>
      </c>
      <c r="X27" s="47" t="str">
        <f>IF(M27="","",M27*'Carbon factors'!$C$5)</f>
        <v/>
      </c>
      <c r="Y27" s="222">
        <f t="shared" si="2"/>
        <v>758.12452167381969</v>
      </c>
      <c r="Z27" s="61">
        <f t="shared" si="3"/>
        <v>13.300430204803854</v>
      </c>
      <c r="AA27" s="281">
        <v>41.1</v>
      </c>
      <c r="AB27" s="112">
        <v>1212.58</v>
      </c>
      <c r="AC27" s="113">
        <v>1710.55</v>
      </c>
      <c r="AD27" s="113">
        <v>260.29000000000002</v>
      </c>
      <c r="AE27" s="113"/>
      <c r="AF27" s="114"/>
    </row>
    <row r="28" spans="1:32" s="36" customFormat="1" ht="13.5" customHeight="1">
      <c r="A28" s="287" t="str">
        <f>IF(Baseline!A28="","",Baseline!A28)</f>
        <v>B5-A-13-05</v>
      </c>
      <c r="B28" s="141">
        <f>IF(Baseline!B28="","",Baseline!B28)</f>
        <v>53</v>
      </c>
      <c r="C28" s="141">
        <f>IF(Baseline!C28="","",Baseline!C28)</f>
        <v>2</v>
      </c>
      <c r="D28" s="288">
        <f>IF(Baseline!D28="","",Baseline!D28)</f>
        <v>106</v>
      </c>
      <c r="E28" s="88">
        <f t="shared" si="0"/>
        <v>18.829144535589926</v>
      </c>
      <c r="F28" s="109">
        <v>18.829999999999998</v>
      </c>
      <c r="G28" s="100">
        <f>1732.58*100/93.2</f>
        <v>1858.9914163090127</v>
      </c>
      <c r="H28" s="100" t="s">
        <v>11</v>
      </c>
      <c r="I28" s="100">
        <f>1664.6*100/93.2</f>
        <v>1786.0515021459228</v>
      </c>
      <c r="J28" s="100" t="s">
        <v>11</v>
      </c>
      <c r="K28" s="100">
        <v>244.06</v>
      </c>
      <c r="L28" s="100">
        <f>33.97+127.78</f>
        <v>161.75</v>
      </c>
      <c r="M28" s="100"/>
      <c r="N28" s="46">
        <f>IFERROR($G28*INDEX('Carbon factors'!$B$4:$B$10,MATCH($H28,Fuel_Type,0),1),"")</f>
        <v>401.54214592274673</v>
      </c>
      <c r="O28" s="47">
        <f>IFERROR($I28*INDEX('Carbon factors'!$B$4:$B$10,MATCH($J28,Fuel_Type,0),1),"")</f>
        <v>385.78712446351932</v>
      </c>
      <c r="P28" s="47">
        <f>IF(K28="","",K28*'Carbon factors'!$B$5)</f>
        <v>126.66714</v>
      </c>
      <c r="Q28" s="47">
        <f>IF(L28="","",L28*'Carbon factors'!$B$5)</f>
        <v>83.948250000000002</v>
      </c>
      <c r="R28" s="47" t="str">
        <f>IF(M28="","",M28*'Carbon factors'!$B$5)</f>
        <v/>
      </c>
      <c r="S28" s="267">
        <f t="shared" si="1"/>
        <v>997.94466038626604</v>
      </c>
      <c r="T28" s="49">
        <f>IFERROR($G28*INDEX('Carbon factors'!$C$4:$C$10,MATCH($H28,Fuel_Type,0),1),"")</f>
        <v>390.38819742489267</v>
      </c>
      <c r="U28" s="47">
        <f>IFERROR($I28*INDEX('Carbon factors'!$C$4:$C$10,MATCH($J28,Fuel_Type,0),1),"")</f>
        <v>375.07081545064375</v>
      </c>
      <c r="V28" s="47">
        <f>IF(K28="","",K28*'Carbon factors'!$C$5)</f>
        <v>56.86598</v>
      </c>
      <c r="W28" s="47">
        <f>IF(L28="","",L28*'Carbon factors'!$C$5)</f>
        <v>37.687750000000001</v>
      </c>
      <c r="X28" s="47" t="str">
        <f>IF(M28="","",M28*'Carbon factors'!$C$5)</f>
        <v/>
      </c>
      <c r="Y28" s="222">
        <f t="shared" si="2"/>
        <v>860.01274287553656</v>
      </c>
      <c r="Z28" s="61">
        <f t="shared" si="3"/>
        <v>16.226655525953522</v>
      </c>
      <c r="AA28" s="281">
        <v>53.2</v>
      </c>
      <c r="AB28" s="112">
        <v>1732.58</v>
      </c>
      <c r="AC28" s="113">
        <v>1664.6</v>
      </c>
      <c r="AD28" s="113">
        <v>244.06</v>
      </c>
      <c r="AE28" s="113"/>
      <c r="AF28" s="114"/>
    </row>
    <row r="29" spans="1:32" s="36" customFormat="1" ht="13.5" customHeight="1">
      <c r="A29" s="287" t="str">
        <f>IF(Baseline!A29="","",Baseline!A29)</f>
        <v>B3-A-02-01</v>
      </c>
      <c r="B29" s="141">
        <f>IF(Baseline!B29="","",Baseline!B29)</f>
        <v>62</v>
      </c>
      <c r="C29" s="141">
        <f>IF(Baseline!C29="","",Baseline!C29)</f>
        <v>1</v>
      </c>
      <c r="D29" s="288">
        <f>IF(Baseline!D29="","",Baseline!D29)</f>
        <v>62</v>
      </c>
      <c r="E29" s="88">
        <f t="shared" si="0"/>
        <v>15.748165576630209</v>
      </c>
      <c r="F29" s="109">
        <v>15.75</v>
      </c>
      <c r="G29" s="100">
        <f>1257.67*100/93.2</f>
        <v>1349.4313304721029</v>
      </c>
      <c r="H29" s="100" t="s">
        <v>11</v>
      </c>
      <c r="I29" s="100">
        <f>1766.23*100/93.2</f>
        <v>1895.0965665236051</v>
      </c>
      <c r="J29" s="100" t="s">
        <v>11</v>
      </c>
      <c r="K29" s="100">
        <v>280.19</v>
      </c>
      <c r="L29" s="100">
        <f>30.24+149.48</f>
        <v>179.72</v>
      </c>
      <c r="M29" s="100">
        <v>71.05</v>
      </c>
      <c r="N29" s="46">
        <f>IFERROR($G29*INDEX('Carbon factors'!$B$4:$B$10,MATCH($H29,Fuel_Type,0),1),"")</f>
        <v>291.4771673819742</v>
      </c>
      <c r="O29" s="47">
        <f>IFERROR($I29*INDEX('Carbon factors'!$B$4:$B$10,MATCH($J29,Fuel_Type,0),1),"")</f>
        <v>409.34085836909873</v>
      </c>
      <c r="P29" s="47">
        <f>IF(K29="","",K29*'Carbon factors'!$B$5)</f>
        <v>145.41861</v>
      </c>
      <c r="Q29" s="47">
        <f>IF(L29="","",L29*'Carbon factors'!$B$5)</f>
        <v>93.274680000000004</v>
      </c>
      <c r="R29" s="47">
        <f>IF(M29="","",M29*'Carbon factors'!$B$5)</f>
        <v>36.874949999999998</v>
      </c>
      <c r="S29" s="267">
        <f t="shared" si="1"/>
        <v>976.38626575107298</v>
      </c>
      <c r="T29" s="49">
        <f>IFERROR($G29*INDEX('Carbon factors'!$C$4:$C$10,MATCH($H29,Fuel_Type,0),1),"")</f>
        <v>283.3805793991416</v>
      </c>
      <c r="U29" s="47">
        <f>IFERROR($I29*INDEX('Carbon factors'!$C$4:$C$10,MATCH($J29,Fuel_Type,0),1),"")</f>
        <v>397.97027896995706</v>
      </c>
      <c r="V29" s="47">
        <f>IF(K29="","",K29*'Carbon factors'!$C$5)</f>
        <v>65.284270000000006</v>
      </c>
      <c r="W29" s="47">
        <f>IF(L29="","",L29*'Carbon factors'!$C$5)</f>
        <v>41.874760000000002</v>
      </c>
      <c r="X29" s="47">
        <f>IF(M29="","",M29*'Carbon factors'!$C$5)</f>
        <v>16.554649999999999</v>
      </c>
      <c r="Y29" s="222">
        <f t="shared" si="2"/>
        <v>805.06453836909873</v>
      </c>
      <c r="Z29" s="61">
        <f t="shared" si="3"/>
        <v>12.984911909179012</v>
      </c>
      <c r="AA29" s="281">
        <v>40.200000000000003</v>
      </c>
      <c r="AB29" s="112">
        <v>1257.67</v>
      </c>
      <c r="AC29" s="113">
        <v>1766.23</v>
      </c>
      <c r="AD29" s="113">
        <v>280.19</v>
      </c>
      <c r="AE29" s="113"/>
      <c r="AF29" s="114">
        <v>71.05</v>
      </c>
    </row>
    <row r="30" spans="1:32" s="36" customFormat="1" ht="13.5" customHeight="1">
      <c r="A30" s="287" t="str">
        <f>IF(Baseline!A30="","",Baseline!A30)</f>
        <v>B3-A-02-02</v>
      </c>
      <c r="B30" s="141">
        <f>IF(Baseline!B30="","",Baseline!B30)</f>
        <v>57</v>
      </c>
      <c r="C30" s="141">
        <f>IF(Baseline!C30="","",Baseline!C30)</f>
        <v>3</v>
      </c>
      <c r="D30" s="288">
        <f>IF(Baseline!D30="","",Baseline!D30)</f>
        <v>171</v>
      </c>
      <c r="E30" s="88">
        <f t="shared" si="0"/>
        <v>15.200823584820419</v>
      </c>
      <c r="F30" s="109">
        <v>15.2</v>
      </c>
      <c r="G30" s="100">
        <f>908.56*100/93.2</f>
        <v>974.84978540772534</v>
      </c>
      <c r="H30" s="100" t="s">
        <v>11</v>
      </c>
      <c r="I30" s="100">
        <f>1710.55*100/93.2</f>
        <v>1835.3540772532187</v>
      </c>
      <c r="J30" s="100" t="s">
        <v>11</v>
      </c>
      <c r="K30" s="100">
        <v>260.29000000000002</v>
      </c>
      <c r="L30" s="100">
        <f>26.19+137.43</f>
        <v>163.62</v>
      </c>
      <c r="M30" s="100">
        <v>75.98</v>
      </c>
      <c r="N30" s="46">
        <f>IFERROR($G30*INDEX('Carbon factors'!$B$4:$B$10,MATCH($H30,Fuel_Type,0),1),"")</f>
        <v>210.56755364806867</v>
      </c>
      <c r="O30" s="47">
        <f>IFERROR($I30*INDEX('Carbon factors'!$B$4:$B$10,MATCH($J30,Fuel_Type,0),1),"")</f>
        <v>396.43648068669523</v>
      </c>
      <c r="P30" s="47">
        <f>IF(K30="","",K30*'Carbon factors'!$B$5)</f>
        <v>135.09051000000002</v>
      </c>
      <c r="Q30" s="47">
        <f>IF(L30="","",L30*'Carbon factors'!$B$5)</f>
        <v>84.918779999999998</v>
      </c>
      <c r="R30" s="47">
        <f>IF(M30="","",M30*'Carbon factors'!$B$5)</f>
        <v>39.433620000000005</v>
      </c>
      <c r="S30" s="267">
        <f t="shared" si="1"/>
        <v>866.44694433476388</v>
      </c>
      <c r="T30" s="49">
        <f>IFERROR($G30*INDEX('Carbon factors'!$C$4:$C$10,MATCH($H30,Fuel_Type,0),1),"")</f>
        <v>204.7184549356223</v>
      </c>
      <c r="U30" s="47">
        <f>IFERROR($I30*INDEX('Carbon factors'!$C$4:$C$10,MATCH($J30,Fuel_Type,0),1),"")</f>
        <v>385.42435622317595</v>
      </c>
      <c r="V30" s="47">
        <f>IF(K30="","",K30*'Carbon factors'!$C$5)</f>
        <v>60.647570000000009</v>
      </c>
      <c r="W30" s="47">
        <f>IF(L30="","",L30*'Carbon factors'!$C$5)</f>
        <v>38.123460000000001</v>
      </c>
      <c r="X30" s="47">
        <f>IF(M30="","",M30*'Carbon factors'!$C$5)</f>
        <v>17.703340000000001</v>
      </c>
      <c r="Y30" s="222">
        <f t="shared" si="2"/>
        <v>706.6171811587983</v>
      </c>
      <c r="Z30" s="61">
        <f t="shared" si="3"/>
        <v>12.396792651908742</v>
      </c>
      <c r="AA30" s="281">
        <v>35.9</v>
      </c>
      <c r="AB30" s="112">
        <v>908.56</v>
      </c>
      <c r="AC30" s="113">
        <v>1710.55</v>
      </c>
      <c r="AD30" s="113">
        <v>260.29000000000002</v>
      </c>
      <c r="AE30" s="113"/>
      <c r="AF30" s="114">
        <v>75.98</v>
      </c>
    </row>
    <row r="31" spans="1:32" s="36" customFormat="1" ht="13.5" customHeight="1">
      <c r="A31" s="287" t="str">
        <f>IF(Baseline!A31="","",Baseline!A31)</f>
        <v>B3-A-02-06</v>
      </c>
      <c r="B31" s="141">
        <f>IF(Baseline!B31="","",Baseline!B31)</f>
        <v>71</v>
      </c>
      <c r="C31" s="141">
        <f>IF(Baseline!C31="","",Baseline!C31)</f>
        <v>5</v>
      </c>
      <c r="D31" s="288">
        <f>IF(Baseline!D31="","",Baseline!D31)</f>
        <v>355</v>
      </c>
      <c r="E31" s="88">
        <f t="shared" si="0"/>
        <v>17.30946412198513</v>
      </c>
      <c r="F31" s="109">
        <v>17.309999999999999</v>
      </c>
      <c r="G31" s="100">
        <f>2126.06*100/93.2</f>
        <v>2281.1802575107295</v>
      </c>
      <c r="H31" s="100" t="s">
        <v>11</v>
      </c>
      <c r="I31" s="100">
        <f>1857.48*100/93.2</f>
        <v>1993.0042918454935</v>
      </c>
      <c r="J31" s="100" t="s">
        <v>11</v>
      </c>
      <c r="K31" s="100">
        <v>314.29000000000002</v>
      </c>
      <c r="L31" s="100">
        <f>39.84+171.18</f>
        <v>211.02</v>
      </c>
      <c r="M31" s="100">
        <v>63.8</v>
      </c>
      <c r="N31" s="46">
        <f>IFERROR($G31*INDEX('Carbon factors'!$B$4:$B$10,MATCH($H31,Fuel_Type,0),1),"")</f>
        <v>492.73493562231755</v>
      </c>
      <c r="O31" s="47">
        <f>IFERROR($I31*INDEX('Carbon factors'!$B$4:$B$10,MATCH($J31,Fuel_Type,0),1),"")</f>
        <v>430.48892703862657</v>
      </c>
      <c r="P31" s="47">
        <f>IF(K31="","",K31*'Carbon factors'!$B$5)</f>
        <v>163.11651000000001</v>
      </c>
      <c r="Q31" s="47">
        <f>IF(L31="","",L31*'Carbon factors'!$B$5)</f>
        <v>109.51938000000001</v>
      </c>
      <c r="R31" s="47">
        <f>IF(M31="","",M31*'Carbon factors'!$B$5)</f>
        <v>33.112200000000001</v>
      </c>
      <c r="S31" s="267">
        <f t="shared" si="1"/>
        <v>1228.9719526609442</v>
      </c>
      <c r="T31" s="49">
        <f>IFERROR($G31*INDEX('Carbon factors'!$C$4:$C$10,MATCH($H31,Fuel_Type,0),1),"")</f>
        <v>479.04785407725319</v>
      </c>
      <c r="U31" s="47">
        <f>IFERROR($I31*INDEX('Carbon factors'!$C$4:$C$10,MATCH($J31,Fuel_Type,0),1),"")</f>
        <v>418.5309012875536</v>
      </c>
      <c r="V31" s="47">
        <f>IF(K31="","",K31*'Carbon factors'!$C$5)</f>
        <v>73.22957000000001</v>
      </c>
      <c r="W31" s="47">
        <f>IF(L31="","",L31*'Carbon factors'!$C$5)</f>
        <v>49.167660000000005</v>
      </c>
      <c r="X31" s="47">
        <f>IF(M31="","",M31*'Carbon factors'!$C$5)</f>
        <v>14.865399999999999</v>
      </c>
      <c r="Y31" s="222">
        <f t="shared" si="2"/>
        <v>1034.8413853648067</v>
      </c>
      <c r="Z31" s="61">
        <f t="shared" si="3"/>
        <v>14.575230779786009</v>
      </c>
      <c r="AA31" s="281">
        <v>49.6</v>
      </c>
      <c r="AB31" s="112">
        <v>2126.06</v>
      </c>
      <c r="AC31" s="113">
        <v>1857.48</v>
      </c>
      <c r="AD31" s="113">
        <v>314.29000000000002</v>
      </c>
      <c r="AE31" s="113"/>
      <c r="AF31" s="114">
        <v>63.8</v>
      </c>
    </row>
    <row r="32" spans="1:32" s="36" customFormat="1" ht="13.5" customHeight="1">
      <c r="A32" s="287" t="str">
        <f>IF(Baseline!A32="","",Baseline!A32)</f>
        <v>B3-A-02-08</v>
      </c>
      <c r="B32" s="141">
        <f>IF(Baseline!B32="","",Baseline!B32)</f>
        <v>83</v>
      </c>
      <c r="C32" s="141">
        <f>IF(Baseline!C32="","",Baseline!C32)</f>
        <v>1</v>
      </c>
      <c r="D32" s="288">
        <f>IF(Baseline!D32="","",Baseline!D32)</f>
        <v>83</v>
      </c>
      <c r="E32" s="88">
        <f t="shared" si="0"/>
        <v>16.018481831532135</v>
      </c>
      <c r="F32" s="109">
        <v>16.02</v>
      </c>
      <c r="G32" s="100">
        <f>2302.4*100/93.2</f>
        <v>2470.3862660944205</v>
      </c>
      <c r="H32" s="100" t="s">
        <v>11</v>
      </c>
      <c r="I32" s="100">
        <f>1954.46*100/93.2</f>
        <v>2097.0600858369098</v>
      </c>
      <c r="J32" s="100" t="s">
        <v>11</v>
      </c>
      <c r="K32" s="100">
        <v>355.19</v>
      </c>
      <c r="L32" s="100">
        <f>42.57+200.12</f>
        <v>242.69</v>
      </c>
      <c r="M32" s="100">
        <v>62.94</v>
      </c>
      <c r="N32" s="46">
        <f>IFERROR($G32*INDEX('Carbon factors'!$B$4:$B$10,MATCH($H32,Fuel_Type,0),1),"")</f>
        <v>533.6034334763948</v>
      </c>
      <c r="O32" s="47">
        <f>IFERROR($I32*INDEX('Carbon factors'!$B$4:$B$10,MATCH($J32,Fuel_Type,0),1),"")</f>
        <v>452.96497854077251</v>
      </c>
      <c r="P32" s="47">
        <f>IF(K32="","",K32*'Carbon factors'!$B$5)</f>
        <v>184.34361000000001</v>
      </c>
      <c r="Q32" s="47">
        <f>IF(L32="","",L32*'Carbon factors'!$B$5)</f>
        <v>125.95611000000001</v>
      </c>
      <c r="R32" s="47">
        <f>IF(M32="","",M32*'Carbon factors'!$B$5)</f>
        <v>32.665860000000002</v>
      </c>
      <c r="S32" s="267">
        <f t="shared" si="1"/>
        <v>1329.5339920171673</v>
      </c>
      <c r="T32" s="49">
        <f>IFERROR($G32*INDEX('Carbon factors'!$C$4:$C$10,MATCH($H32,Fuel_Type,0),1),"")</f>
        <v>518.78111587982835</v>
      </c>
      <c r="U32" s="47">
        <f>IFERROR($I32*INDEX('Carbon factors'!$C$4:$C$10,MATCH($J32,Fuel_Type,0),1),"")</f>
        <v>440.38261802575107</v>
      </c>
      <c r="V32" s="47">
        <f>IF(K32="","",K32*'Carbon factors'!$C$5)</f>
        <v>82.759270000000001</v>
      </c>
      <c r="W32" s="47">
        <f>IF(L32="","",L32*'Carbon factors'!$C$5)</f>
        <v>56.546770000000002</v>
      </c>
      <c r="X32" s="47">
        <f>IF(M32="","",M32*'Carbon factors'!$C$5)</f>
        <v>14.66502</v>
      </c>
      <c r="Y32" s="222">
        <f t="shared" si="2"/>
        <v>1113.1347939055793</v>
      </c>
      <c r="Z32" s="61">
        <f t="shared" si="3"/>
        <v>13.411262577175654</v>
      </c>
      <c r="AA32" s="281">
        <v>46.5</v>
      </c>
      <c r="AB32" s="112">
        <v>2302.4</v>
      </c>
      <c r="AC32" s="113">
        <v>1954.46</v>
      </c>
      <c r="AD32" s="113">
        <v>355.19</v>
      </c>
      <c r="AE32" s="113"/>
      <c r="AF32" s="114">
        <v>62.94</v>
      </c>
    </row>
    <row r="33" spans="1:32" s="36" customFormat="1" ht="13.5" customHeight="1">
      <c r="A33" s="287" t="str">
        <f>IF(Baseline!A33="","",Baseline!A33)</f>
        <v>B3-A-03-01</v>
      </c>
      <c r="B33" s="141">
        <f>IF(Baseline!B33="","",Baseline!B33)</f>
        <v>62</v>
      </c>
      <c r="C33" s="141">
        <f>IF(Baseline!C33="","",Baseline!C33)</f>
        <v>16</v>
      </c>
      <c r="D33" s="288">
        <f>IF(Baseline!D33="","",Baseline!D33)</f>
        <v>992</v>
      </c>
      <c r="E33" s="88">
        <f t="shared" si="0"/>
        <v>12.726285764225391</v>
      </c>
      <c r="F33" s="109">
        <v>12.73</v>
      </c>
      <c r="G33" s="100">
        <f>425.77*100/93.2</f>
        <v>456.83476394849782</v>
      </c>
      <c r="H33" s="100" t="s">
        <v>11</v>
      </c>
      <c r="I33" s="100">
        <f>1766.23*100/93.2</f>
        <v>1895.0965665236051</v>
      </c>
      <c r="J33" s="100" t="s">
        <v>11</v>
      </c>
      <c r="K33" s="100">
        <v>280.19</v>
      </c>
      <c r="L33" s="100">
        <f>21.92+149.48</f>
        <v>171.39999999999998</v>
      </c>
      <c r="M33" s="100">
        <v>89.86</v>
      </c>
      <c r="N33" s="46">
        <f>IFERROR($G33*INDEX('Carbon factors'!$B$4:$B$10,MATCH($H33,Fuel_Type,0),1),"")</f>
        <v>98.676309012875535</v>
      </c>
      <c r="O33" s="47">
        <f>IFERROR($I33*INDEX('Carbon factors'!$B$4:$B$10,MATCH($J33,Fuel_Type,0),1),"")</f>
        <v>409.34085836909873</v>
      </c>
      <c r="P33" s="47">
        <f>IF(K33="","",K33*'Carbon factors'!$B$5)</f>
        <v>145.41861</v>
      </c>
      <c r="Q33" s="47">
        <f>IF(L33="","",L33*'Carbon factors'!$B$5)</f>
        <v>88.956599999999995</v>
      </c>
      <c r="R33" s="47">
        <f>IF(M33="","",M33*'Carbon factors'!$B$5)</f>
        <v>46.637340000000002</v>
      </c>
      <c r="S33" s="267">
        <f t="shared" si="1"/>
        <v>789.02971738197425</v>
      </c>
      <c r="T33" s="49">
        <f>IFERROR($G33*INDEX('Carbon factors'!$C$4:$C$10,MATCH($H33,Fuel_Type,0),1),"")</f>
        <v>95.935300429184537</v>
      </c>
      <c r="U33" s="47">
        <f>IFERROR($I33*INDEX('Carbon factors'!$C$4:$C$10,MATCH($J33,Fuel_Type,0),1),"")</f>
        <v>397.97027896995706</v>
      </c>
      <c r="V33" s="47">
        <f>IF(K33="","",K33*'Carbon factors'!$C$5)</f>
        <v>65.284270000000006</v>
      </c>
      <c r="W33" s="47">
        <f>IF(L33="","",L33*'Carbon factors'!$C$5)</f>
        <v>39.936199999999999</v>
      </c>
      <c r="X33" s="47">
        <f>IF(M33="","",M33*'Carbon factors'!$C$5)</f>
        <v>20.937380000000001</v>
      </c>
      <c r="Y33" s="222">
        <f t="shared" si="2"/>
        <v>620.06342939914157</v>
      </c>
      <c r="Z33" s="61">
        <f t="shared" si="3"/>
        <v>10.001023054824865</v>
      </c>
      <c r="AA33" s="281">
        <v>25</v>
      </c>
      <c r="AB33" s="112">
        <v>425.77</v>
      </c>
      <c r="AC33" s="113">
        <v>1766.23</v>
      </c>
      <c r="AD33" s="113">
        <v>280.19</v>
      </c>
      <c r="AE33" s="113"/>
      <c r="AF33" s="114">
        <v>89.86</v>
      </c>
    </row>
    <row r="34" spans="1:32" s="36" customFormat="1" ht="13.5" customHeight="1">
      <c r="A34" s="287" t="str">
        <f>IF(Baseline!A34="","",Baseline!A34)</f>
        <v>B3-A-03-02</v>
      </c>
      <c r="B34" s="141">
        <f>IF(Baseline!B34="","",Baseline!B34)</f>
        <v>57</v>
      </c>
      <c r="C34" s="141">
        <f>IF(Baseline!C34="","",Baseline!C34)</f>
        <v>34</v>
      </c>
      <c r="D34" s="288">
        <f>IF(Baseline!D34="","",Baseline!D34)</f>
        <v>1938</v>
      </c>
      <c r="E34" s="88">
        <f t="shared" si="0"/>
        <v>12.235618617573978</v>
      </c>
      <c r="F34" s="109">
        <v>12.24</v>
      </c>
      <c r="G34" s="100">
        <f>196.55*100/93.2</f>
        <v>210.89055793991415</v>
      </c>
      <c r="H34" s="100" t="s">
        <v>11</v>
      </c>
      <c r="I34" s="100">
        <f>1710.55*100/93.2</f>
        <v>1835.3540772532187</v>
      </c>
      <c r="J34" s="100" t="s">
        <v>11</v>
      </c>
      <c r="K34" s="100">
        <v>260.83</v>
      </c>
      <c r="L34" s="100">
        <f>19.07+137.43</f>
        <v>156.5</v>
      </c>
      <c r="M34" s="100">
        <v>74.849999999999994</v>
      </c>
      <c r="N34" s="46">
        <f>IFERROR($G34*INDEX('Carbon factors'!$B$4:$B$10,MATCH($H34,Fuel_Type,0),1),"")</f>
        <v>45.552360515021455</v>
      </c>
      <c r="O34" s="47">
        <f>IFERROR($I34*INDEX('Carbon factors'!$B$4:$B$10,MATCH($J34,Fuel_Type,0),1),"")</f>
        <v>396.43648068669523</v>
      </c>
      <c r="P34" s="47">
        <f>IF(K34="","",K34*'Carbon factors'!$B$5)</f>
        <v>135.37076999999999</v>
      </c>
      <c r="Q34" s="47">
        <f>IF(L34="","",L34*'Carbon factors'!$B$5)</f>
        <v>81.223500000000001</v>
      </c>
      <c r="R34" s="47">
        <f>IF(M34="","",M34*'Carbon factors'!$B$5)</f>
        <v>38.847149999999999</v>
      </c>
      <c r="S34" s="267">
        <f t="shared" si="1"/>
        <v>697.4302612017168</v>
      </c>
      <c r="T34" s="49">
        <f>IFERROR($G34*INDEX('Carbon factors'!$C$4:$C$10,MATCH($H34,Fuel_Type,0),1),"")</f>
        <v>44.287017167381968</v>
      </c>
      <c r="U34" s="47">
        <f>IFERROR($I34*INDEX('Carbon factors'!$C$4:$C$10,MATCH($J34,Fuel_Type,0),1),"")</f>
        <v>385.42435622317595</v>
      </c>
      <c r="V34" s="47">
        <f>IF(K34="","",K34*'Carbon factors'!$C$5)</f>
        <v>60.773389999999999</v>
      </c>
      <c r="W34" s="47">
        <f>IF(L34="","",L34*'Carbon factors'!$C$5)</f>
        <v>36.464500000000001</v>
      </c>
      <c r="X34" s="47">
        <f>IF(M34="","",M34*'Carbon factors'!$C$5)</f>
        <v>17.440049999999999</v>
      </c>
      <c r="Y34" s="222">
        <f t="shared" si="2"/>
        <v>544.38931339055796</v>
      </c>
      <c r="Z34" s="61">
        <f t="shared" si="3"/>
        <v>9.5506897086062796</v>
      </c>
      <c r="AA34" s="281">
        <v>24.6</v>
      </c>
      <c r="AB34" s="112">
        <v>196.55</v>
      </c>
      <c r="AC34" s="113">
        <v>1710.55</v>
      </c>
      <c r="AD34" s="113">
        <v>260.83</v>
      </c>
      <c r="AE34" s="113"/>
      <c r="AF34" s="114">
        <v>74.849999999999994</v>
      </c>
    </row>
    <row r="35" spans="1:32" s="36" customFormat="1" ht="13.5" customHeight="1">
      <c r="A35" s="287" t="str">
        <f>IF(Baseline!A35="","",Baseline!A35)</f>
        <v>B3-A-03-07</v>
      </c>
      <c r="B35" s="141">
        <f>IF(Baseline!B35="","",Baseline!B35)</f>
        <v>78</v>
      </c>
      <c r="C35" s="141">
        <f>IF(Baseline!C35="","",Baseline!C35)</f>
        <v>22</v>
      </c>
      <c r="D35" s="288">
        <f>IF(Baseline!D35="","",Baseline!D35)</f>
        <v>1716</v>
      </c>
      <c r="E35" s="88">
        <f t="shared" si="0"/>
        <v>14.091496954440409</v>
      </c>
      <c r="F35" s="109">
        <v>14.09</v>
      </c>
      <c r="G35" s="100">
        <f>1445.45*100/93.2</f>
        <v>1550.9120171673819</v>
      </c>
      <c r="H35" s="100" t="s">
        <v>11</v>
      </c>
      <c r="I35" s="100">
        <f>1917.77*100/93.2</f>
        <v>2057.6931330472103</v>
      </c>
      <c r="J35" s="100" t="s">
        <v>11</v>
      </c>
      <c r="K35" s="100">
        <v>338.83</v>
      </c>
      <c r="L35" s="100">
        <f>33.63+188.06</f>
        <v>221.69</v>
      </c>
      <c r="M35" s="100">
        <v>55.43</v>
      </c>
      <c r="N35" s="46">
        <f>IFERROR($G35*INDEX('Carbon factors'!$B$4:$B$10,MATCH($H35,Fuel_Type,0),1),"")</f>
        <v>334.99699570815449</v>
      </c>
      <c r="O35" s="47">
        <f>IFERROR($I35*INDEX('Carbon factors'!$B$4:$B$10,MATCH($J35,Fuel_Type,0),1),"")</f>
        <v>444.46171673819742</v>
      </c>
      <c r="P35" s="47">
        <f>IF(K35="","",K35*'Carbon factors'!$B$5)</f>
        <v>175.85276999999999</v>
      </c>
      <c r="Q35" s="47">
        <f>IF(L35="","",L35*'Carbon factors'!$B$5)</f>
        <v>115.05711000000001</v>
      </c>
      <c r="R35" s="47">
        <f>IF(M35="","",M35*'Carbon factors'!$B$5)</f>
        <v>28.768170000000001</v>
      </c>
      <c r="S35" s="267">
        <f t="shared" si="1"/>
        <v>1099.1367624463519</v>
      </c>
      <c r="T35" s="49">
        <f>IFERROR($G35*INDEX('Carbon factors'!$C$4:$C$10,MATCH($H35,Fuel_Type,0),1),"")</f>
        <v>325.69152360515017</v>
      </c>
      <c r="U35" s="47">
        <f>IFERROR($I35*INDEX('Carbon factors'!$C$4:$C$10,MATCH($J35,Fuel_Type,0),1),"")</f>
        <v>432.11555793991414</v>
      </c>
      <c r="V35" s="47">
        <f>IF(K35="","",K35*'Carbon factors'!$C$5)</f>
        <v>78.947389999999999</v>
      </c>
      <c r="W35" s="47">
        <f>IF(L35="","",L35*'Carbon factors'!$C$5)</f>
        <v>51.653770000000002</v>
      </c>
      <c r="X35" s="47">
        <f>IF(M35="","",M35*'Carbon factors'!$C$5)</f>
        <v>12.915190000000001</v>
      </c>
      <c r="Y35" s="222">
        <f t="shared" si="2"/>
        <v>901.32343154506441</v>
      </c>
      <c r="Z35" s="61">
        <f t="shared" si="3"/>
        <v>11.555428609552107</v>
      </c>
      <c r="AA35" s="281">
        <v>38.1</v>
      </c>
      <c r="AB35" s="112">
        <v>1445.45</v>
      </c>
      <c r="AC35" s="113">
        <v>1917.77</v>
      </c>
      <c r="AD35" s="113">
        <v>338.83</v>
      </c>
      <c r="AE35" s="113"/>
      <c r="AF35" s="114">
        <v>55.43</v>
      </c>
    </row>
    <row r="36" spans="1:32" s="36" customFormat="1" ht="13.5" customHeight="1">
      <c r="A36" s="287" t="str">
        <f>IF(Baseline!A36="","",Baseline!A36)</f>
        <v>B3-A-03-08</v>
      </c>
      <c r="B36" s="141">
        <f>IF(Baseline!B36="","",Baseline!B36)</f>
        <v>77</v>
      </c>
      <c r="C36" s="141">
        <f>IF(Baseline!C36="","",Baseline!C36)</f>
        <v>16</v>
      </c>
      <c r="D36" s="288">
        <f>IF(Baseline!D36="","",Baseline!D36)</f>
        <v>1232</v>
      </c>
      <c r="E36" s="88">
        <f t="shared" si="0"/>
        <v>12.952834091745165</v>
      </c>
      <c r="F36" s="109">
        <v>12.95</v>
      </c>
      <c r="G36" s="100">
        <f>987.96*100/93.2</f>
        <v>1060.0429184549355</v>
      </c>
      <c r="H36" s="100" t="s">
        <v>11</v>
      </c>
      <c r="I36" s="100">
        <f>1909.79*100/93.2</f>
        <v>2049.1309012875536</v>
      </c>
      <c r="J36" s="100" t="s">
        <v>11</v>
      </c>
      <c r="K36" s="100">
        <v>335.44</v>
      </c>
      <c r="L36" s="100">
        <f>28.98+185.65</f>
        <v>214.63</v>
      </c>
      <c r="M36" s="100">
        <v>77.650000000000006</v>
      </c>
      <c r="N36" s="46">
        <f>IFERROR($G36*INDEX('Carbon factors'!$B$4:$B$10,MATCH($H36,Fuel_Type,0),1),"")</f>
        <v>228.96927038626606</v>
      </c>
      <c r="O36" s="47">
        <f>IFERROR($I36*INDEX('Carbon factors'!$B$4:$B$10,MATCH($J36,Fuel_Type,0),1),"")</f>
        <v>442.61227467811159</v>
      </c>
      <c r="P36" s="47">
        <f>IF(K36="","",K36*'Carbon factors'!$B$5)</f>
        <v>174.09336000000002</v>
      </c>
      <c r="Q36" s="47">
        <f>IF(L36="","",L36*'Carbon factors'!$B$5)</f>
        <v>111.39297000000001</v>
      </c>
      <c r="R36" s="47">
        <f>IF(M36="","",M36*'Carbon factors'!$B$5)</f>
        <v>40.300350000000002</v>
      </c>
      <c r="S36" s="267">
        <f t="shared" si="1"/>
        <v>997.36822506437773</v>
      </c>
      <c r="T36" s="49">
        <f>IFERROR($G36*INDEX('Carbon factors'!$C$4:$C$10,MATCH($H36,Fuel_Type,0),1),"")</f>
        <v>222.60901287553645</v>
      </c>
      <c r="U36" s="47">
        <f>IFERROR($I36*INDEX('Carbon factors'!$C$4:$C$10,MATCH($J36,Fuel_Type,0),1),"")</f>
        <v>430.31748927038626</v>
      </c>
      <c r="V36" s="47">
        <f>IF(K36="","",K36*'Carbon factors'!$C$5)</f>
        <v>78.157520000000005</v>
      </c>
      <c r="W36" s="47">
        <f>IF(L36="","",L36*'Carbon factors'!$C$5)</f>
        <v>50.008790000000005</v>
      </c>
      <c r="X36" s="47">
        <f>IF(M36="","",M36*'Carbon factors'!$C$5)</f>
        <v>18.092450000000003</v>
      </c>
      <c r="Y36" s="222">
        <f t="shared" si="2"/>
        <v>799.18526214592271</v>
      </c>
      <c r="Z36" s="61">
        <f t="shared" si="3"/>
        <v>10.379029378518476</v>
      </c>
      <c r="AA36" s="281">
        <v>32.1</v>
      </c>
      <c r="AB36" s="112">
        <v>987.96</v>
      </c>
      <c r="AC36" s="113">
        <v>1909.79</v>
      </c>
      <c r="AD36" s="113">
        <v>335.44</v>
      </c>
      <c r="AE36" s="113"/>
      <c r="AF36" s="114">
        <v>77.650000000000006</v>
      </c>
    </row>
    <row r="37" spans="1:32" s="36" customFormat="1" ht="13.5" customHeight="1">
      <c r="A37" s="287" t="str">
        <f>IF(Baseline!A37="","",Baseline!A37)</f>
        <v>B3-A-09-05</v>
      </c>
      <c r="B37" s="141">
        <f>IF(Baseline!B37="","",Baseline!B37)</f>
        <v>97</v>
      </c>
      <c r="C37" s="141">
        <f>IF(Baseline!C37="","",Baseline!C37)</f>
        <v>3</v>
      </c>
      <c r="D37" s="288">
        <f>IF(Baseline!D37="","",Baseline!D37)</f>
        <v>291</v>
      </c>
      <c r="E37" s="88">
        <f t="shared" si="0"/>
        <v>14.274470703066235</v>
      </c>
      <c r="F37" s="109">
        <v>14.28</v>
      </c>
      <c r="G37" s="100">
        <f>2227.46*100/93.2</f>
        <v>2389.9785407725321</v>
      </c>
      <c r="H37" s="100" t="s">
        <v>11</v>
      </c>
      <c r="I37" s="100">
        <f>2030.04*100/93.2</f>
        <v>2178.1545064377683</v>
      </c>
      <c r="J37" s="100" t="s">
        <v>11</v>
      </c>
      <c r="K37" s="100">
        <v>395.79</v>
      </c>
      <c r="L37" s="100">
        <f>42.58+233.87</f>
        <v>276.45</v>
      </c>
      <c r="M37" s="100">
        <v>94.44</v>
      </c>
      <c r="N37" s="46">
        <f>IFERROR($G37*INDEX('Carbon factors'!$B$4:$B$10,MATCH($H37,Fuel_Type,0),1),"")</f>
        <v>516.23536480686698</v>
      </c>
      <c r="O37" s="47">
        <f>IFERROR($I37*INDEX('Carbon factors'!$B$4:$B$10,MATCH($J37,Fuel_Type,0),1),"")</f>
        <v>470.48137339055796</v>
      </c>
      <c r="P37" s="47">
        <f>IF(K37="","",K37*'Carbon factors'!$B$5)</f>
        <v>205.41501000000002</v>
      </c>
      <c r="Q37" s="47">
        <f>IF(L37="","",L37*'Carbon factors'!$B$5)</f>
        <v>143.47755000000001</v>
      </c>
      <c r="R37" s="47">
        <f>IF(M37="","",M37*'Carbon factors'!$B$5)</f>
        <v>49.014360000000003</v>
      </c>
      <c r="S37" s="267">
        <f t="shared" si="1"/>
        <v>1384.6236581974249</v>
      </c>
      <c r="T37" s="49">
        <f>IFERROR($G37*INDEX('Carbon factors'!$C$4:$C$10,MATCH($H37,Fuel_Type,0),1),"")</f>
        <v>501.89549356223171</v>
      </c>
      <c r="U37" s="47">
        <f>IFERROR($I37*INDEX('Carbon factors'!$C$4:$C$10,MATCH($J37,Fuel_Type,0),1),"")</f>
        <v>457.41244635193135</v>
      </c>
      <c r="V37" s="47">
        <f>IF(K37="","",K37*'Carbon factors'!$C$5)</f>
        <v>92.219070000000016</v>
      </c>
      <c r="W37" s="47">
        <f>IF(L37="","",L37*'Carbon factors'!$C$5)</f>
        <v>64.412850000000006</v>
      </c>
      <c r="X37" s="47">
        <f>IF(M37="","",M37*'Carbon factors'!$C$5)</f>
        <v>22.004519999999999</v>
      </c>
      <c r="Y37" s="222">
        <f t="shared" si="2"/>
        <v>1137.9443799141629</v>
      </c>
      <c r="Z37" s="61">
        <f t="shared" si="3"/>
        <v>11.731385359939823</v>
      </c>
      <c r="AA37" s="281">
        <v>41.5</v>
      </c>
      <c r="AB37" s="112">
        <v>2227.46</v>
      </c>
      <c r="AC37" s="113">
        <v>2030.04</v>
      </c>
      <c r="AD37" s="113">
        <v>395.79</v>
      </c>
      <c r="AE37" s="113"/>
      <c r="AF37" s="114">
        <v>94.44</v>
      </c>
    </row>
    <row r="38" spans="1:32" s="36" customFormat="1" ht="13.5" customHeight="1">
      <c r="A38" s="287" t="str">
        <f>IF(Baseline!A38="","",Baseline!A38)</f>
        <v>B3-A-09-06</v>
      </c>
      <c r="B38" s="141">
        <f>IF(Baseline!B38="","",Baseline!B38)</f>
        <v>78</v>
      </c>
      <c r="C38" s="141">
        <f>IF(Baseline!C38="","",Baseline!C38)</f>
        <v>3</v>
      </c>
      <c r="D38" s="288">
        <f>IF(Baseline!D38="","",Baseline!D38)</f>
        <v>234</v>
      </c>
      <c r="E38" s="88">
        <f t="shared" ref="E38:E56" si="4">IFERROR(S38/$B38,"")</f>
        <v>13.533568200726313</v>
      </c>
      <c r="F38" s="109">
        <v>13.53</v>
      </c>
      <c r="G38" s="100">
        <f>1207.76*100/93.2</f>
        <v>1295.8798283261801</v>
      </c>
      <c r="H38" s="100" t="s">
        <v>11</v>
      </c>
      <c r="I38" s="100">
        <f>1917.77*100/93.2</f>
        <v>2057.6931330472103</v>
      </c>
      <c r="J38" s="100" t="s">
        <v>11</v>
      </c>
      <c r="K38" s="100">
        <v>338.83</v>
      </c>
      <c r="L38" s="100">
        <f>31.26+188.06</f>
        <v>219.32</v>
      </c>
      <c r="M38" s="100">
        <v>80.09</v>
      </c>
      <c r="N38" s="46">
        <f>IFERROR($G38*INDEX('Carbon factors'!$B$4:$B$10,MATCH($H38,Fuel_Type,0),1),"")</f>
        <v>279.91004291845491</v>
      </c>
      <c r="O38" s="47">
        <f>IFERROR($I38*INDEX('Carbon factors'!$B$4:$B$10,MATCH($J38,Fuel_Type,0),1),"")</f>
        <v>444.46171673819742</v>
      </c>
      <c r="P38" s="47">
        <f>IF(K38="","",K38*'Carbon factors'!$B$5)</f>
        <v>175.85276999999999</v>
      </c>
      <c r="Q38" s="47">
        <f>IF(L38="","",L38*'Carbon factors'!$B$5)</f>
        <v>113.82708</v>
      </c>
      <c r="R38" s="47">
        <f>IF(M38="","",M38*'Carbon factors'!$B$5)</f>
        <v>41.56671</v>
      </c>
      <c r="S38" s="267">
        <f t="shared" si="1"/>
        <v>1055.6183196566524</v>
      </c>
      <c r="T38" s="49">
        <f>IFERROR($G38*INDEX('Carbon factors'!$C$4:$C$10,MATCH($H38,Fuel_Type,0),1),"")</f>
        <v>272.13476394849783</v>
      </c>
      <c r="U38" s="47">
        <f>IFERROR($I38*INDEX('Carbon factors'!$C$4:$C$10,MATCH($J38,Fuel_Type,0),1),"")</f>
        <v>432.11555793991414</v>
      </c>
      <c r="V38" s="47">
        <f>IF(K38="","",K38*'Carbon factors'!$C$5)</f>
        <v>78.947389999999999</v>
      </c>
      <c r="W38" s="47">
        <f>IF(L38="","",L38*'Carbon factors'!$C$5)</f>
        <v>51.101559999999999</v>
      </c>
      <c r="X38" s="47">
        <f>IF(M38="","",M38*'Carbon factors'!$C$5)</f>
        <v>18.660970000000002</v>
      </c>
      <c r="Y38" s="222">
        <f t="shared" si="2"/>
        <v>852.96024188841193</v>
      </c>
      <c r="Z38" s="61">
        <f t="shared" si="3"/>
        <v>10.935387716518102</v>
      </c>
      <c r="AA38" s="281">
        <v>35</v>
      </c>
      <c r="AB38" s="112">
        <v>1207.76</v>
      </c>
      <c r="AC38" s="113">
        <v>1917.77</v>
      </c>
      <c r="AD38" s="113">
        <v>338.83</v>
      </c>
      <c r="AE38" s="113"/>
      <c r="AF38" s="114">
        <v>80.09</v>
      </c>
    </row>
    <row r="39" spans="1:32" s="36" customFormat="1" ht="13.5" customHeight="1">
      <c r="A39" s="287" t="str">
        <f>IF(Baseline!A39="","",Baseline!A39)</f>
        <v>B3-A-12-B3-01</v>
      </c>
      <c r="B39" s="141">
        <f>IF(Baseline!B39="","",Baseline!B39)</f>
        <v>149</v>
      </c>
      <c r="C39" s="141">
        <f>IF(Baseline!C39="","",Baseline!C39)</f>
        <v>2</v>
      </c>
      <c r="D39" s="288">
        <f>IF(Baseline!D39="","",Baseline!D39)</f>
        <v>298</v>
      </c>
      <c r="E39" s="88">
        <f t="shared" si="4"/>
        <v>13.896525982947836</v>
      </c>
      <c r="F39" s="109">
        <v>13.9</v>
      </c>
      <c r="G39" s="100">
        <f>4374.38*100/93.2</f>
        <v>4693.5407725321884</v>
      </c>
      <c r="H39" s="100" t="s">
        <v>11</v>
      </c>
      <c r="I39" s="100">
        <f>2117.41*100/93.2</f>
        <v>2271.8991416309013</v>
      </c>
      <c r="J39" s="100" t="s">
        <v>11</v>
      </c>
      <c r="K39" s="100">
        <v>502.92</v>
      </c>
      <c r="L39" s="100">
        <f>64.92+382.42</f>
        <v>447.34000000000003</v>
      </c>
      <c r="M39" s="100">
        <v>140.38999999999999</v>
      </c>
      <c r="N39" s="46">
        <f>IFERROR($G39*INDEX('Carbon factors'!$B$4:$B$10,MATCH($H39,Fuel_Type,0),1),"")</f>
        <v>1013.8048068669527</v>
      </c>
      <c r="O39" s="47">
        <f>IFERROR($I39*INDEX('Carbon factors'!$B$4:$B$10,MATCH($J39,Fuel_Type,0),1),"")</f>
        <v>490.73021459227471</v>
      </c>
      <c r="P39" s="47">
        <f>IF(K39="","",K39*'Carbon factors'!$B$5)</f>
        <v>261.01548000000003</v>
      </c>
      <c r="Q39" s="47">
        <f>IF(L39="","",L39*'Carbon factors'!$B$5)</f>
        <v>232.16946000000002</v>
      </c>
      <c r="R39" s="47">
        <f>IF(M39="","",M39*'Carbon factors'!$B$5)</f>
        <v>72.862409999999997</v>
      </c>
      <c r="S39" s="267">
        <f t="shared" si="1"/>
        <v>2070.5823714592275</v>
      </c>
      <c r="T39" s="49">
        <f>IFERROR($G39*INDEX('Carbon factors'!$C$4:$C$10,MATCH($H39,Fuel_Type,0),1),"")</f>
        <v>985.64356223175957</v>
      </c>
      <c r="U39" s="47">
        <f>IFERROR($I39*INDEX('Carbon factors'!$C$4:$C$10,MATCH($J39,Fuel_Type,0),1),"")</f>
        <v>477.09881974248924</v>
      </c>
      <c r="V39" s="47">
        <f>IF(K39="","",K39*'Carbon factors'!$C$5)</f>
        <v>117.18036000000001</v>
      </c>
      <c r="W39" s="47">
        <f>IF(L39="","",L39*'Carbon factors'!$C$5)</f>
        <v>104.23022000000002</v>
      </c>
      <c r="X39" s="47">
        <f>IF(M39="","",M39*'Carbon factors'!$C$5)</f>
        <v>32.71087</v>
      </c>
      <c r="Y39" s="222">
        <f t="shared" si="2"/>
        <v>1716.863831974249</v>
      </c>
      <c r="Z39" s="61">
        <f t="shared" si="3"/>
        <v>11.522576053518449</v>
      </c>
      <c r="AA39" s="281">
        <v>46.4</v>
      </c>
      <c r="AB39" s="112">
        <v>4374.38</v>
      </c>
      <c r="AC39" s="113">
        <v>2117.41</v>
      </c>
      <c r="AD39" s="113">
        <v>502.92</v>
      </c>
      <c r="AE39" s="113"/>
      <c r="AF39" s="114">
        <v>140.38999999999999</v>
      </c>
    </row>
    <row r="40" spans="1:32" s="36" customFormat="1" ht="13.5" customHeight="1">
      <c r="A40" s="287" t="str">
        <f>IF(Baseline!A40="","",Baseline!A40)</f>
        <v>B2-A-03-01</v>
      </c>
      <c r="B40" s="141">
        <f>IF(Baseline!B40="","",Baseline!B40)</f>
        <v>81</v>
      </c>
      <c r="C40" s="141">
        <f>IF(Baseline!C40="","",Baseline!C40)</f>
        <v>1</v>
      </c>
      <c r="D40" s="288">
        <f>IF(Baseline!D40="","",Baseline!D40)</f>
        <v>81</v>
      </c>
      <c r="E40" s="88">
        <f t="shared" si="4"/>
        <v>12.134303379430932</v>
      </c>
      <c r="F40" s="109">
        <v>12.14</v>
      </c>
      <c r="G40" s="100">
        <f>715.38*100/93.2</f>
        <v>767.57510729613728</v>
      </c>
      <c r="H40" s="100" t="s">
        <v>11</v>
      </c>
      <c r="I40" s="100">
        <f>1940.43*100/93.2</f>
        <v>2082.0064377682402</v>
      </c>
      <c r="J40" s="100" t="s">
        <v>11</v>
      </c>
      <c r="K40" s="100">
        <v>348.76</v>
      </c>
      <c r="L40" s="100">
        <f>26.56+195.29</f>
        <v>221.85</v>
      </c>
      <c r="M40" s="100">
        <v>137.22999999999999</v>
      </c>
      <c r="N40" s="46">
        <f>IFERROR($G40*INDEX('Carbon factors'!$B$4:$B$10,MATCH($H40,Fuel_Type,0),1),"")</f>
        <v>165.79622317596565</v>
      </c>
      <c r="O40" s="47">
        <f>IFERROR($I40*INDEX('Carbon factors'!$B$4:$B$10,MATCH($J40,Fuel_Type,0),1),"")</f>
        <v>449.71339055793987</v>
      </c>
      <c r="P40" s="47">
        <f>IF(K40="","",K40*'Carbon factors'!$B$5)</f>
        <v>181.00644</v>
      </c>
      <c r="Q40" s="47">
        <f>IF(L40="","",L40*'Carbon factors'!$B$5)</f>
        <v>115.14015000000001</v>
      </c>
      <c r="R40" s="47">
        <f>IF(M40="","",M40*'Carbon factors'!$B$5)</f>
        <v>71.222369999999998</v>
      </c>
      <c r="S40" s="267">
        <f t="shared" si="1"/>
        <v>982.87857373390557</v>
      </c>
      <c r="T40" s="49">
        <f>IFERROR($G40*INDEX('Carbon factors'!$C$4:$C$10,MATCH($H40,Fuel_Type,0),1),"")</f>
        <v>161.19077253218882</v>
      </c>
      <c r="U40" s="47">
        <f>IFERROR($I40*INDEX('Carbon factors'!$C$4:$C$10,MATCH($J40,Fuel_Type,0),1),"")</f>
        <v>437.22135193133045</v>
      </c>
      <c r="V40" s="47">
        <f>IF(K40="","",K40*'Carbon factors'!$C$5)</f>
        <v>81.261080000000007</v>
      </c>
      <c r="W40" s="47">
        <f>IF(L40="","",L40*'Carbon factors'!$C$5)</f>
        <v>51.691050000000004</v>
      </c>
      <c r="X40" s="47">
        <f>IF(M40="","",M40*'Carbon factors'!$C$5)</f>
        <v>31.974589999999999</v>
      </c>
      <c r="Y40" s="222">
        <f t="shared" si="2"/>
        <v>763.33884446351931</v>
      </c>
      <c r="Z40" s="61">
        <f t="shared" si="3"/>
        <v>9.4239363514014727</v>
      </c>
      <c r="AA40" s="281">
        <v>27</v>
      </c>
      <c r="AB40" s="112">
        <v>715.38</v>
      </c>
      <c r="AC40" s="113">
        <v>1940.43</v>
      </c>
      <c r="AD40" s="113">
        <v>348.76</v>
      </c>
      <c r="AE40" s="113"/>
      <c r="AF40" s="114">
        <v>137.22999999999999</v>
      </c>
    </row>
    <row r="41" spans="1:32" s="36" customFormat="1" ht="13.5" customHeight="1">
      <c r="A41" s="287" t="str">
        <f>IF(Baseline!A41="","",Baseline!A41)</f>
        <v>B2-A-03-02</v>
      </c>
      <c r="B41" s="141">
        <f>IF(Baseline!B41="","",Baseline!B41)</f>
        <v>41</v>
      </c>
      <c r="C41" s="141">
        <f>IF(Baseline!C41="","",Baseline!C41)</f>
        <v>1</v>
      </c>
      <c r="D41" s="288">
        <f>IF(Baseline!D41="","",Baseline!D41)</f>
        <v>41</v>
      </c>
      <c r="E41" s="88">
        <f t="shared" si="4"/>
        <v>14.621286597927353</v>
      </c>
      <c r="F41" s="109">
        <v>14.62</v>
      </c>
      <c r="G41" s="100">
        <f>249.55*100/93.2</f>
        <v>267.75751072961373</v>
      </c>
      <c r="H41" s="100" t="s">
        <v>11</v>
      </c>
      <c r="I41" s="100">
        <f>1529.07*100/93.2</f>
        <v>1640.6330472103004</v>
      </c>
      <c r="J41" s="100" t="s">
        <v>11</v>
      </c>
      <c r="K41" s="100">
        <v>196.04</v>
      </c>
      <c r="L41" s="100">
        <f>17.79+98.85</f>
        <v>116.63999999999999</v>
      </c>
      <c r="M41" s="100">
        <v>48.13</v>
      </c>
      <c r="N41" s="46">
        <f>IFERROR($G41*INDEX('Carbon factors'!$B$4:$B$10,MATCH($H41,Fuel_Type,0),1),"")</f>
        <v>57.835622317596567</v>
      </c>
      <c r="O41" s="47">
        <f>IFERROR($I41*INDEX('Carbon factors'!$B$4:$B$10,MATCH($J41,Fuel_Type,0),1),"")</f>
        <v>354.37673819742491</v>
      </c>
      <c r="P41" s="47">
        <f>IF(K41="","",K41*'Carbon factors'!$B$5)</f>
        <v>101.74476</v>
      </c>
      <c r="Q41" s="47">
        <f>IF(L41="","",L41*'Carbon factors'!$B$5)</f>
        <v>60.536159999999995</v>
      </c>
      <c r="R41" s="47">
        <f>IF(M41="","",M41*'Carbon factors'!$B$5)</f>
        <v>24.979470000000003</v>
      </c>
      <c r="S41" s="267">
        <f t="shared" si="1"/>
        <v>599.47275051502152</v>
      </c>
      <c r="T41" s="49">
        <f>IFERROR($G41*INDEX('Carbon factors'!$C$4:$C$10,MATCH($H41,Fuel_Type,0),1),"")</f>
        <v>56.229077253218883</v>
      </c>
      <c r="U41" s="47">
        <f>IFERROR($I41*INDEX('Carbon factors'!$C$4:$C$10,MATCH($J41,Fuel_Type,0),1),"")</f>
        <v>344.53293991416308</v>
      </c>
      <c r="V41" s="47">
        <f>IF(K41="","",K41*'Carbon factors'!$C$5)</f>
        <v>45.677320000000002</v>
      </c>
      <c r="W41" s="47">
        <f>IF(L41="","",L41*'Carbon factors'!$C$5)</f>
        <v>27.177119999999999</v>
      </c>
      <c r="X41" s="47">
        <f>IF(M41="","",M41*'Carbon factors'!$C$5)</f>
        <v>11.214290000000002</v>
      </c>
      <c r="Y41" s="222">
        <f t="shared" si="2"/>
        <v>484.83074716738196</v>
      </c>
      <c r="Z41" s="61">
        <f t="shared" si="3"/>
        <v>11.825140174814194</v>
      </c>
      <c r="AA41" s="281">
        <v>28</v>
      </c>
      <c r="AB41" s="112">
        <v>249.59</v>
      </c>
      <c r="AC41" s="113">
        <v>1529.07</v>
      </c>
      <c r="AD41" s="113">
        <v>196.04</v>
      </c>
      <c r="AE41" s="113"/>
      <c r="AF41" s="114">
        <v>48.13</v>
      </c>
    </row>
    <row r="42" spans="1:32" s="36" customFormat="1" ht="13.5" customHeight="1">
      <c r="A42" s="287" t="str">
        <f>IF(Baseline!A42="","",Baseline!A42)</f>
        <v>B2-A-03-03</v>
      </c>
      <c r="B42" s="141">
        <f>IF(Baseline!B42="","",Baseline!B42)</f>
        <v>77</v>
      </c>
      <c r="C42" s="141">
        <f>IF(Baseline!C42="","",Baseline!C42)</f>
        <v>2</v>
      </c>
      <c r="D42" s="288">
        <f>IF(Baseline!D42="","",Baseline!D42)</f>
        <v>154</v>
      </c>
      <c r="E42" s="88">
        <f t="shared" si="4"/>
        <v>18.455177706370886</v>
      </c>
      <c r="F42" s="109">
        <v>18.46</v>
      </c>
      <c r="G42" s="100">
        <f>2771.79*100/93.2</f>
        <v>2974.0236051502143</v>
      </c>
      <c r="H42" s="100" t="s">
        <v>11</v>
      </c>
      <c r="I42" s="100">
        <f>1909.79*100/93.2</f>
        <v>2049.1309012875536</v>
      </c>
      <c r="J42" s="100" t="s">
        <v>11</v>
      </c>
      <c r="K42" s="100">
        <v>335.44</v>
      </c>
      <c r="L42" s="100">
        <f>46.82+185.65</f>
        <v>232.47</v>
      </c>
      <c r="M42" s="100">
        <v>79.58</v>
      </c>
      <c r="N42" s="46">
        <f>IFERROR($G42*INDEX('Carbon factors'!$B$4:$B$10,MATCH($H42,Fuel_Type,0),1),"")</f>
        <v>642.3890987124463</v>
      </c>
      <c r="O42" s="47">
        <f>IFERROR($I42*INDEX('Carbon factors'!$B$4:$B$10,MATCH($J42,Fuel_Type,0),1),"")</f>
        <v>442.61227467811159</v>
      </c>
      <c r="P42" s="47">
        <f>IF(K42="","",K42*'Carbon factors'!$B$5)</f>
        <v>174.09336000000002</v>
      </c>
      <c r="Q42" s="47">
        <f>IF(L42="","",L42*'Carbon factors'!$B$5)</f>
        <v>120.65193000000001</v>
      </c>
      <c r="R42" s="47">
        <f>IF(M42="","",M42*'Carbon factors'!$B$5)</f>
        <v>41.302019999999999</v>
      </c>
      <c r="S42" s="267">
        <f t="shared" si="1"/>
        <v>1421.0486833905582</v>
      </c>
      <c r="T42" s="49">
        <f>IFERROR($G42*INDEX('Carbon factors'!$C$4:$C$10,MATCH($H42,Fuel_Type,0),1),"")</f>
        <v>624.54495708154502</v>
      </c>
      <c r="U42" s="47">
        <f>IFERROR($I42*INDEX('Carbon factors'!$C$4:$C$10,MATCH($J42,Fuel_Type,0),1),"")</f>
        <v>430.31748927038626</v>
      </c>
      <c r="V42" s="47">
        <f>IF(K42="","",K42*'Carbon factors'!$C$5)</f>
        <v>78.157520000000005</v>
      </c>
      <c r="W42" s="47">
        <f>IF(L42="","",L42*'Carbon factors'!$C$5)</f>
        <v>54.165510000000005</v>
      </c>
      <c r="X42" s="47">
        <f>IF(M42="","",M42*'Carbon factors'!$C$5)</f>
        <v>18.54214</v>
      </c>
      <c r="Y42" s="222">
        <f t="shared" si="2"/>
        <v>1205.7276163519314</v>
      </c>
      <c r="Z42" s="61">
        <f t="shared" si="3"/>
        <v>15.658800212362745</v>
      </c>
      <c r="AA42" s="281">
        <v>55.4</v>
      </c>
      <c r="AB42" s="112">
        <v>2771.79</v>
      </c>
      <c r="AC42" s="113">
        <v>1909.79</v>
      </c>
      <c r="AD42" s="113">
        <v>335.44</v>
      </c>
      <c r="AE42" s="113"/>
      <c r="AF42" s="114">
        <v>79.58</v>
      </c>
    </row>
    <row r="43" spans="1:32" s="36" customFormat="1" ht="13.5" customHeight="1">
      <c r="A43" s="287" t="str">
        <f>IF(Baseline!A43="","",Baseline!A43)</f>
        <v>B2-A-04-01</v>
      </c>
      <c r="B43" s="141">
        <f>IF(Baseline!B43="","",Baseline!B43)</f>
        <v>77</v>
      </c>
      <c r="C43" s="141">
        <f>IF(Baseline!C43="","",Baseline!C43)</f>
        <v>18</v>
      </c>
      <c r="D43" s="288">
        <f>IF(Baseline!D43="","",Baseline!D43)</f>
        <v>1386</v>
      </c>
      <c r="E43" s="88">
        <f t="shared" si="4"/>
        <v>12.806865178083719</v>
      </c>
      <c r="F43" s="109">
        <v>12.81</v>
      </c>
      <c r="G43" s="100">
        <f>817.73*100/93.2</f>
        <v>877.39270386266094</v>
      </c>
      <c r="H43" s="100" t="s">
        <v>11</v>
      </c>
      <c r="I43" s="100">
        <f>1909.79*100/93.2</f>
        <v>2049.1309012875536</v>
      </c>
      <c r="J43" s="100" t="s">
        <v>11</v>
      </c>
      <c r="K43" s="100">
        <v>335.44</v>
      </c>
      <c r="L43" s="100">
        <f>27.28+185.65</f>
        <v>212.93</v>
      </c>
      <c r="M43" s="100">
        <v>133.71</v>
      </c>
      <c r="N43" s="46">
        <f>IFERROR($G43*INDEX('Carbon factors'!$B$4:$B$10,MATCH($H43,Fuel_Type,0),1),"")</f>
        <v>189.51682403433475</v>
      </c>
      <c r="O43" s="47">
        <f>IFERROR($I43*INDEX('Carbon factors'!$B$4:$B$10,MATCH($J43,Fuel_Type,0),1),"")</f>
        <v>442.61227467811159</v>
      </c>
      <c r="P43" s="47">
        <f>IF(K43="","",K43*'Carbon factors'!$B$5)</f>
        <v>174.09336000000002</v>
      </c>
      <c r="Q43" s="47">
        <f>IF(L43="","",L43*'Carbon factors'!$B$5)</f>
        <v>110.51067</v>
      </c>
      <c r="R43" s="47">
        <f>IF(M43="","",M43*'Carbon factors'!$B$5)</f>
        <v>69.395490000000009</v>
      </c>
      <c r="S43" s="267">
        <f t="shared" si="1"/>
        <v>986.12861871244627</v>
      </c>
      <c r="T43" s="49">
        <f>IFERROR($G43*INDEX('Carbon factors'!$C$4:$C$10,MATCH($H43,Fuel_Type,0),1),"")</f>
        <v>184.25246781115879</v>
      </c>
      <c r="U43" s="47">
        <f>IFERROR($I43*INDEX('Carbon factors'!$C$4:$C$10,MATCH($J43,Fuel_Type,0),1),"")</f>
        <v>430.31748927038626</v>
      </c>
      <c r="V43" s="47">
        <f>IF(K43="","",K43*'Carbon factors'!$C$5)</f>
        <v>78.157520000000005</v>
      </c>
      <c r="W43" s="47">
        <f>IF(L43="","",L43*'Carbon factors'!$C$5)</f>
        <v>49.612690000000008</v>
      </c>
      <c r="X43" s="47">
        <f>IF(M43="","",M43*'Carbon factors'!$C$5)</f>
        <v>31.154430000000005</v>
      </c>
      <c r="Y43" s="222">
        <f t="shared" si="2"/>
        <v>773.49459708154507</v>
      </c>
      <c r="Z43" s="61">
        <f t="shared" si="3"/>
        <v>10.045384377682403</v>
      </c>
      <c r="AA43" s="281">
        <v>29.5</v>
      </c>
      <c r="AB43" s="112">
        <v>817.73</v>
      </c>
      <c r="AC43" s="113">
        <v>1909.79</v>
      </c>
      <c r="AD43" s="113">
        <v>335.44</v>
      </c>
      <c r="AE43" s="113"/>
      <c r="AF43" s="114">
        <v>133.71</v>
      </c>
    </row>
    <row r="44" spans="1:32" s="36" customFormat="1" ht="13.5" customHeight="1">
      <c r="A44" s="287" t="str">
        <f>IF(Baseline!A44="","",Baseline!A44)</f>
        <v>B2-A-04-04</v>
      </c>
      <c r="B44" s="141">
        <f>IF(Baseline!B44="","",Baseline!B44)</f>
        <v>77</v>
      </c>
      <c r="C44" s="141">
        <f>IF(Baseline!C44="","",Baseline!C44)</f>
        <v>34</v>
      </c>
      <c r="D44" s="288">
        <f>IF(Baseline!D44="","",Baseline!D44)</f>
        <v>2618</v>
      </c>
      <c r="E44" s="88">
        <f t="shared" si="4"/>
        <v>14.708507704698734</v>
      </c>
      <c r="F44" s="109">
        <v>14.71</v>
      </c>
      <c r="G44" s="100">
        <f>1503.48*100/93.2</f>
        <v>1613.1759656652359</v>
      </c>
      <c r="H44" s="100" t="s">
        <v>11</v>
      </c>
      <c r="I44" s="100">
        <f>1909.79*100/93.2</f>
        <v>2049.1309012875536</v>
      </c>
      <c r="J44" s="100" t="s">
        <v>11</v>
      </c>
      <c r="K44" s="100">
        <v>335.44</v>
      </c>
      <c r="L44" s="100">
        <f>34.13+185.65</f>
        <v>219.78</v>
      </c>
      <c r="M44" s="100">
        <v>102.77</v>
      </c>
      <c r="N44" s="46">
        <f>IFERROR($G44*INDEX('Carbon factors'!$B$4:$B$10,MATCH($H44,Fuel_Type,0),1),"")</f>
        <v>348.44600858369097</v>
      </c>
      <c r="O44" s="47">
        <f>IFERROR($I44*INDEX('Carbon factors'!$B$4:$B$10,MATCH($J44,Fuel_Type,0),1),"")</f>
        <v>442.61227467811159</v>
      </c>
      <c r="P44" s="47">
        <f>IF(K44="","",K44*'Carbon factors'!$B$5)</f>
        <v>174.09336000000002</v>
      </c>
      <c r="Q44" s="47">
        <f>IF(L44="","",L44*'Carbon factors'!$B$5)</f>
        <v>114.06582</v>
      </c>
      <c r="R44" s="47">
        <f>IF(M44="","",M44*'Carbon factors'!$B$5)</f>
        <v>53.337629999999997</v>
      </c>
      <c r="S44" s="267">
        <f t="shared" si="1"/>
        <v>1132.5550932618025</v>
      </c>
      <c r="T44" s="49">
        <f>IFERROR($G44*INDEX('Carbon factors'!$C$4:$C$10,MATCH($H44,Fuel_Type,0),1),"")</f>
        <v>338.76695278969953</v>
      </c>
      <c r="U44" s="47">
        <f>IFERROR($I44*INDEX('Carbon factors'!$C$4:$C$10,MATCH($J44,Fuel_Type,0),1),"")</f>
        <v>430.31748927038626</v>
      </c>
      <c r="V44" s="47">
        <f>IF(K44="","",K44*'Carbon factors'!$C$5)</f>
        <v>78.157520000000005</v>
      </c>
      <c r="W44" s="47">
        <f>IF(L44="","",L44*'Carbon factors'!$C$5)</f>
        <v>51.208740000000006</v>
      </c>
      <c r="X44" s="47">
        <f>IF(M44="","",M44*'Carbon factors'!$C$5)</f>
        <v>23.945409999999999</v>
      </c>
      <c r="Y44" s="222">
        <f t="shared" si="2"/>
        <v>922.3961120600859</v>
      </c>
      <c r="Z44" s="61">
        <f t="shared" si="3"/>
        <v>11.979170286494622</v>
      </c>
      <c r="AA44" s="281">
        <v>39.700000000000003</v>
      </c>
      <c r="AB44" s="112">
        <v>1503.48</v>
      </c>
      <c r="AC44" s="113">
        <v>1909.79</v>
      </c>
      <c r="AD44" s="113">
        <v>335.44</v>
      </c>
      <c r="AE44" s="113"/>
      <c r="AF44" s="114">
        <v>102.77</v>
      </c>
    </row>
    <row r="45" spans="1:32" s="36" customFormat="1" ht="13.5" customHeight="1">
      <c r="A45" s="287" t="str">
        <f>IF(Baseline!A45="","",Baseline!A45)</f>
        <v>B2-A-08-02</v>
      </c>
      <c r="B45" s="141">
        <f>IF(Baseline!B45="","",Baseline!B45)</f>
        <v>51</v>
      </c>
      <c r="C45" s="141">
        <f>IF(Baseline!C45="","",Baseline!C45)</f>
        <v>16</v>
      </c>
      <c r="D45" s="288">
        <f>IF(Baseline!D45="","",Baseline!D45)</f>
        <v>816</v>
      </c>
      <c r="E45" s="88">
        <f t="shared" si="4"/>
        <v>14.695700787679879</v>
      </c>
      <c r="F45" s="109">
        <v>14.7</v>
      </c>
      <c r="G45" s="100">
        <f>622.81*100/93.2</f>
        <v>668.25107296137332</v>
      </c>
      <c r="H45" s="100" t="s">
        <v>11</v>
      </c>
      <c r="I45" s="100">
        <f>1641.45*100/93.2</f>
        <v>1761.2124463519312</v>
      </c>
      <c r="J45" s="100" t="s">
        <v>11</v>
      </c>
      <c r="K45" s="100">
        <v>235.9</v>
      </c>
      <c r="L45" s="100">
        <f>22.64+122.96</f>
        <v>145.6</v>
      </c>
      <c r="M45" s="100">
        <v>51.48</v>
      </c>
      <c r="N45" s="46">
        <f>IFERROR($G45*INDEX('Carbon factors'!$B$4:$B$10,MATCH($H45,Fuel_Type,0),1),"")</f>
        <v>144.34223175965664</v>
      </c>
      <c r="O45" s="47">
        <f>IFERROR($I45*INDEX('Carbon factors'!$B$4:$B$10,MATCH($J45,Fuel_Type,0),1),"")</f>
        <v>380.42188841201715</v>
      </c>
      <c r="P45" s="47">
        <f>IF(K45="","",K45*'Carbon factors'!$B$5)</f>
        <v>122.43210000000001</v>
      </c>
      <c r="Q45" s="47">
        <f>IF(L45="","",L45*'Carbon factors'!$B$5)</f>
        <v>75.566400000000002</v>
      </c>
      <c r="R45" s="47">
        <f>IF(M45="","",M45*'Carbon factors'!$B$5)</f>
        <v>26.718119999999999</v>
      </c>
      <c r="S45" s="267">
        <f t="shared" si="1"/>
        <v>749.4807401716738</v>
      </c>
      <c r="T45" s="49">
        <f>IFERROR($G45*INDEX('Carbon factors'!$C$4:$C$10,MATCH($H45,Fuel_Type,0),1),"")</f>
        <v>140.3327253218884</v>
      </c>
      <c r="U45" s="47">
        <f>IFERROR($I45*INDEX('Carbon factors'!$C$4:$C$10,MATCH($J45,Fuel_Type,0),1),"")</f>
        <v>369.85461373390552</v>
      </c>
      <c r="V45" s="47">
        <f>IF(K45="","",K45*'Carbon factors'!$C$5)</f>
        <v>54.964700000000008</v>
      </c>
      <c r="W45" s="47">
        <f>IF(L45="","",L45*'Carbon factors'!$C$5)</f>
        <v>33.924799999999998</v>
      </c>
      <c r="X45" s="47">
        <f>IF(M45="","",M45*'Carbon factors'!$C$5)</f>
        <v>11.99484</v>
      </c>
      <c r="Y45" s="222">
        <f t="shared" si="2"/>
        <v>611.07167905579388</v>
      </c>
      <c r="Z45" s="61">
        <f t="shared" si="3"/>
        <v>11.981797628544978</v>
      </c>
      <c r="AA45" s="281">
        <v>32.4</v>
      </c>
      <c r="AB45" s="112">
        <v>622.80999999999995</v>
      </c>
      <c r="AC45" s="113">
        <v>1641.45</v>
      </c>
      <c r="AD45" s="113">
        <v>235.9</v>
      </c>
      <c r="AE45" s="113"/>
      <c r="AF45" s="114">
        <v>51.48</v>
      </c>
    </row>
    <row r="46" spans="1:32" s="36" customFormat="1" ht="13.5" customHeight="1">
      <c r="A46" s="287" t="str">
        <f>IF(Baseline!A46="","",Baseline!A46)</f>
        <v>B2-A-12-03</v>
      </c>
      <c r="B46" s="141">
        <f>IF(Baseline!B46="","",Baseline!B46)</f>
        <v>74</v>
      </c>
      <c r="C46" s="141">
        <f>IF(Baseline!C46="","",Baseline!C46)</f>
        <v>16</v>
      </c>
      <c r="D46" s="288">
        <f>IF(Baseline!D46="","",Baseline!D46)</f>
        <v>1184</v>
      </c>
      <c r="E46" s="88">
        <f t="shared" si="4"/>
        <v>13.741350214012295</v>
      </c>
      <c r="F46" s="109">
        <v>13.74</v>
      </c>
      <c r="G46" s="100">
        <f>1167.04*100/93.2</f>
        <v>1252.1888412017167</v>
      </c>
      <c r="H46" s="100" t="s">
        <v>11</v>
      </c>
      <c r="I46" s="100">
        <f>1884.57*100/93.2</f>
        <v>2022.0708154506437</v>
      </c>
      <c r="J46" s="100" t="s">
        <v>11</v>
      </c>
      <c r="K46" s="100">
        <v>325.04000000000002</v>
      </c>
      <c r="L46" s="100">
        <f>30.52+178.42</f>
        <v>208.94</v>
      </c>
      <c r="M46" s="100">
        <v>62.59</v>
      </c>
      <c r="N46" s="46">
        <f>IFERROR($G46*INDEX('Carbon factors'!$B$4:$B$10,MATCH($H46,Fuel_Type,0),1),"")</f>
        <v>270.4727896995708</v>
      </c>
      <c r="O46" s="47">
        <f>IFERROR($I46*INDEX('Carbon factors'!$B$4:$B$10,MATCH($J46,Fuel_Type,0),1),"")</f>
        <v>436.76729613733903</v>
      </c>
      <c r="P46" s="47">
        <f>IF(K46="","",K46*'Carbon factors'!$B$5)</f>
        <v>168.69576000000001</v>
      </c>
      <c r="Q46" s="47">
        <f>IF(L46="","",L46*'Carbon factors'!$B$5)</f>
        <v>108.43986</v>
      </c>
      <c r="R46" s="47">
        <f>IF(M46="","",M46*'Carbon factors'!$B$5)</f>
        <v>32.484210000000004</v>
      </c>
      <c r="S46" s="267">
        <f t="shared" si="1"/>
        <v>1016.8599158369099</v>
      </c>
      <c r="T46" s="49">
        <f>IFERROR($G46*INDEX('Carbon factors'!$C$4:$C$10,MATCH($H46,Fuel_Type,0),1),"")</f>
        <v>262.95965665236048</v>
      </c>
      <c r="U46" s="47">
        <f>IFERROR($I46*INDEX('Carbon factors'!$C$4:$C$10,MATCH($J46,Fuel_Type,0),1),"")</f>
        <v>424.63487124463518</v>
      </c>
      <c r="V46" s="47">
        <f>IF(K46="","",K46*'Carbon factors'!$C$5)</f>
        <v>75.734320000000011</v>
      </c>
      <c r="W46" s="47">
        <f>IF(L46="","",L46*'Carbon factors'!$C$5)</f>
        <v>48.683019999999999</v>
      </c>
      <c r="X46" s="47">
        <f>IF(M46="","",M46*'Carbon factors'!$C$5)</f>
        <v>14.583470000000002</v>
      </c>
      <c r="Y46" s="222">
        <f t="shared" si="2"/>
        <v>826.59533789699572</v>
      </c>
      <c r="Z46" s="61">
        <f t="shared" si="3"/>
        <v>11.17020726887832</v>
      </c>
      <c r="AA46" s="281">
        <v>36.200000000000003</v>
      </c>
      <c r="AB46" s="112">
        <v>1167.04</v>
      </c>
      <c r="AC46" s="113">
        <v>1884.57</v>
      </c>
      <c r="AD46" s="113">
        <v>325.04000000000002</v>
      </c>
      <c r="AE46" s="113"/>
      <c r="AF46" s="114">
        <v>62.59</v>
      </c>
    </row>
    <row r="47" spans="1:32" s="36" customFormat="1" ht="13.5" customHeight="1">
      <c r="A47" s="287" t="str">
        <f>IF(Baseline!A47="","",Baseline!A47)</f>
        <v>B4-A-02-02</v>
      </c>
      <c r="B47" s="141">
        <f>IF(Baseline!B47="","",Baseline!B47)</f>
        <v>57</v>
      </c>
      <c r="C47" s="141">
        <f>IF(Baseline!C47="","",Baseline!C47)</f>
        <v>2</v>
      </c>
      <c r="D47" s="288">
        <f>IF(Baseline!D47="","",Baseline!D47)</f>
        <v>114</v>
      </c>
      <c r="E47" s="88">
        <f t="shared" si="4"/>
        <v>15.200823584820419</v>
      </c>
      <c r="F47" s="109">
        <v>15.2</v>
      </c>
      <c r="G47" s="100">
        <f>908.56*100/93.2</f>
        <v>974.84978540772534</v>
      </c>
      <c r="H47" s="100" t="s">
        <v>11</v>
      </c>
      <c r="I47" s="100">
        <f>1710.55*100/93.2</f>
        <v>1835.3540772532187</v>
      </c>
      <c r="J47" s="100" t="s">
        <v>11</v>
      </c>
      <c r="K47" s="100">
        <v>260.29000000000002</v>
      </c>
      <c r="L47" s="100">
        <f>26.19+137.43</f>
        <v>163.62</v>
      </c>
      <c r="M47" s="100">
        <v>75.98</v>
      </c>
      <c r="N47" s="46">
        <f>IFERROR($G47*INDEX('Carbon factors'!$B$4:$B$10,MATCH($H47,Fuel_Type,0),1),"")</f>
        <v>210.56755364806867</v>
      </c>
      <c r="O47" s="47">
        <f>IFERROR($I47*INDEX('Carbon factors'!$B$4:$B$10,MATCH($J47,Fuel_Type,0),1),"")</f>
        <v>396.43648068669523</v>
      </c>
      <c r="P47" s="47">
        <f>IF(K47="","",K47*'Carbon factors'!$B$5)</f>
        <v>135.09051000000002</v>
      </c>
      <c r="Q47" s="47">
        <f>IF(L47="","",L47*'Carbon factors'!$B$5)</f>
        <v>84.918779999999998</v>
      </c>
      <c r="R47" s="47">
        <f>IF(M47="","",M47*'Carbon factors'!$B$5)</f>
        <v>39.433620000000005</v>
      </c>
      <c r="S47" s="267">
        <f t="shared" si="1"/>
        <v>866.44694433476388</v>
      </c>
      <c r="T47" s="49">
        <f>IFERROR($G47*INDEX('Carbon factors'!$C$4:$C$10,MATCH($H47,Fuel_Type,0),1),"")</f>
        <v>204.7184549356223</v>
      </c>
      <c r="U47" s="47">
        <f>IFERROR($I47*INDEX('Carbon factors'!$C$4:$C$10,MATCH($J47,Fuel_Type,0),1),"")</f>
        <v>385.42435622317595</v>
      </c>
      <c r="V47" s="47">
        <f>IF(K47="","",K47*'Carbon factors'!$C$5)</f>
        <v>60.647570000000009</v>
      </c>
      <c r="W47" s="47">
        <f>IF(L47="","",L47*'Carbon factors'!$C$5)</f>
        <v>38.123460000000001</v>
      </c>
      <c r="X47" s="47">
        <f>IF(M47="","",M47*'Carbon factors'!$C$5)</f>
        <v>17.703340000000001</v>
      </c>
      <c r="Y47" s="222">
        <f t="shared" si="2"/>
        <v>706.6171811587983</v>
      </c>
      <c r="Z47" s="61">
        <f t="shared" si="3"/>
        <v>12.396792651908742</v>
      </c>
      <c r="AA47" s="281">
        <v>35.9</v>
      </c>
      <c r="AB47" s="112">
        <v>908.56</v>
      </c>
      <c r="AC47" s="113">
        <v>1710.55</v>
      </c>
      <c r="AD47" s="113">
        <v>260.29000000000002</v>
      </c>
      <c r="AE47" s="113"/>
      <c r="AF47" s="114">
        <v>75.98</v>
      </c>
    </row>
    <row r="48" spans="1:32" s="36" customFormat="1" ht="13.5" customHeight="1">
      <c r="A48" s="287" t="str">
        <f>IF(Baseline!A48="","",Baseline!A48)</f>
        <v>B4-A-03-07</v>
      </c>
      <c r="B48" s="141">
        <f>IF(Baseline!B48="","",Baseline!B48)</f>
        <v>78</v>
      </c>
      <c r="C48" s="141">
        <f>IF(Baseline!C48="","",Baseline!C48)</f>
        <v>42</v>
      </c>
      <c r="D48" s="288">
        <f>IF(Baseline!D48="","",Baseline!D48)</f>
        <v>3276</v>
      </c>
      <c r="E48" s="88">
        <f t="shared" si="4"/>
        <v>14.091496954440409</v>
      </c>
      <c r="F48" s="109">
        <v>14.09</v>
      </c>
      <c r="G48" s="100">
        <f>1445.45*100/93.2</f>
        <v>1550.9120171673819</v>
      </c>
      <c r="H48" s="100" t="s">
        <v>11</v>
      </c>
      <c r="I48" s="100">
        <f>1917.77*100/93.2</f>
        <v>2057.6931330472103</v>
      </c>
      <c r="J48" s="100" t="s">
        <v>11</v>
      </c>
      <c r="K48" s="100">
        <v>338.83</v>
      </c>
      <c r="L48" s="100">
        <f>33.63+188.06</f>
        <v>221.69</v>
      </c>
      <c r="M48" s="100">
        <v>55.43</v>
      </c>
      <c r="N48" s="46">
        <f>IFERROR($G48*INDEX('Carbon factors'!$B$4:$B$10,MATCH($H48,Fuel_Type,0),1),"")</f>
        <v>334.99699570815449</v>
      </c>
      <c r="O48" s="47">
        <f>IFERROR($I48*INDEX('Carbon factors'!$B$4:$B$10,MATCH($J48,Fuel_Type,0),1),"")</f>
        <v>444.46171673819742</v>
      </c>
      <c r="P48" s="47">
        <f>IF(K48="","",K48*'Carbon factors'!$B$5)</f>
        <v>175.85276999999999</v>
      </c>
      <c r="Q48" s="47">
        <f>IF(L48="","",L48*'Carbon factors'!$B$5)</f>
        <v>115.05711000000001</v>
      </c>
      <c r="R48" s="47">
        <f>IF(M48="","",M48*'Carbon factors'!$B$5)</f>
        <v>28.768170000000001</v>
      </c>
      <c r="S48" s="267">
        <f t="shared" si="1"/>
        <v>1099.1367624463519</v>
      </c>
      <c r="T48" s="49">
        <f>IFERROR($G48*INDEX('Carbon factors'!$C$4:$C$10,MATCH($H48,Fuel_Type,0),1),"")</f>
        <v>325.69152360515017</v>
      </c>
      <c r="U48" s="47">
        <f>IFERROR($I48*INDEX('Carbon factors'!$C$4:$C$10,MATCH($J48,Fuel_Type,0),1),"")</f>
        <v>432.11555793991414</v>
      </c>
      <c r="V48" s="47">
        <f>IF(K48="","",K48*'Carbon factors'!$C$5)</f>
        <v>78.947389999999999</v>
      </c>
      <c r="W48" s="47">
        <f>IF(L48="","",L48*'Carbon factors'!$C$5)</f>
        <v>51.653770000000002</v>
      </c>
      <c r="X48" s="47">
        <f>IF(M48="","",M48*'Carbon factors'!$C$5)</f>
        <v>12.915190000000001</v>
      </c>
      <c r="Y48" s="222">
        <f t="shared" si="2"/>
        <v>901.32343154506441</v>
      </c>
      <c r="Z48" s="61">
        <f t="shared" si="3"/>
        <v>11.555428609552107</v>
      </c>
      <c r="AA48" s="281">
        <v>38.1</v>
      </c>
      <c r="AB48" s="112">
        <v>1445.45</v>
      </c>
      <c r="AC48" s="113">
        <v>1977.17</v>
      </c>
      <c r="AD48" s="113">
        <v>338.83</v>
      </c>
      <c r="AE48" s="113"/>
      <c r="AF48" s="114">
        <v>55.43</v>
      </c>
    </row>
    <row r="49" spans="1:32" s="36" customFormat="1" ht="13.5" customHeight="1">
      <c r="A49" s="287" t="str">
        <f>IF(Baseline!A49="","",Baseline!A49)</f>
        <v>B4-A-09-06</v>
      </c>
      <c r="B49" s="141">
        <f>IF(Baseline!B49="","",Baseline!B49)</f>
        <v>78</v>
      </c>
      <c r="C49" s="141">
        <f>IF(Baseline!C49="","",Baseline!C49)</f>
        <v>10</v>
      </c>
      <c r="D49" s="288">
        <f>IF(Baseline!D49="","",Baseline!D49)</f>
        <v>780</v>
      </c>
      <c r="E49" s="88">
        <f t="shared" si="4"/>
        <v>13.533568200726313</v>
      </c>
      <c r="F49" s="109">
        <v>13.53</v>
      </c>
      <c r="G49" s="100">
        <f>1207.76*100/93.2</f>
        <v>1295.8798283261801</v>
      </c>
      <c r="H49" s="100" t="s">
        <v>11</v>
      </c>
      <c r="I49" s="100">
        <f>1917.77*100/93.2</f>
        <v>2057.6931330472103</v>
      </c>
      <c r="J49" s="100" t="s">
        <v>11</v>
      </c>
      <c r="K49" s="100">
        <v>338.83</v>
      </c>
      <c r="L49" s="100">
        <f>31.26+188.06</f>
        <v>219.32</v>
      </c>
      <c r="M49" s="100">
        <v>80.09</v>
      </c>
      <c r="N49" s="46">
        <f>IFERROR($G49*INDEX('Carbon factors'!$B$4:$B$10,MATCH($H49,Fuel_Type,0),1),"")</f>
        <v>279.91004291845491</v>
      </c>
      <c r="O49" s="47">
        <f>IFERROR($I49*INDEX('Carbon factors'!$B$4:$B$10,MATCH($J49,Fuel_Type,0),1),"")</f>
        <v>444.46171673819742</v>
      </c>
      <c r="P49" s="47">
        <f>IF(K49="","",K49*'Carbon factors'!$B$5)</f>
        <v>175.85276999999999</v>
      </c>
      <c r="Q49" s="47">
        <f>IF(L49="","",L49*'Carbon factors'!$B$5)</f>
        <v>113.82708</v>
      </c>
      <c r="R49" s="47">
        <f>IF(M49="","",M49*'Carbon factors'!$B$5)</f>
        <v>41.56671</v>
      </c>
      <c r="S49" s="267">
        <f t="shared" si="1"/>
        <v>1055.6183196566524</v>
      </c>
      <c r="T49" s="49">
        <f>IFERROR($G49*INDEX('Carbon factors'!$C$4:$C$10,MATCH($H49,Fuel_Type,0),1),"")</f>
        <v>272.13476394849783</v>
      </c>
      <c r="U49" s="47">
        <f>IFERROR($I49*INDEX('Carbon factors'!$C$4:$C$10,MATCH($J49,Fuel_Type,0),1),"")</f>
        <v>432.11555793991414</v>
      </c>
      <c r="V49" s="47">
        <f>IF(K49="","",K49*'Carbon factors'!$C$5)</f>
        <v>78.947389999999999</v>
      </c>
      <c r="W49" s="47">
        <f>IF(L49="","",L49*'Carbon factors'!$C$5)</f>
        <v>51.101559999999999</v>
      </c>
      <c r="X49" s="47">
        <f>IF(M49="","",M49*'Carbon factors'!$C$5)</f>
        <v>18.660970000000002</v>
      </c>
      <c r="Y49" s="222">
        <f t="shared" si="2"/>
        <v>852.96024188841193</v>
      </c>
      <c r="Z49" s="61">
        <f t="shared" si="3"/>
        <v>10.935387716518102</v>
      </c>
      <c r="AA49" s="281">
        <v>35</v>
      </c>
      <c r="AB49" s="112">
        <v>1207.76</v>
      </c>
      <c r="AC49" s="113">
        <v>1917.77</v>
      </c>
      <c r="AD49" s="113">
        <v>338.83</v>
      </c>
      <c r="AE49" s="113"/>
      <c r="AF49" s="114">
        <v>80.09</v>
      </c>
    </row>
    <row r="50" spans="1:32" s="36" customFormat="1" ht="13.5" customHeight="1">
      <c r="A50" s="287" t="str">
        <f>IF(Baseline!A50="","",Baseline!A50)</f>
        <v/>
      </c>
      <c r="B50" s="141" t="str">
        <f>IF(Baseline!B50="","",Baseline!B50)</f>
        <v/>
      </c>
      <c r="C50" s="141" t="str">
        <f>IF(Baseline!C50="","",Baseline!C50)</f>
        <v/>
      </c>
      <c r="D50" s="288" t="str">
        <f>IF(Baseline!D50="","",Baseline!D50)</f>
        <v/>
      </c>
      <c r="E50" s="88" t="str">
        <f t="shared" si="4"/>
        <v/>
      </c>
      <c r="F50" s="109"/>
      <c r="G50" s="100"/>
      <c r="H50" s="100"/>
      <c r="I50" s="100"/>
      <c r="J50" s="100"/>
      <c r="K50" s="100"/>
      <c r="L50" s="100"/>
      <c r="M50" s="100"/>
      <c r="N50" s="46" t="str">
        <f>IFERROR($G50*INDEX('Carbon factors'!$B$4:$B$10,MATCH($H50,Fuel_Type,0),1),"")</f>
        <v/>
      </c>
      <c r="O50" s="47" t="str">
        <f>IFERROR($I50*INDEX('Carbon factors'!$B$4:$B$10,MATCH($J50,Fuel_Type,0),1),"")</f>
        <v/>
      </c>
      <c r="P50" s="47" t="str">
        <f>IF(K50="","",K50*'Carbon factors'!$B$5)</f>
        <v/>
      </c>
      <c r="Q50" s="47" t="str">
        <f>IF(L50="","",L50*'Carbon factors'!$B$5)</f>
        <v/>
      </c>
      <c r="R50" s="47" t="str">
        <f>IF(M50="","",M50*'Carbon factors'!$B$5)</f>
        <v/>
      </c>
      <c r="S50" s="267" t="str">
        <f t="shared" si="1"/>
        <v/>
      </c>
      <c r="T50" s="49" t="str">
        <f>IFERROR($G50*INDEX('Carbon factors'!$C$4:$C$10,MATCH($H50,Fuel_Type,0),1),"")</f>
        <v/>
      </c>
      <c r="U50" s="47" t="str">
        <f>IFERROR($I50*INDEX('Carbon factors'!$C$4:$C$10,MATCH($J50,Fuel_Type,0),1),"")</f>
        <v/>
      </c>
      <c r="V50" s="47" t="str">
        <f>IF(K50="","",K50*'Carbon factors'!$C$5)</f>
        <v/>
      </c>
      <c r="W50" s="47" t="str">
        <f>IF(L50="","",L50*'Carbon factors'!$C$5)</f>
        <v/>
      </c>
      <c r="X50" s="47" t="str">
        <f>IF(M50="","",M50*'Carbon factors'!$C$5)</f>
        <v/>
      </c>
      <c r="Y50" s="222" t="str">
        <f t="shared" si="2"/>
        <v/>
      </c>
      <c r="Z50" s="61" t="str">
        <f t="shared" si="3"/>
        <v/>
      </c>
      <c r="AA50" s="281"/>
      <c r="AB50" s="112"/>
      <c r="AC50" s="113"/>
      <c r="AD50" s="113"/>
      <c r="AE50" s="113"/>
      <c r="AF50" s="114"/>
    </row>
    <row r="51" spans="1:32" s="36" customFormat="1" ht="13.5" customHeight="1">
      <c r="A51" s="287" t="str">
        <f>IF(Baseline!A51="","",Baseline!A51)</f>
        <v/>
      </c>
      <c r="B51" s="141" t="str">
        <f>IF(Baseline!B51="","",Baseline!B51)</f>
        <v/>
      </c>
      <c r="C51" s="141" t="str">
        <f>IF(Baseline!C51="","",Baseline!C51)</f>
        <v/>
      </c>
      <c r="D51" s="288" t="str">
        <f>IF(Baseline!D51="","",Baseline!D51)</f>
        <v/>
      </c>
      <c r="E51" s="88" t="str">
        <f t="shared" si="4"/>
        <v/>
      </c>
      <c r="F51" s="109"/>
      <c r="G51" s="100"/>
      <c r="H51" s="100"/>
      <c r="I51" s="100"/>
      <c r="J51" s="100"/>
      <c r="K51" s="100"/>
      <c r="L51" s="100"/>
      <c r="M51" s="100"/>
      <c r="N51" s="46" t="str">
        <f>IFERROR($G51*INDEX('Carbon factors'!$B$4:$B$10,MATCH($H51,Fuel_Type,0),1),"")</f>
        <v/>
      </c>
      <c r="O51" s="47" t="str">
        <f>IFERROR($I51*INDEX('Carbon factors'!$B$4:$B$10,MATCH($J51,Fuel_Type,0),1),"")</f>
        <v/>
      </c>
      <c r="P51" s="47" t="str">
        <f>IF(K51="","",K51*'Carbon factors'!$B$5)</f>
        <v/>
      </c>
      <c r="Q51" s="47" t="str">
        <f>IF(L51="","",L51*'Carbon factors'!$B$5)</f>
        <v/>
      </c>
      <c r="R51" s="47" t="str">
        <f>IF(M51="","",M51*'Carbon factors'!$B$5)</f>
        <v/>
      </c>
      <c r="S51" s="267" t="str">
        <f t="shared" si="1"/>
        <v/>
      </c>
      <c r="T51" s="49" t="str">
        <f>IFERROR($G51*INDEX('Carbon factors'!$C$4:$C$10,MATCH($H51,Fuel_Type,0),1),"")</f>
        <v/>
      </c>
      <c r="U51" s="47" t="str">
        <f>IFERROR($I51*INDEX('Carbon factors'!$C$4:$C$10,MATCH($J51,Fuel_Type,0),1),"")</f>
        <v/>
      </c>
      <c r="V51" s="47" t="str">
        <f>IF(K51="","",K51*'Carbon factors'!$C$5)</f>
        <v/>
      </c>
      <c r="W51" s="47" t="str">
        <f>IF(L51="","",L51*'Carbon factors'!$C$5)</f>
        <v/>
      </c>
      <c r="X51" s="47" t="str">
        <f>IF(M51="","",M51*'Carbon factors'!$C$5)</f>
        <v/>
      </c>
      <c r="Y51" s="222" t="str">
        <f t="shared" si="2"/>
        <v/>
      </c>
      <c r="Z51" s="61" t="str">
        <f t="shared" si="3"/>
        <v/>
      </c>
      <c r="AA51" s="281"/>
      <c r="AB51" s="112"/>
      <c r="AC51" s="113"/>
      <c r="AD51" s="113"/>
      <c r="AE51" s="113"/>
      <c r="AF51" s="114"/>
    </row>
    <row r="52" spans="1:32" s="36" customFormat="1" ht="13.5" customHeight="1">
      <c r="A52" s="287" t="str">
        <f>IF(Baseline!A52="","",Baseline!A52)</f>
        <v/>
      </c>
      <c r="B52" s="141" t="str">
        <f>IF(Baseline!B52="","",Baseline!B52)</f>
        <v/>
      </c>
      <c r="C52" s="141" t="str">
        <f>IF(Baseline!C52="","",Baseline!C52)</f>
        <v/>
      </c>
      <c r="D52" s="288" t="str">
        <f>IF(Baseline!D52="","",Baseline!D52)</f>
        <v/>
      </c>
      <c r="E52" s="88" t="str">
        <f t="shared" si="4"/>
        <v/>
      </c>
      <c r="F52" s="109"/>
      <c r="G52" s="100"/>
      <c r="H52" s="100"/>
      <c r="I52" s="100"/>
      <c r="J52" s="100"/>
      <c r="K52" s="100"/>
      <c r="L52" s="100"/>
      <c r="M52" s="100"/>
      <c r="N52" s="46" t="str">
        <f>IFERROR($G52*INDEX('Carbon factors'!$B$4:$B$10,MATCH($H52,Fuel_Type,0),1),"")</f>
        <v/>
      </c>
      <c r="O52" s="47" t="str">
        <f>IFERROR($I52*INDEX('Carbon factors'!$B$4:$B$10,MATCH($J52,Fuel_Type,0),1),"")</f>
        <v/>
      </c>
      <c r="P52" s="47" t="str">
        <f>IF(K52="","",K52*'Carbon factors'!$B$5)</f>
        <v/>
      </c>
      <c r="Q52" s="47" t="str">
        <f>IF(L52="","",L52*'Carbon factors'!$B$5)</f>
        <v/>
      </c>
      <c r="R52" s="47" t="str">
        <f>IF(M52="","",M52*'Carbon factors'!$B$5)</f>
        <v/>
      </c>
      <c r="S52" s="267" t="str">
        <f t="shared" si="1"/>
        <v/>
      </c>
      <c r="T52" s="49" t="str">
        <f>IFERROR($G52*INDEX('Carbon factors'!$C$4:$C$10,MATCH($H52,Fuel_Type,0),1),"")</f>
        <v/>
      </c>
      <c r="U52" s="47" t="str">
        <f>IFERROR($I52*INDEX('Carbon factors'!$C$4:$C$10,MATCH($J52,Fuel_Type,0),1),"")</f>
        <v/>
      </c>
      <c r="V52" s="47" t="str">
        <f>IF(K52="","",K52*'Carbon factors'!$C$5)</f>
        <v/>
      </c>
      <c r="W52" s="47" t="str">
        <f>IF(L52="","",L52*'Carbon factors'!$C$5)</f>
        <v/>
      </c>
      <c r="X52" s="47" t="str">
        <f>IF(M52="","",M52*'Carbon factors'!$C$5)</f>
        <v/>
      </c>
      <c r="Y52" s="222" t="str">
        <f t="shared" si="2"/>
        <v/>
      </c>
      <c r="Z52" s="61" t="str">
        <f t="shared" si="3"/>
        <v/>
      </c>
      <c r="AA52" s="281"/>
      <c r="AB52" s="112"/>
      <c r="AC52" s="113"/>
      <c r="AD52" s="113"/>
      <c r="AE52" s="113"/>
      <c r="AF52" s="114"/>
    </row>
    <row r="53" spans="1:32" s="36" customFormat="1" ht="13.5" customHeight="1">
      <c r="A53" s="287" t="str">
        <f>IF(Baseline!A53="","",Baseline!A53)</f>
        <v/>
      </c>
      <c r="B53" s="141" t="str">
        <f>IF(Baseline!B53="","",Baseline!B53)</f>
        <v/>
      </c>
      <c r="C53" s="141" t="str">
        <f>IF(Baseline!C53="","",Baseline!C53)</f>
        <v/>
      </c>
      <c r="D53" s="288" t="str">
        <f>IF(Baseline!D53="","",Baseline!D53)</f>
        <v/>
      </c>
      <c r="E53" s="88" t="str">
        <f t="shared" si="4"/>
        <v/>
      </c>
      <c r="F53" s="109"/>
      <c r="G53" s="100"/>
      <c r="H53" s="100"/>
      <c r="I53" s="100"/>
      <c r="J53" s="100"/>
      <c r="K53" s="100"/>
      <c r="L53" s="100"/>
      <c r="M53" s="100"/>
      <c r="N53" s="46" t="str">
        <f>IFERROR($G53*INDEX('Carbon factors'!$B$4:$B$10,MATCH($H53,Fuel_Type,0),1),"")</f>
        <v/>
      </c>
      <c r="O53" s="47" t="str">
        <f>IFERROR($I53*INDEX('Carbon factors'!$B$4:$B$10,MATCH($J53,Fuel_Type,0),1),"")</f>
        <v/>
      </c>
      <c r="P53" s="47" t="str">
        <f>IF(K53="","",K53*'Carbon factors'!$B$5)</f>
        <v/>
      </c>
      <c r="Q53" s="47" t="str">
        <f>IF(L53="","",L53*'Carbon factors'!$B$5)</f>
        <v/>
      </c>
      <c r="R53" s="47" t="str">
        <f>IF(M53="","",M53*'Carbon factors'!$B$5)</f>
        <v/>
      </c>
      <c r="S53" s="267" t="str">
        <f t="shared" si="1"/>
        <v/>
      </c>
      <c r="T53" s="49" t="str">
        <f>IFERROR($G53*INDEX('Carbon factors'!$C$4:$C$10,MATCH($H53,Fuel_Type,0),1),"")</f>
        <v/>
      </c>
      <c r="U53" s="47" t="str">
        <f>IFERROR($I53*INDEX('Carbon factors'!$C$4:$C$10,MATCH($J53,Fuel_Type,0),1),"")</f>
        <v/>
      </c>
      <c r="V53" s="47" t="str">
        <f>IF(K53="","",K53*'Carbon factors'!$C$5)</f>
        <v/>
      </c>
      <c r="W53" s="47" t="str">
        <f>IF(L53="","",L53*'Carbon factors'!$C$5)</f>
        <v/>
      </c>
      <c r="X53" s="47" t="str">
        <f>IF(M53="","",M53*'Carbon factors'!$C$5)</f>
        <v/>
      </c>
      <c r="Y53" s="222" t="str">
        <f t="shared" si="2"/>
        <v/>
      </c>
      <c r="Z53" s="61" t="str">
        <f t="shared" si="3"/>
        <v/>
      </c>
      <c r="AA53" s="281"/>
      <c r="AB53" s="112"/>
      <c r="AC53" s="113"/>
      <c r="AD53" s="113"/>
      <c r="AE53" s="113"/>
      <c r="AF53" s="114"/>
    </row>
    <row r="54" spans="1:32" s="36" customFormat="1" ht="13.5" customHeight="1">
      <c r="A54" s="287" t="str">
        <f>IF(Baseline!A54="","",Baseline!A54)</f>
        <v/>
      </c>
      <c r="B54" s="141" t="str">
        <f>IF(Baseline!B54="","",Baseline!B54)</f>
        <v/>
      </c>
      <c r="C54" s="141" t="str">
        <f>IF(Baseline!C54="","",Baseline!C54)</f>
        <v/>
      </c>
      <c r="D54" s="288" t="str">
        <f>IF(Baseline!D54="","",Baseline!D54)</f>
        <v/>
      </c>
      <c r="E54" s="88" t="str">
        <f t="shared" si="4"/>
        <v/>
      </c>
      <c r="F54" s="109"/>
      <c r="G54" s="100"/>
      <c r="H54" s="100"/>
      <c r="I54" s="100"/>
      <c r="J54" s="100"/>
      <c r="K54" s="100"/>
      <c r="L54" s="100"/>
      <c r="M54" s="100"/>
      <c r="N54" s="46" t="str">
        <f>IFERROR($G54*INDEX('Carbon factors'!$B$4:$B$10,MATCH($H54,Fuel_Type,0),1),"")</f>
        <v/>
      </c>
      <c r="O54" s="47" t="str">
        <f>IFERROR($I54*INDEX('Carbon factors'!$B$4:$B$10,MATCH($J54,Fuel_Type,0),1),"")</f>
        <v/>
      </c>
      <c r="P54" s="47" t="str">
        <f>IF(K54="","",K54*'Carbon factors'!$B$5)</f>
        <v/>
      </c>
      <c r="Q54" s="47" t="str">
        <f>IF(L54="","",L54*'Carbon factors'!$B$5)</f>
        <v/>
      </c>
      <c r="R54" s="47" t="str">
        <f>IF(M54="","",M54*'Carbon factors'!$B$5)</f>
        <v/>
      </c>
      <c r="S54" s="267" t="str">
        <f t="shared" si="1"/>
        <v/>
      </c>
      <c r="T54" s="49" t="str">
        <f>IFERROR($G54*INDEX('Carbon factors'!$C$4:$C$10,MATCH($H54,Fuel_Type,0),1),"")</f>
        <v/>
      </c>
      <c r="U54" s="47" t="str">
        <f>IFERROR($I54*INDEX('Carbon factors'!$C$4:$C$10,MATCH($J54,Fuel_Type,0),1),"")</f>
        <v/>
      </c>
      <c r="V54" s="47" t="str">
        <f>IF(K54="","",K54*'Carbon factors'!$C$5)</f>
        <v/>
      </c>
      <c r="W54" s="47" t="str">
        <f>IF(L54="","",L54*'Carbon factors'!$C$5)</f>
        <v/>
      </c>
      <c r="X54" s="47" t="str">
        <f>IF(M54="","",M54*'Carbon factors'!$C$5)</f>
        <v/>
      </c>
      <c r="Y54" s="222" t="str">
        <f t="shared" si="2"/>
        <v/>
      </c>
      <c r="Z54" s="61" t="str">
        <f t="shared" si="3"/>
        <v/>
      </c>
      <c r="AA54" s="281"/>
      <c r="AB54" s="112"/>
      <c r="AC54" s="113"/>
      <c r="AD54" s="113"/>
      <c r="AE54" s="113"/>
      <c r="AF54" s="114"/>
    </row>
    <row r="55" spans="1:32" s="36" customFormat="1" ht="13.5" customHeight="1">
      <c r="A55" s="287" t="str">
        <f>IF(Baseline!A55="","",Baseline!A55)</f>
        <v/>
      </c>
      <c r="B55" s="141" t="str">
        <f>IF(Baseline!B55="","",Baseline!B55)</f>
        <v/>
      </c>
      <c r="C55" s="141" t="str">
        <f>IF(Baseline!C55="","",Baseline!C55)</f>
        <v/>
      </c>
      <c r="D55" s="288" t="str">
        <f>IF(Baseline!D55="","",Baseline!D55)</f>
        <v/>
      </c>
      <c r="E55" s="88" t="str">
        <f t="shared" si="4"/>
        <v/>
      </c>
      <c r="F55" s="109"/>
      <c r="G55" s="100"/>
      <c r="H55" s="100"/>
      <c r="I55" s="100"/>
      <c r="J55" s="100"/>
      <c r="K55" s="100"/>
      <c r="L55" s="100"/>
      <c r="M55" s="100"/>
      <c r="N55" s="46" t="str">
        <f>IFERROR($G55*INDEX('Carbon factors'!$B$4:$B$10,MATCH($H55,Fuel_Type,0),1),"")</f>
        <v/>
      </c>
      <c r="O55" s="47" t="str">
        <f>IFERROR($I55*INDEX('Carbon factors'!$B$4:$B$10,MATCH($J55,Fuel_Type,0),1),"")</f>
        <v/>
      </c>
      <c r="P55" s="47" t="str">
        <f>IF(K55="","",K55*'Carbon factors'!$B$5)</f>
        <v/>
      </c>
      <c r="Q55" s="47" t="str">
        <f>IF(L55="","",L55*'Carbon factors'!$B$5)</f>
        <v/>
      </c>
      <c r="R55" s="47" t="str">
        <f>IF(M55="","",M55*'Carbon factors'!$B$5)</f>
        <v/>
      </c>
      <c r="S55" s="267" t="str">
        <f t="shared" si="1"/>
        <v/>
      </c>
      <c r="T55" s="49" t="str">
        <f>IFERROR($G55*INDEX('Carbon factors'!$C$4:$C$10,MATCH($H55,Fuel_Type,0),1),"")</f>
        <v/>
      </c>
      <c r="U55" s="47" t="str">
        <f>IFERROR($I55*INDEX('Carbon factors'!$C$4:$C$10,MATCH($J55,Fuel_Type,0),1),"")</f>
        <v/>
      </c>
      <c r="V55" s="47" t="str">
        <f>IF(K55="","",K55*'Carbon factors'!$C$5)</f>
        <v/>
      </c>
      <c r="W55" s="47" t="str">
        <f>IF(L55="","",L55*'Carbon factors'!$C$5)</f>
        <v/>
      </c>
      <c r="X55" s="47" t="str">
        <f>IF(M55="","",M55*'Carbon factors'!$C$5)</f>
        <v/>
      </c>
      <c r="Y55" s="222" t="str">
        <f t="shared" si="2"/>
        <v/>
      </c>
      <c r="Z55" s="61" t="str">
        <f t="shared" si="3"/>
        <v/>
      </c>
      <c r="AA55" s="281"/>
      <c r="AB55" s="112"/>
      <c r="AC55" s="113"/>
      <c r="AD55" s="113"/>
      <c r="AE55" s="113"/>
      <c r="AF55" s="114"/>
    </row>
    <row r="56" spans="1:32" s="36" customFormat="1" ht="13.5" customHeight="1">
      <c r="A56" s="289" t="str">
        <f>IF(Baseline!A56="","",Baseline!A56)</f>
        <v/>
      </c>
      <c r="B56" s="290" t="str">
        <f>IF(Baseline!B56="","",Baseline!B56)</f>
        <v/>
      </c>
      <c r="C56" s="290" t="str">
        <f>IF(Baseline!C56="","",Baseline!C56)</f>
        <v/>
      </c>
      <c r="D56" s="291" t="str">
        <f>IF(Baseline!D56="","",Baseline!D56)</f>
        <v/>
      </c>
      <c r="E56" s="89" t="str">
        <f t="shared" si="4"/>
        <v/>
      </c>
      <c r="F56" s="110"/>
      <c r="G56" s="106"/>
      <c r="H56" s="100"/>
      <c r="I56" s="106"/>
      <c r="J56" s="106"/>
      <c r="K56" s="106"/>
      <c r="L56" s="106"/>
      <c r="M56" s="107"/>
      <c r="N56" s="50" t="str">
        <f>IFERROR($G56*INDEX('Carbon factors'!$B$4:$B$10,MATCH($H56,Fuel_Type,0),1),"")</f>
        <v/>
      </c>
      <c r="O56" s="47" t="str">
        <f>IFERROR($I56*INDEX('Carbon factors'!$B$4:$B$10,MATCH($J56,Fuel_Type,0),1),"")</f>
        <v/>
      </c>
      <c r="P56" s="47" t="str">
        <f>IF(K56="","",K56*'Carbon factors'!$B$5)</f>
        <v/>
      </c>
      <c r="Q56" s="51" t="str">
        <f>IF(L56="","",L56*'Carbon factors'!$B$5)</f>
        <v/>
      </c>
      <c r="R56" s="51" t="str">
        <f>IF(M56="","",M56*'Carbon factors'!$B$5)</f>
        <v/>
      </c>
      <c r="S56" s="268" t="str">
        <f t="shared" si="1"/>
        <v/>
      </c>
      <c r="T56" s="53" t="str">
        <f>IFERROR($G56*INDEX('Carbon factors'!$C$4:$C$10,MATCH($H56,Fuel_Type,0),1),"")</f>
        <v/>
      </c>
      <c r="U56" s="51" t="str">
        <f>IFERROR($I56*INDEX('Carbon factors'!$C$4:$C$10,MATCH($J56,Fuel_Type,0),1),"")</f>
        <v/>
      </c>
      <c r="V56" s="51" t="str">
        <f>IF(K56="","",K56*'Carbon factors'!$C$5)</f>
        <v/>
      </c>
      <c r="W56" s="51" t="str">
        <f>IF(L56="","",L56*'Carbon factors'!$C$5)</f>
        <v/>
      </c>
      <c r="X56" s="51" t="str">
        <f>IF(M56="","",M56*'Carbon factors'!$C$5)</f>
        <v/>
      </c>
      <c r="Y56" s="222" t="str">
        <f t="shared" si="2"/>
        <v/>
      </c>
      <c r="Z56" s="61" t="str">
        <f t="shared" si="3"/>
        <v/>
      </c>
      <c r="AA56" s="281"/>
      <c r="AB56" s="115"/>
      <c r="AC56" s="317"/>
      <c r="AD56" s="317"/>
      <c r="AE56" s="317"/>
      <c r="AF56" s="318"/>
    </row>
    <row r="57" spans="1:32" s="36" customFormat="1" ht="21.75" customHeight="1">
      <c r="A57" s="54" t="s">
        <v>2</v>
      </c>
      <c r="B57" s="55">
        <f>SUMPRODUCT(B6:B56,C6:C56)</f>
        <v>26745</v>
      </c>
      <c r="C57" s="55">
        <f>SUM(C6:C56)</f>
        <v>375</v>
      </c>
      <c r="D57" s="55">
        <f>SUM(D6:D56)</f>
        <v>26745</v>
      </c>
      <c r="E57" s="276">
        <f>S57/B57</f>
        <v>13.991136244238024</v>
      </c>
      <c r="F57" s="201" t="s">
        <v>3</v>
      </c>
      <c r="G57" s="55">
        <f>SUMPRODUCT(G6:G56,C6:C56)</f>
        <v>485327.16738197423</v>
      </c>
      <c r="H57" s="83" t="s">
        <v>12</v>
      </c>
      <c r="I57" s="55">
        <f>SUMPRODUCT(I6:I56,C6:C56)</f>
        <v>738113.62660944194</v>
      </c>
      <c r="J57" s="83" t="s">
        <v>12</v>
      </c>
      <c r="K57" s="55">
        <f>SUMPRODUCT(K6:K56,C6:C56)</f>
        <v>116765.69</v>
      </c>
      <c r="L57" s="55">
        <f>SUMPRODUCT(L6:L56,C6:C56)</f>
        <v>74212.14</v>
      </c>
      <c r="M57" s="56">
        <f>SUMPRODUCT(M6:M56,C6:C56)</f>
        <v>20832.82</v>
      </c>
      <c r="N57" s="198">
        <f>SUMPRODUCT(N6:N56,$C$6:$C$56)</f>
        <v>104830.66815450642</v>
      </c>
      <c r="O57" s="199">
        <f>SUMPRODUCT(O6:O56,$C$6:$C$56)</f>
        <v>159432.5433476395</v>
      </c>
      <c r="P57" s="199">
        <f>SUMPRODUCT(P6:P56,$C$6:$C$56)</f>
        <v>60601.393109999997</v>
      </c>
      <c r="Q57" s="55">
        <f>SUMPRODUCT(Q6:Q56,$C$6:$C$56)</f>
        <v>38516.100659999996</v>
      </c>
      <c r="R57" s="55">
        <f>SUMPRODUCT(R6:R56,$C$6:$C$56)</f>
        <v>10812.233580000002</v>
      </c>
      <c r="S57" s="277">
        <f>SUMPRODUCT(E6:E56,D6:D56)</f>
        <v>374192.93885214598</v>
      </c>
      <c r="T57" s="58">
        <f>SUMPRODUCT(T6:T56,$C$6:$C$56)</f>
        <v>101918.70515021458</v>
      </c>
      <c r="U57" s="55">
        <f>SUMPRODUCT(U6:U56,$C$6:$C$56)</f>
        <v>155003.86158798283</v>
      </c>
      <c r="V57" s="55">
        <f>SUMPRODUCT(V6:V56,$C$6:$C$56)</f>
        <v>27206.405769999998</v>
      </c>
      <c r="W57" s="55">
        <f>SUMPRODUCT(W6:W56,$C$6:$C$56)</f>
        <v>17291.428619999999</v>
      </c>
      <c r="X57" s="55">
        <f>SUMPRODUCT(X6:X56,$C$6:$C$56)</f>
        <v>4854.047059999999</v>
      </c>
      <c r="Y57" s="284">
        <f>SUMPRODUCT(Z6:Z56,D6:D56)</f>
        <v>306274.44818819739</v>
      </c>
      <c r="Z57" s="285">
        <f>Y57/B57</f>
        <v>11.451652577610671</v>
      </c>
      <c r="AA57" s="286">
        <f>SUMPRODUCT(AA6:AA56,$B$6:$B$56,$C$6:$C$56)/SUMPRODUCT(B6:B56,C6:C56)</f>
        <v>35.972914563469807</v>
      </c>
      <c r="AB57" s="198">
        <f>SUMPRODUCT(AB6:AB56,$C$6:$C$56)</f>
        <v>452324.96000000014</v>
      </c>
      <c r="AC57" s="199">
        <f>SUMPRODUCT(AC6:AC56,$C$6:$C$56)</f>
        <v>690416.7</v>
      </c>
      <c r="AD57" s="199">
        <f>SUMPRODUCT(AD6:AD56,$C$6:$C$56)</f>
        <v>116765.69</v>
      </c>
      <c r="AE57" s="199">
        <f>SUMPRODUCT(AE6:AE56,$C$6:$C$56)</f>
        <v>0</v>
      </c>
      <c r="AF57" s="279">
        <f>SUMPRODUCT(AF6:AF56,$C$6:$C$56)</f>
        <v>20832.82</v>
      </c>
    </row>
    <row r="58" spans="1:32" s="80" customFormat="1" ht="27" customHeight="1">
      <c r="A58" s="376" t="s">
        <v>186</v>
      </c>
      <c r="B58" s="377"/>
      <c r="C58" s="377"/>
      <c r="D58" s="377"/>
      <c r="E58" s="425"/>
      <c r="F58" s="425"/>
      <c r="G58" s="425"/>
      <c r="H58" s="425"/>
      <c r="I58" s="425"/>
      <c r="J58" s="425"/>
      <c r="K58" s="425"/>
      <c r="L58" s="425"/>
      <c r="M58" s="425"/>
      <c r="N58" s="425"/>
      <c r="O58" s="425"/>
      <c r="P58" s="425"/>
      <c r="Q58" s="425"/>
      <c r="R58" s="425"/>
      <c r="S58" s="425"/>
      <c r="T58" s="425"/>
      <c r="U58" s="425"/>
      <c r="V58" s="425"/>
      <c r="W58" s="425"/>
      <c r="X58" s="425"/>
      <c r="Y58" s="462"/>
      <c r="Z58" s="462"/>
      <c r="AA58" s="460" t="s">
        <v>211</v>
      </c>
      <c r="AB58" s="460"/>
      <c r="AC58" s="460"/>
      <c r="AD58" s="460"/>
      <c r="AE58" s="460"/>
      <c r="AF58" s="461"/>
    </row>
    <row r="59" spans="1:32" s="36" customFormat="1" ht="32.25" customHeight="1">
      <c r="A59" s="380" t="str">
        <f>Baseline!A59</f>
        <v>Building Use</v>
      </c>
      <c r="B59" s="438" t="str">
        <f>Baseline!B59</f>
        <v>Area per unit (m²)</v>
      </c>
      <c r="C59" s="438" t="str">
        <f>Baseline!C59</f>
        <v>Number of units</v>
      </c>
      <c r="D59" s="382" t="str">
        <f>Baseline!D59</f>
        <v>Total area represented by model  (m²)</v>
      </c>
      <c r="E59" s="372" t="str">
        <f>Baseline!E3</f>
        <v>VALIDATION CHECK</v>
      </c>
      <c r="F59" s="439"/>
      <c r="G59" s="371" t="s">
        <v>247</v>
      </c>
      <c r="H59" s="372"/>
      <c r="I59" s="372"/>
      <c r="J59" s="372"/>
      <c r="K59" s="372"/>
      <c r="L59" s="372"/>
      <c r="M59" s="373"/>
      <c r="N59" s="371" t="s">
        <v>248</v>
      </c>
      <c r="O59" s="372"/>
      <c r="P59" s="372"/>
      <c r="Q59" s="372"/>
      <c r="R59" s="372"/>
      <c r="S59" s="372"/>
      <c r="T59" s="448" t="s">
        <v>18</v>
      </c>
      <c r="U59" s="449"/>
      <c r="V59" s="449"/>
      <c r="W59" s="449"/>
      <c r="X59" s="449"/>
      <c r="Y59" s="449"/>
      <c r="Z59" s="450"/>
      <c r="AA59" s="452" t="s">
        <v>12</v>
      </c>
      <c r="AB59" s="371" t="s">
        <v>82</v>
      </c>
      <c r="AC59" s="372"/>
      <c r="AD59" s="372"/>
      <c r="AE59" s="372"/>
      <c r="AF59" s="373"/>
    </row>
    <row r="60" spans="1:32" s="36" customFormat="1" ht="38.25">
      <c r="A60" s="453"/>
      <c r="B60" s="385"/>
      <c r="C60" s="385"/>
      <c r="D60" s="430"/>
      <c r="E60" s="438" t="s">
        <v>29</v>
      </c>
      <c r="F60" s="391" t="s">
        <v>28</v>
      </c>
      <c r="G60" s="380" t="s">
        <v>90</v>
      </c>
      <c r="H60" s="438" t="s">
        <v>20</v>
      </c>
      <c r="I60" s="438" t="s">
        <v>91</v>
      </c>
      <c r="J60" s="438" t="s">
        <v>21</v>
      </c>
      <c r="K60" s="438" t="s">
        <v>92</v>
      </c>
      <c r="L60" s="438" t="s">
        <v>93</v>
      </c>
      <c r="M60" s="382" t="s">
        <v>94</v>
      </c>
      <c r="N60" s="207" t="str">
        <f>'Carbon factors'!A4</f>
        <v>Natural Gas</v>
      </c>
      <c r="O60" s="208" t="str">
        <f>'Carbon factors'!A5</f>
        <v xml:space="preserve">Grid Electricity </v>
      </c>
      <c r="P60" s="440"/>
      <c r="Q60" s="440"/>
      <c r="R60" s="441"/>
      <c r="S60" s="374" t="s">
        <v>96</v>
      </c>
      <c r="T60" s="220" t="str">
        <f>N60</f>
        <v>Natural Gas</v>
      </c>
      <c r="U60" s="210" t="str">
        <f>O60</f>
        <v xml:space="preserve">Grid Electricity </v>
      </c>
      <c r="V60" s="183"/>
      <c r="W60" s="183"/>
      <c r="X60" s="183"/>
      <c r="Y60" s="137" t="s">
        <v>114</v>
      </c>
      <c r="Z60" s="454" t="s">
        <v>116</v>
      </c>
      <c r="AA60" s="452"/>
      <c r="AB60" s="380" t="s">
        <v>5</v>
      </c>
      <c r="AC60" s="438" t="s">
        <v>6</v>
      </c>
      <c r="AD60" s="438" t="s">
        <v>7</v>
      </c>
      <c r="AE60" s="438" t="s">
        <v>8</v>
      </c>
      <c r="AF60" s="382" t="s">
        <v>9</v>
      </c>
    </row>
    <row r="61" spans="1:32" s="36" customFormat="1">
      <c r="A61" s="381"/>
      <c r="B61" s="386"/>
      <c r="C61" s="386"/>
      <c r="D61" s="383"/>
      <c r="E61" s="386"/>
      <c r="F61" s="392"/>
      <c r="G61" s="381"/>
      <c r="H61" s="386"/>
      <c r="I61" s="386"/>
      <c r="J61" s="386"/>
      <c r="K61" s="386"/>
      <c r="L61" s="386"/>
      <c r="M61" s="383"/>
      <c r="N61" s="252">
        <f>VLOOKUP(N60,'Carbon factors'!$A$4:$C$10,2,FALSE)</f>
        <v>0.216</v>
      </c>
      <c r="O61" s="253">
        <f>VLOOKUP(O60,'Carbon factors'!$A$4:$C$10,2,FALSE)</f>
        <v>0.51900000000000002</v>
      </c>
      <c r="P61" s="442"/>
      <c r="Q61" s="442"/>
      <c r="R61" s="443"/>
      <c r="S61" s="375"/>
      <c r="T61" s="252">
        <f>VLOOKUP(T60,'Carbon factors'!$A$4:$C$10,3,FALSE)</f>
        <v>0.21</v>
      </c>
      <c r="U61" s="253">
        <f>VLOOKUP(U60,'Carbon factors'!$A$4:$C$10,3,FALSE)</f>
        <v>0.23300000000000001</v>
      </c>
      <c r="V61" s="183"/>
      <c r="W61" s="183"/>
      <c r="X61" s="183"/>
      <c r="Y61" s="151"/>
      <c r="Z61" s="455"/>
      <c r="AA61" s="452"/>
      <c r="AB61" s="381"/>
      <c r="AC61" s="386"/>
      <c r="AD61" s="386"/>
      <c r="AE61" s="386"/>
      <c r="AF61" s="383"/>
    </row>
    <row r="62" spans="1:32" s="36" customFormat="1" ht="13.5" customHeight="1">
      <c r="A62" s="287" t="str">
        <f>IF(Baseline!A62="","",Baseline!A62)</f>
        <v>Commercial Space</v>
      </c>
      <c r="B62" s="141">
        <f>IF(Baseline!B62="","",Baseline!B62)</f>
        <v>2918.75</v>
      </c>
      <c r="C62" s="141">
        <f>IF(Baseline!C62="","",Baseline!C62)</f>
        <v>1</v>
      </c>
      <c r="D62" s="288">
        <f>IF(Baseline!D62="","",Baseline!D62)</f>
        <v>2918.75</v>
      </c>
      <c r="E62" s="297">
        <f t="shared" ref="E62:E92" si="5">IFERROR(S62/$B62,"")</f>
        <v>33.537000000000006</v>
      </c>
      <c r="F62" s="108">
        <v>33.5</v>
      </c>
      <c r="G62" s="147"/>
      <c r="H62" s="100"/>
      <c r="I62" s="100"/>
      <c r="J62" s="100"/>
      <c r="K62" s="100"/>
      <c r="L62" s="100"/>
      <c r="M62" s="100"/>
      <c r="N62" s="205">
        <v>100</v>
      </c>
      <c r="O62" s="206">
        <v>23</v>
      </c>
      <c r="P62" s="442"/>
      <c r="Q62" s="442"/>
      <c r="R62" s="443"/>
      <c r="S62" s="121">
        <f t="shared" ref="S62:S92" si="6">IF(SUM(N62:R62)=0,"",SUMPRODUCT($N$61:$O$61,N62:O62)*$B62*$C62)</f>
        <v>97886.118750000023</v>
      </c>
      <c r="T62" s="45">
        <f t="shared" ref="T62:T92" si="7">IF(N62=0,"",N62)</f>
        <v>100</v>
      </c>
      <c r="U62" s="43">
        <f t="shared" ref="U62:U92" si="8">IF(O62=0,"",O62)</f>
        <v>23</v>
      </c>
      <c r="V62" s="234"/>
      <c r="W62" s="234"/>
      <c r="X62" s="234"/>
      <c r="Y62" s="44">
        <f t="shared" ref="Y62:Y92" si="9">IF(SUM(T62:U62)=0,"",SUMPRODUCT($T$61:$U$61,T62:U62)*$B62*$C62)</f>
        <v>76935.331250000003</v>
      </c>
      <c r="Z62" s="127">
        <f>IFERROR(Y62/$B62,"")</f>
        <v>26.359000000000002</v>
      </c>
      <c r="AA62" s="452"/>
      <c r="AB62" s="112"/>
      <c r="AC62" s="113"/>
      <c r="AD62" s="113"/>
      <c r="AE62" s="113"/>
      <c r="AF62" s="114"/>
    </row>
    <row r="63" spans="1:32" s="36" customFormat="1" ht="13.5" customHeight="1">
      <c r="A63" s="287" t="str">
        <f>IF(Baseline!A63="","",Baseline!A63)</f>
        <v/>
      </c>
      <c r="B63" s="141" t="str">
        <f>IF(Baseline!B63="","",Baseline!B63)</f>
        <v/>
      </c>
      <c r="C63" s="141" t="str">
        <f>IF(Baseline!C63="","",Baseline!C63)</f>
        <v/>
      </c>
      <c r="D63" s="288" t="str">
        <f>IF(Baseline!D63="","",Baseline!D63)</f>
        <v/>
      </c>
      <c r="E63" s="132" t="str">
        <f t="shared" si="5"/>
        <v/>
      </c>
      <c r="F63" s="109"/>
      <c r="G63" s="100"/>
      <c r="H63" s="100"/>
      <c r="I63" s="100"/>
      <c r="J63" s="100"/>
      <c r="K63" s="100"/>
      <c r="L63" s="100"/>
      <c r="M63" s="100"/>
      <c r="N63" s="205"/>
      <c r="O63" s="206"/>
      <c r="P63" s="442"/>
      <c r="Q63" s="442"/>
      <c r="R63" s="443"/>
      <c r="S63" s="48" t="str">
        <f t="shared" si="6"/>
        <v/>
      </c>
      <c r="T63" s="49" t="str">
        <f t="shared" si="7"/>
        <v/>
      </c>
      <c r="U63" s="47" t="str">
        <f t="shared" si="8"/>
        <v/>
      </c>
      <c r="V63" s="204"/>
      <c r="W63" s="204"/>
      <c r="X63" s="204"/>
      <c r="Y63" s="48" t="str">
        <f t="shared" si="9"/>
        <v/>
      </c>
      <c r="Z63" s="128" t="str">
        <f t="shared" ref="Z63:Z92" si="10">IFERROR(Y63/$B63,"")</f>
        <v/>
      </c>
      <c r="AA63" s="452"/>
      <c r="AB63" s="112"/>
      <c r="AC63" s="113"/>
      <c r="AD63" s="113"/>
      <c r="AE63" s="113"/>
      <c r="AF63" s="114"/>
    </row>
    <row r="64" spans="1:32" s="36" customFormat="1" ht="13.5" customHeight="1">
      <c r="A64" s="287" t="str">
        <f>IF(Baseline!A64="","",Baseline!A64)</f>
        <v/>
      </c>
      <c r="B64" s="141" t="str">
        <f>IF(Baseline!B64="","",Baseline!B64)</f>
        <v/>
      </c>
      <c r="C64" s="141" t="str">
        <f>IF(Baseline!C64="","",Baseline!C64)</f>
        <v/>
      </c>
      <c r="D64" s="288" t="str">
        <f>IF(Baseline!D64="","",Baseline!D64)</f>
        <v/>
      </c>
      <c r="E64" s="132" t="str">
        <f t="shared" si="5"/>
        <v/>
      </c>
      <c r="F64" s="109"/>
      <c r="G64" s="100"/>
      <c r="H64" s="100"/>
      <c r="I64" s="100"/>
      <c r="J64" s="100"/>
      <c r="K64" s="100"/>
      <c r="L64" s="100"/>
      <c r="M64" s="100"/>
      <c r="N64" s="205"/>
      <c r="O64" s="206"/>
      <c r="P64" s="442"/>
      <c r="Q64" s="442"/>
      <c r="R64" s="443"/>
      <c r="S64" s="48" t="str">
        <f t="shared" si="6"/>
        <v/>
      </c>
      <c r="T64" s="49" t="str">
        <f t="shared" si="7"/>
        <v/>
      </c>
      <c r="U64" s="47" t="str">
        <f t="shared" si="8"/>
        <v/>
      </c>
      <c r="V64" s="204"/>
      <c r="W64" s="204"/>
      <c r="X64" s="204"/>
      <c r="Y64" s="48" t="str">
        <f t="shared" si="9"/>
        <v/>
      </c>
      <c r="Z64" s="128" t="str">
        <f t="shared" si="10"/>
        <v/>
      </c>
      <c r="AA64" s="452"/>
      <c r="AB64" s="112"/>
      <c r="AC64" s="113"/>
      <c r="AD64" s="113"/>
      <c r="AE64" s="113"/>
      <c r="AF64" s="114"/>
    </row>
    <row r="65" spans="1:32" s="36" customFormat="1" ht="13.5" customHeight="1">
      <c r="A65" s="287" t="str">
        <f>IF(Baseline!A65="","",Baseline!A65)</f>
        <v/>
      </c>
      <c r="B65" s="141" t="str">
        <f>IF(Baseline!B65="","",Baseline!B65)</f>
        <v/>
      </c>
      <c r="C65" s="141" t="str">
        <f>IF(Baseline!C65="","",Baseline!C65)</f>
        <v/>
      </c>
      <c r="D65" s="288" t="str">
        <f>IF(Baseline!D65="","",Baseline!D65)</f>
        <v/>
      </c>
      <c r="E65" s="132" t="str">
        <f t="shared" si="5"/>
        <v/>
      </c>
      <c r="F65" s="109"/>
      <c r="G65" s="100"/>
      <c r="H65" s="100"/>
      <c r="I65" s="100"/>
      <c r="J65" s="100"/>
      <c r="K65" s="100"/>
      <c r="L65" s="100"/>
      <c r="M65" s="100"/>
      <c r="N65" s="205"/>
      <c r="O65" s="206"/>
      <c r="P65" s="442"/>
      <c r="Q65" s="442"/>
      <c r="R65" s="443"/>
      <c r="S65" s="48" t="str">
        <f t="shared" si="6"/>
        <v/>
      </c>
      <c r="T65" s="49" t="str">
        <f t="shared" si="7"/>
        <v/>
      </c>
      <c r="U65" s="47" t="str">
        <f t="shared" si="8"/>
        <v/>
      </c>
      <c r="V65" s="204"/>
      <c r="W65" s="204"/>
      <c r="X65" s="204"/>
      <c r="Y65" s="48" t="str">
        <f t="shared" si="9"/>
        <v/>
      </c>
      <c r="Z65" s="128" t="str">
        <f t="shared" si="10"/>
        <v/>
      </c>
      <c r="AA65" s="452"/>
      <c r="AB65" s="112"/>
      <c r="AC65" s="113"/>
      <c r="AD65" s="113"/>
      <c r="AE65" s="113"/>
      <c r="AF65" s="114"/>
    </row>
    <row r="66" spans="1:32" s="36" customFormat="1" ht="13.5" customHeight="1">
      <c r="A66" s="287" t="str">
        <f>IF(Baseline!A66="","",Baseline!A66)</f>
        <v/>
      </c>
      <c r="B66" s="141" t="str">
        <f>IF(Baseline!B66="","",Baseline!B66)</f>
        <v/>
      </c>
      <c r="C66" s="141" t="str">
        <f>IF(Baseline!C66="","",Baseline!C66)</f>
        <v/>
      </c>
      <c r="D66" s="288" t="str">
        <f>IF(Baseline!D66="","",Baseline!D66)</f>
        <v/>
      </c>
      <c r="E66" s="132" t="str">
        <f t="shared" si="5"/>
        <v/>
      </c>
      <c r="F66" s="109"/>
      <c r="G66" s="100"/>
      <c r="H66" s="100"/>
      <c r="I66" s="100"/>
      <c r="J66" s="100"/>
      <c r="K66" s="100"/>
      <c r="L66" s="100"/>
      <c r="M66" s="100"/>
      <c r="N66" s="205"/>
      <c r="O66" s="206"/>
      <c r="P66" s="442"/>
      <c r="Q66" s="442"/>
      <c r="R66" s="443"/>
      <c r="S66" s="48" t="str">
        <f t="shared" si="6"/>
        <v/>
      </c>
      <c r="T66" s="49" t="str">
        <f t="shared" si="7"/>
        <v/>
      </c>
      <c r="U66" s="47" t="str">
        <f t="shared" si="8"/>
        <v/>
      </c>
      <c r="V66" s="204"/>
      <c r="W66" s="204"/>
      <c r="X66" s="204"/>
      <c r="Y66" s="48" t="str">
        <f t="shared" si="9"/>
        <v/>
      </c>
      <c r="Z66" s="128" t="str">
        <f t="shared" si="10"/>
        <v/>
      </c>
      <c r="AA66" s="452"/>
      <c r="AB66" s="112"/>
      <c r="AC66" s="113"/>
      <c r="AD66" s="113"/>
      <c r="AE66" s="113"/>
      <c r="AF66" s="114"/>
    </row>
    <row r="67" spans="1:32" s="36" customFormat="1" ht="13.5" customHeight="1">
      <c r="A67" s="287" t="str">
        <f>IF(Baseline!A67="","",Baseline!A67)</f>
        <v/>
      </c>
      <c r="B67" s="141" t="str">
        <f>IF(Baseline!B67="","",Baseline!B67)</f>
        <v/>
      </c>
      <c r="C67" s="141" t="str">
        <f>IF(Baseline!C67="","",Baseline!C67)</f>
        <v/>
      </c>
      <c r="D67" s="288" t="str">
        <f>IF(Baseline!D67="","",Baseline!D67)</f>
        <v/>
      </c>
      <c r="E67" s="132" t="str">
        <f t="shared" si="5"/>
        <v/>
      </c>
      <c r="F67" s="109"/>
      <c r="G67" s="100"/>
      <c r="H67" s="100"/>
      <c r="I67" s="100"/>
      <c r="J67" s="100"/>
      <c r="K67" s="100"/>
      <c r="L67" s="100"/>
      <c r="M67" s="100"/>
      <c r="N67" s="205"/>
      <c r="O67" s="206"/>
      <c r="P67" s="442"/>
      <c r="Q67" s="442"/>
      <c r="R67" s="443"/>
      <c r="S67" s="48" t="str">
        <f t="shared" si="6"/>
        <v/>
      </c>
      <c r="T67" s="49" t="str">
        <f t="shared" si="7"/>
        <v/>
      </c>
      <c r="U67" s="47" t="str">
        <f t="shared" si="8"/>
        <v/>
      </c>
      <c r="V67" s="204"/>
      <c r="W67" s="204"/>
      <c r="X67" s="204"/>
      <c r="Y67" s="48" t="str">
        <f t="shared" si="9"/>
        <v/>
      </c>
      <c r="Z67" s="128" t="str">
        <f t="shared" si="10"/>
        <v/>
      </c>
      <c r="AA67" s="452"/>
      <c r="AB67" s="112"/>
      <c r="AC67" s="113"/>
      <c r="AD67" s="113"/>
      <c r="AE67" s="113"/>
      <c r="AF67" s="114"/>
    </row>
    <row r="68" spans="1:32" s="36" customFormat="1" ht="13.5" customHeight="1">
      <c r="A68" s="287" t="str">
        <f>IF(Baseline!A68="","",Baseline!A68)</f>
        <v/>
      </c>
      <c r="B68" s="141" t="str">
        <f>IF(Baseline!B68="","",Baseline!B68)</f>
        <v/>
      </c>
      <c r="C68" s="141" t="str">
        <f>IF(Baseline!C68="","",Baseline!C68)</f>
        <v/>
      </c>
      <c r="D68" s="288" t="str">
        <f>IF(Baseline!D68="","",Baseline!D68)</f>
        <v/>
      </c>
      <c r="E68" s="132" t="str">
        <f t="shared" si="5"/>
        <v/>
      </c>
      <c r="F68" s="109"/>
      <c r="G68" s="100"/>
      <c r="H68" s="100"/>
      <c r="I68" s="100"/>
      <c r="J68" s="100"/>
      <c r="K68" s="100"/>
      <c r="L68" s="100"/>
      <c r="M68" s="100"/>
      <c r="N68" s="205"/>
      <c r="O68" s="206"/>
      <c r="P68" s="442"/>
      <c r="Q68" s="442"/>
      <c r="R68" s="443"/>
      <c r="S68" s="48" t="str">
        <f t="shared" si="6"/>
        <v/>
      </c>
      <c r="T68" s="49" t="str">
        <f t="shared" si="7"/>
        <v/>
      </c>
      <c r="U68" s="47" t="str">
        <f t="shared" si="8"/>
        <v/>
      </c>
      <c r="V68" s="204"/>
      <c r="W68" s="204"/>
      <c r="X68" s="204"/>
      <c r="Y68" s="48" t="str">
        <f t="shared" si="9"/>
        <v/>
      </c>
      <c r="Z68" s="128" t="str">
        <f t="shared" si="10"/>
        <v/>
      </c>
      <c r="AA68" s="452"/>
      <c r="AB68" s="112"/>
      <c r="AC68" s="113"/>
      <c r="AD68" s="113"/>
      <c r="AE68" s="113"/>
      <c r="AF68" s="114"/>
    </row>
    <row r="69" spans="1:32" s="36" customFormat="1" ht="13.5" customHeight="1">
      <c r="A69" s="287" t="str">
        <f>IF(Baseline!A69="","",Baseline!A69)</f>
        <v/>
      </c>
      <c r="B69" s="141" t="str">
        <f>IF(Baseline!B69="","",Baseline!B69)</f>
        <v/>
      </c>
      <c r="C69" s="141" t="str">
        <f>IF(Baseline!C69="","",Baseline!C69)</f>
        <v/>
      </c>
      <c r="D69" s="288" t="str">
        <f>IF(Baseline!D69="","",Baseline!D69)</f>
        <v/>
      </c>
      <c r="E69" s="132" t="str">
        <f t="shared" si="5"/>
        <v/>
      </c>
      <c r="F69" s="109"/>
      <c r="G69" s="100"/>
      <c r="H69" s="100"/>
      <c r="I69" s="100"/>
      <c r="J69" s="100"/>
      <c r="K69" s="100"/>
      <c r="L69" s="100"/>
      <c r="M69" s="100"/>
      <c r="N69" s="205"/>
      <c r="O69" s="206"/>
      <c r="P69" s="442"/>
      <c r="Q69" s="442"/>
      <c r="R69" s="443"/>
      <c r="S69" s="48" t="str">
        <f t="shared" si="6"/>
        <v/>
      </c>
      <c r="T69" s="49" t="str">
        <f t="shared" si="7"/>
        <v/>
      </c>
      <c r="U69" s="47" t="str">
        <f t="shared" si="8"/>
        <v/>
      </c>
      <c r="V69" s="204"/>
      <c r="W69" s="204"/>
      <c r="X69" s="204"/>
      <c r="Y69" s="48" t="str">
        <f t="shared" si="9"/>
        <v/>
      </c>
      <c r="Z69" s="128" t="str">
        <f t="shared" si="10"/>
        <v/>
      </c>
      <c r="AA69" s="452"/>
      <c r="AB69" s="112"/>
      <c r="AC69" s="113"/>
      <c r="AD69" s="113"/>
      <c r="AE69" s="113"/>
      <c r="AF69" s="114"/>
    </row>
    <row r="70" spans="1:32" s="36" customFormat="1" ht="13.5" customHeight="1">
      <c r="A70" s="287" t="str">
        <f>IF(Baseline!A70="","",Baseline!A70)</f>
        <v/>
      </c>
      <c r="B70" s="141" t="str">
        <f>IF(Baseline!B70="","",Baseline!B70)</f>
        <v/>
      </c>
      <c r="C70" s="141" t="str">
        <f>IF(Baseline!C70="","",Baseline!C70)</f>
        <v/>
      </c>
      <c r="D70" s="288" t="str">
        <f>IF(Baseline!D70="","",Baseline!D70)</f>
        <v/>
      </c>
      <c r="E70" s="132" t="str">
        <f t="shared" si="5"/>
        <v/>
      </c>
      <c r="F70" s="109"/>
      <c r="G70" s="100"/>
      <c r="H70" s="100"/>
      <c r="I70" s="100"/>
      <c r="J70" s="100"/>
      <c r="K70" s="100"/>
      <c r="L70" s="100"/>
      <c r="M70" s="100"/>
      <c r="N70" s="205"/>
      <c r="O70" s="206"/>
      <c r="P70" s="442"/>
      <c r="Q70" s="442"/>
      <c r="R70" s="443"/>
      <c r="S70" s="48" t="str">
        <f t="shared" si="6"/>
        <v/>
      </c>
      <c r="T70" s="49" t="str">
        <f t="shared" si="7"/>
        <v/>
      </c>
      <c r="U70" s="47" t="str">
        <f t="shared" si="8"/>
        <v/>
      </c>
      <c r="V70" s="204"/>
      <c r="W70" s="204"/>
      <c r="X70" s="204"/>
      <c r="Y70" s="48" t="str">
        <f t="shared" si="9"/>
        <v/>
      </c>
      <c r="Z70" s="128" t="str">
        <f t="shared" si="10"/>
        <v/>
      </c>
      <c r="AA70" s="452"/>
      <c r="AB70" s="112"/>
      <c r="AC70" s="113"/>
      <c r="AD70" s="113"/>
      <c r="AE70" s="113"/>
      <c r="AF70" s="114"/>
    </row>
    <row r="71" spans="1:32" s="36" customFormat="1" ht="13.5" customHeight="1">
      <c r="A71" s="287" t="str">
        <f>IF(Baseline!A71="","",Baseline!A71)</f>
        <v/>
      </c>
      <c r="B71" s="141" t="str">
        <f>IF(Baseline!B71="","",Baseline!B71)</f>
        <v/>
      </c>
      <c r="C71" s="141" t="str">
        <f>IF(Baseline!C71="","",Baseline!C71)</f>
        <v/>
      </c>
      <c r="D71" s="288" t="str">
        <f>IF(Baseline!D71="","",Baseline!D71)</f>
        <v/>
      </c>
      <c r="E71" s="132" t="str">
        <f t="shared" si="5"/>
        <v/>
      </c>
      <c r="F71" s="109"/>
      <c r="G71" s="100"/>
      <c r="H71" s="100"/>
      <c r="I71" s="100"/>
      <c r="J71" s="100"/>
      <c r="K71" s="100"/>
      <c r="L71" s="100"/>
      <c r="M71" s="100"/>
      <c r="N71" s="205"/>
      <c r="O71" s="206"/>
      <c r="P71" s="442"/>
      <c r="Q71" s="442"/>
      <c r="R71" s="443"/>
      <c r="S71" s="48" t="str">
        <f t="shared" si="6"/>
        <v/>
      </c>
      <c r="T71" s="49" t="str">
        <f t="shared" si="7"/>
        <v/>
      </c>
      <c r="U71" s="47" t="str">
        <f t="shared" si="8"/>
        <v/>
      </c>
      <c r="V71" s="204"/>
      <c r="W71" s="204"/>
      <c r="X71" s="204"/>
      <c r="Y71" s="48" t="str">
        <f t="shared" si="9"/>
        <v/>
      </c>
      <c r="Z71" s="128" t="str">
        <f t="shared" si="10"/>
        <v/>
      </c>
      <c r="AA71" s="452"/>
      <c r="AB71" s="112"/>
      <c r="AC71" s="113"/>
      <c r="AD71" s="113"/>
      <c r="AE71" s="113"/>
      <c r="AF71" s="114"/>
    </row>
    <row r="72" spans="1:32" s="36" customFormat="1" ht="13.5" customHeight="1">
      <c r="A72" s="287" t="str">
        <f>IF(Baseline!A72="","",Baseline!A72)</f>
        <v/>
      </c>
      <c r="B72" s="141" t="str">
        <f>IF(Baseline!B72="","",Baseline!B72)</f>
        <v/>
      </c>
      <c r="C72" s="141" t="str">
        <f>IF(Baseline!C72="","",Baseline!C72)</f>
        <v/>
      </c>
      <c r="D72" s="288" t="str">
        <f>IF(Baseline!D72="","",Baseline!D72)</f>
        <v/>
      </c>
      <c r="E72" s="132" t="str">
        <f t="shared" si="5"/>
        <v/>
      </c>
      <c r="F72" s="109"/>
      <c r="G72" s="100"/>
      <c r="H72" s="100"/>
      <c r="I72" s="100"/>
      <c r="J72" s="100"/>
      <c r="K72" s="100"/>
      <c r="L72" s="100"/>
      <c r="M72" s="100"/>
      <c r="N72" s="205"/>
      <c r="O72" s="206"/>
      <c r="P72" s="442"/>
      <c r="Q72" s="442"/>
      <c r="R72" s="443"/>
      <c r="S72" s="48" t="str">
        <f t="shared" si="6"/>
        <v/>
      </c>
      <c r="T72" s="49" t="str">
        <f t="shared" si="7"/>
        <v/>
      </c>
      <c r="U72" s="47" t="str">
        <f t="shared" si="8"/>
        <v/>
      </c>
      <c r="V72" s="204"/>
      <c r="W72" s="204"/>
      <c r="X72" s="204"/>
      <c r="Y72" s="48" t="str">
        <f t="shared" si="9"/>
        <v/>
      </c>
      <c r="Z72" s="128" t="str">
        <f t="shared" si="10"/>
        <v/>
      </c>
      <c r="AA72" s="452"/>
      <c r="AB72" s="112"/>
      <c r="AC72" s="113"/>
      <c r="AD72" s="113"/>
      <c r="AE72" s="113"/>
      <c r="AF72" s="114"/>
    </row>
    <row r="73" spans="1:32" s="36" customFormat="1" ht="13.5" customHeight="1">
      <c r="A73" s="287" t="str">
        <f>IF(Baseline!A73="","",Baseline!A73)</f>
        <v/>
      </c>
      <c r="B73" s="141" t="str">
        <f>IF(Baseline!B73="","",Baseline!B73)</f>
        <v/>
      </c>
      <c r="C73" s="141" t="str">
        <f>IF(Baseline!C73="","",Baseline!C73)</f>
        <v/>
      </c>
      <c r="D73" s="288" t="str">
        <f>IF(Baseline!D73="","",Baseline!D73)</f>
        <v/>
      </c>
      <c r="E73" s="132" t="str">
        <f t="shared" si="5"/>
        <v/>
      </c>
      <c r="F73" s="109"/>
      <c r="G73" s="100"/>
      <c r="H73" s="100"/>
      <c r="I73" s="100"/>
      <c r="J73" s="100"/>
      <c r="K73" s="100"/>
      <c r="L73" s="100"/>
      <c r="M73" s="100"/>
      <c r="N73" s="205"/>
      <c r="O73" s="206"/>
      <c r="P73" s="442"/>
      <c r="Q73" s="442"/>
      <c r="R73" s="443"/>
      <c r="S73" s="48" t="str">
        <f t="shared" si="6"/>
        <v/>
      </c>
      <c r="T73" s="49" t="str">
        <f t="shared" si="7"/>
        <v/>
      </c>
      <c r="U73" s="47" t="str">
        <f t="shared" si="8"/>
        <v/>
      </c>
      <c r="V73" s="204"/>
      <c r="W73" s="204"/>
      <c r="X73" s="204"/>
      <c r="Y73" s="48" t="str">
        <f t="shared" si="9"/>
        <v/>
      </c>
      <c r="Z73" s="128" t="str">
        <f t="shared" si="10"/>
        <v/>
      </c>
      <c r="AA73" s="452"/>
      <c r="AB73" s="112"/>
      <c r="AC73" s="113"/>
      <c r="AD73" s="113"/>
      <c r="AE73" s="113"/>
      <c r="AF73" s="114"/>
    </row>
    <row r="74" spans="1:32" s="36" customFormat="1" ht="13.5" customHeight="1">
      <c r="A74" s="287" t="str">
        <f>IF(Baseline!A74="","",Baseline!A74)</f>
        <v/>
      </c>
      <c r="B74" s="141" t="str">
        <f>IF(Baseline!B74="","",Baseline!B74)</f>
        <v/>
      </c>
      <c r="C74" s="141" t="str">
        <f>IF(Baseline!C74="","",Baseline!C74)</f>
        <v/>
      </c>
      <c r="D74" s="288" t="str">
        <f>IF(Baseline!D74="","",Baseline!D74)</f>
        <v/>
      </c>
      <c r="E74" s="132" t="str">
        <f t="shared" si="5"/>
        <v/>
      </c>
      <c r="F74" s="109"/>
      <c r="G74" s="100"/>
      <c r="H74" s="100"/>
      <c r="I74" s="100"/>
      <c r="J74" s="100"/>
      <c r="K74" s="100"/>
      <c r="L74" s="100"/>
      <c r="M74" s="100"/>
      <c r="N74" s="205"/>
      <c r="O74" s="206"/>
      <c r="P74" s="442"/>
      <c r="Q74" s="442"/>
      <c r="R74" s="443"/>
      <c r="S74" s="48" t="str">
        <f t="shared" si="6"/>
        <v/>
      </c>
      <c r="T74" s="49" t="str">
        <f t="shared" si="7"/>
        <v/>
      </c>
      <c r="U74" s="47" t="str">
        <f t="shared" si="8"/>
        <v/>
      </c>
      <c r="V74" s="204"/>
      <c r="W74" s="204"/>
      <c r="X74" s="204"/>
      <c r="Y74" s="48" t="str">
        <f t="shared" si="9"/>
        <v/>
      </c>
      <c r="Z74" s="128" t="str">
        <f t="shared" si="10"/>
        <v/>
      </c>
      <c r="AA74" s="452"/>
      <c r="AB74" s="112"/>
      <c r="AC74" s="113"/>
      <c r="AD74" s="113"/>
      <c r="AE74" s="113"/>
      <c r="AF74" s="114"/>
    </row>
    <row r="75" spans="1:32" s="36" customFormat="1" ht="13.5" customHeight="1">
      <c r="A75" s="287" t="str">
        <f>IF(Baseline!A75="","",Baseline!A75)</f>
        <v/>
      </c>
      <c r="B75" s="141" t="str">
        <f>IF(Baseline!B75="","",Baseline!B75)</f>
        <v/>
      </c>
      <c r="C75" s="141" t="str">
        <f>IF(Baseline!C75="","",Baseline!C75)</f>
        <v/>
      </c>
      <c r="D75" s="288" t="str">
        <f>IF(Baseline!D75="","",Baseline!D75)</f>
        <v/>
      </c>
      <c r="E75" s="132" t="str">
        <f t="shared" si="5"/>
        <v/>
      </c>
      <c r="F75" s="109"/>
      <c r="G75" s="100"/>
      <c r="H75" s="100"/>
      <c r="I75" s="100"/>
      <c r="J75" s="100"/>
      <c r="K75" s="100"/>
      <c r="L75" s="100"/>
      <c r="M75" s="100"/>
      <c r="N75" s="205"/>
      <c r="O75" s="206"/>
      <c r="P75" s="442"/>
      <c r="Q75" s="442"/>
      <c r="R75" s="443"/>
      <c r="S75" s="48" t="str">
        <f t="shared" si="6"/>
        <v/>
      </c>
      <c r="T75" s="49" t="str">
        <f t="shared" si="7"/>
        <v/>
      </c>
      <c r="U75" s="47" t="str">
        <f t="shared" si="8"/>
        <v/>
      </c>
      <c r="V75" s="204"/>
      <c r="W75" s="204"/>
      <c r="X75" s="204"/>
      <c r="Y75" s="48" t="str">
        <f t="shared" si="9"/>
        <v/>
      </c>
      <c r="Z75" s="128" t="str">
        <f t="shared" si="10"/>
        <v/>
      </c>
      <c r="AA75" s="452"/>
      <c r="AB75" s="112"/>
      <c r="AC75" s="113"/>
      <c r="AD75" s="113"/>
      <c r="AE75" s="113"/>
      <c r="AF75" s="114"/>
    </row>
    <row r="76" spans="1:32" s="36" customFormat="1" ht="13.5" customHeight="1">
      <c r="A76" s="287" t="str">
        <f>IF(Baseline!A76="","",Baseline!A76)</f>
        <v/>
      </c>
      <c r="B76" s="141" t="str">
        <f>IF(Baseline!B76="","",Baseline!B76)</f>
        <v/>
      </c>
      <c r="C76" s="141" t="str">
        <f>IF(Baseline!C76="","",Baseline!C76)</f>
        <v/>
      </c>
      <c r="D76" s="288" t="str">
        <f>IF(Baseline!D76="","",Baseline!D76)</f>
        <v/>
      </c>
      <c r="E76" s="132" t="str">
        <f t="shared" si="5"/>
        <v/>
      </c>
      <c r="F76" s="109"/>
      <c r="G76" s="100"/>
      <c r="H76" s="100"/>
      <c r="I76" s="100"/>
      <c r="J76" s="100"/>
      <c r="K76" s="100"/>
      <c r="L76" s="100"/>
      <c r="M76" s="100"/>
      <c r="N76" s="205"/>
      <c r="O76" s="206"/>
      <c r="P76" s="442"/>
      <c r="Q76" s="442"/>
      <c r="R76" s="443"/>
      <c r="S76" s="48" t="str">
        <f t="shared" si="6"/>
        <v/>
      </c>
      <c r="T76" s="49" t="str">
        <f t="shared" si="7"/>
        <v/>
      </c>
      <c r="U76" s="47" t="str">
        <f t="shared" si="8"/>
        <v/>
      </c>
      <c r="V76" s="204"/>
      <c r="W76" s="204"/>
      <c r="X76" s="204"/>
      <c r="Y76" s="48" t="str">
        <f t="shared" si="9"/>
        <v/>
      </c>
      <c r="Z76" s="128" t="str">
        <f t="shared" si="10"/>
        <v/>
      </c>
      <c r="AA76" s="452"/>
      <c r="AB76" s="112"/>
      <c r="AC76" s="113"/>
      <c r="AD76" s="113"/>
      <c r="AE76" s="113"/>
      <c r="AF76" s="114"/>
    </row>
    <row r="77" spans="1:32" s="36" customFormat="1" ht="13.5" customHeight="1">
      <c r="A77" s="287" t="str">
        <f>IF(Baseline!A77="","",Baseline!A77)</f>
        <v/>
      </c>
      <c r="B77" s="141" t="str">
        <f>IF(Baseline!B77="","",Baseline!B77)</f>
        <v/>
      </c>
      <c r="C77" s="141" t="str">
        <f>IF(Baseline!C77="","",Baseline!C77)</f>
        <v/>
      </c>
      <c r="D77" s="288" t="str">
        <f>IF(Baseline!D77="","",Baseline!D77)</f>
        <v/>
      </c>
      <c r="E77" s="132" t="str">
        <f t="shared" si="5"/>
        <v/>
      </c>
      <c r="F77" s="109"/>
      <c r="G77" s="100"/>
      <c r="H77" s="100"/>
      <c r="I77" s="100"/>
      <c r="J77" s="100"/>
      <c r="K77" s="100"/>
      <c r="L77" s="100"/>
      <c r="M77" s="100"/>
      <c r="N77" s="205"/>
      <c r="O77" s="206"/>
      <c r="P77" s="442"/>
      <c r="Q77" s="442"/>
      <c r="R77" s="443"/>
      <c r="S77" s="48" t="str">
        <f t="shared" si="6"/>
        <v/>
      </c>
      <c r="T77" s="49" t="str">
        <f t="shared" si="7"/>
        <v/>
      </c>
      <c r="U77" s="47" t="str">
        <f t="shared" si="8"/>
        <v/>
      </c>
      <c r="V77" s="204"/>
      <c r="W77" s="204"/>
      <c r="X77" s="204"/>
      <c r="Y77" s="48" t="str">
        <f t="shared" si="9"/>
        <v/>
      </c>
      <c r="Z77" s="128" t="str">
        <f t="shared" si="10"/>
        <v/>
      </c>
      <c r="AA77" s="452"/>
      <c r="AB77" s="112"/>
      <c r="AC77" s="113"/>
      <c r="AD77" s="113"/>
      <c r="AE77" s="113"/>
      <c r="AF77" s="114"/>
    </row>
    <row r="78" spans="1:32" s="36" customFormat="1" ht="13.5" customHeight="1">
      <c r="A78" s="287" t="str">
        <f>IF(Baseline!A78="","",Baseline!A78)</f>
        <v/>
      </c>
      <c r="B78" s="141" t="str">
        <f>IF(Baseline!B78="","",Baseline!B78)</f>
        <v/>
      </c>
      <c r="C78" s="141" t="str">
        <f>IF(Baseline!C78="","",Baseline!C78)</f>
        <v/>
      </c>
      <c r="D78" s="288" t="str">
        <f>IF(Baseline!D78="","",Baseline!D78)</f>
        <v/>
      </c>
      <c r="E78" s="132" t="str">
        <f t="shared" si="5"/>
        <v/>
      </c>
      <c r="F78" s="109"/>
      <c r="G78" s="100"/>
      <c r="H78" s="100"/>
      <c r="I78" s="100"/>
      <c r="J78" s="100"/>
      <c r="K78" s="100"/>
      <c r="L78" s="100"/>
      <c r="M78" s="100"/>
      <c r="N78" s="205"/>
      <c r="O78" s="206"/>
      <c r="P78" s="442"/>
      <c r="Q78" s="442"/>
      <c r="R78" s="443"/>
      <c r="S78" s="48" t="str">
        <f t="shared" si="6"/>
        <v/>
      </c>
      <c r="T78" s="49" t="str">
        <f t="shared" si="7"/>
        <v/>
      </c>
      <c r="U78" s="47" t="str">
        <f t="shared" si="8"/>
        <v/>
      </c>
      <c r="V78" s="204"/>
      <c r="W78" s="204"/>
      <c r="X78" s="204"/>
      <c r="Y78" s="48" t="str">
        <f t="shared" si="9"/>
        <v/>
      </c>
      <c r="Z78" s="128" t="str">
        <f t="shared" si="10"/>
        <v/>
      </c>
      <c r="AA78" s="452"/>
      <c r="AB78" s="112"/>
      <c r="AC78" s="113"/>
      <c r="AD78" s="113"/>
      <c r="AE78" s="113"/>
      <c r="AF78" s="114"/>
    </row>
    <row r="79" spans="1:32" s="36" customFormat="1" ht="13.5" customHeight="1">
      <c r="A79" s="287" t="str">
        <f>IF(Baseline!A79="","",Baseline!A79)</f>
        <v/>
      </c>
      <c r="B79" s="141" t="str">
        <f>IF(Baseline!B79="","",Baseline!B79)</f>
        <v/>
      </c>
      <c r="C79" s="141" t="str">
        <f>IF(Baseline!C79="","",Baseline!C79)</f>
        <v/>
      </c>
      <c r="D79" s="288" t="str">
        <f>IF(Baseline!D79="","",Baseline!D79)</f>
        <v/>
      </c>
      <c r="E79" s="132" t="str">
        <f t="shared" si="5"/>
        <v/>
      </c>
      <c r="F79" s="109"/>
      <c r="G79" s="100"/>
      <c r="H79" s="100"/>
      <c r="I79" s="100"/>
      <c r="J79" s="100"/>
      <c r="K79" s="100"/>
      <c r="L79" s="100"/>
      <c r="M79" s="100"/>
      <c r="N79" s="205"/>
      <c r="O79" s="206"/>
      <c r="P79" s="442"/>
      <c r="Q79" s="442"/>
      <c r="R79" s="443"/>
      <c r="S79" s="48" t="str">
        <f t="shared" si="6"/>
        <v/>
      </c>
      <c r="T79" s="49" t="str">
        <f t="shared" si="7"/>
        <v/>
      </c>
      <c r="U79" s="47" t="str">
        <f t="shared" si="8"/>
        <v/>
      </c>
      <c r="V79" s="204"/>
      <c r="W79" s="204"/>
      <c r="X79" s="204"/>
      <c r="Y79" s="48" t="str">
        <f t="shared" si="9"/>
        <v/>
      </c>
      <c r="Z79" s="128" t="str">
        <f t="shared" si="10"/>
        <v/>
      </c>
      <c r="AA79" s="452"/>
      <c r="AB79" s="112"/>
      <c r="AC79" s="113"/>
      <c r="AD79" s="113"/>
      <c r="AE79" s="113"/>
      <c r="AF79" s="114"/>
    </row>
    <row r="80" spans="1:32" s="36" customFormat="1" ht="13.5" customHeight="1">
      <c r="A80" s="287" t="str">
        <f>IF(Baseline!A80="","",Baseline!A80)</f>
        <v/>
      </c>
      <c r="B80" s="141" t="str">
        <f>IF(Baseline!B80="","",Baseline!B80)</f>
        <v/>
      </c>
      <c r="C80" s="141" t="str">
        <f>IF(Baseline!C80="","",Baseline!C80)</f>
        <v/>
      </c>
      <c r="D80" s="288" t="str">
        <f>IF(Baseline!D80="","",Baseline!D80)</f>
        <v/>
      </c>
      <c r="E80" s="132" t="str">
        <f t="shared" si="5"/>
        <v/>
      </c>
      <c r="F80" s="109"/>
      <c r="G80" s="100"/>
      <c r="H80" s="100"/>
      <c r="I80" s="100"/>
      <c r="J80" s="100"/>
      <c r="K80" s="100"/>
      <c r="L80" s="100"/>
      <c r="M80" s="100"/>
      <c r="N80" s="205"/>
      <c r="O80" s="206"/>
      <c r="P80" s="442"/>
      <c r="Q80" s="442"/>
      <c r="R80" s="443"/>
      <c r="S80" s="48" t="str">
        <f t="shared" si="6"/>
        <v/>
      </c>
      <c r="T80" s="49" t="str">
        <f t="shared" si="7"/>
        <v/>
      </c>
      <c r="U80" s="47" t="str">
        <f t="shared" si="8"/>
        <v/>
      </c>
      <c r="V80" s="204"/>
      <c r="W80" s="204"/>
      <c r="X80" s="204"/>
      <c r="Y80" s="48" t="str">
        <f t="shared" si="9"/>
        <v/>
      </c>
      <c r="Z80" s="128" t="str">
        <f t="shared" si="10"/>
        <v/>
      </c>
      <c r="AA80" s="452"/>
      <c r="AB80" s="112"/>
      <c r="AC80" s="113"/>
      <c r="AD80" s="113"/>
      <c r="AE80" s="113"/>
      <c r="AF80" s="114"/>
    </row>
    <row r="81" spans="1:32" s="36" customFormat="1" ht="13.5" customHeight="1">
      <c r="A81" s="287" t="str">
        <f>IF(Baseline!A81="","",Baseline!A81)</f>
        <v/>
      </c>
      <c r="B81" s="141" t="str">
        <f>IF(Baseline!B81="","",Baseline!B81)</f>
        <v/>
      </c>
      <c r="C81" s="141" t="str">
        <f>IF(Baseline!C81="","",Baseline!C81)</f>
        <v/>
      </c>
      <c r="D81" s="288" t="str">
        <f>IF(Baseline!D81="","",Baseline!D81)</f>
        <v/>
      </c>
      <c r="E81" s="132" t="str">
        <f t="shared" si="5"/>
        <v/>
      </c>
      <c r="F81" s="109"/>
      <c r="G81" s="100"/>
      <c r="H81" s="100"/>
      <c r="I81" s="100"/>
      <c r="J81" s="100"/>
      <c r="K81" s="100"/>
      <c r="L81" s="100"/>
      <c r="M81" s="100"/>
      <c r="N81" s="205"/>
      <c r="O81" s="206"/>
      <c r="P81" s="442"/>
      <c r="Q81" s="442"/>
      <c r="R81" s="443"/>
      <c r="S81" s="48" t="str">
        <f t="shared" si="6"/>
        <v/>
      </c>
      <c r="T81" s="49" t="str">
        <f t="shared" si="7"/>
        <v/>
      </c>
      <c r="U81" s="47" t="str">
        <f t="shared" si="8"/>
        <v/>
      </c>
      <c r="V81" s="204"/>
      <c r="W81" s="204"/>
      <c r="X81" s="204"/>
      <c r="Y81" s="48" t="str">
        <f t="shared" si="9"/>
        <v/>
      </c>
      <c r="Z81" s="128" t="str">
        <f t="shared" si="10"/>
        <v/>
      </c>
      <c r="AA81" s="452"/>
      <c r="AB81" s="112"/>
      <c r="AC81" s="113"/>
      <c r="AD81" s="113"/>
      <c r="AE81" s="113"/>
      <c r="AF81" s="114"/>
    </row>
    <row r="82" spans="1:32" s="36" customFormat="1" ht="13.5" customHeight="1">
      <c r="A82" s="287" t="str">
        <f>IF(Baseline!A82="","",Baseline!A82)</f>
        <v/>
      </c>
      <c r="B82" s="141" t="str">
        <f>IF(Baseline!B82="","",Baseline!B82)</f>
        <v/>
      </c>
      <c r="C82" s="141" t="str">
        <f>IF(Baseline!C82="","",Baseline!C82)</f>
        <v/>
      </c>
      <c r="D82" s="288" t="str">
        <f>IF(Baseline!D82="","",Baseline!D82)</f>
        <v/>
      </c>
      <c r="E82" s="96" t="str">
        <f t="shared" si="5"/>
        <v/>
      </c>
      <c r="F82" s="109"/>
      <c r="G82" s="100"/>
      <c r="H82" s="100"/>
      <c r="I82" s="100"/>
      <c r="J82" s="100"/>
      <c r="K82" s="100"/>
      <c r="L82" s="100"/>
      <c r="M82" s="100"/>
      <c r="N82" s="205"/>
      <c r="O82" s="206"/>
      <c r="P82" s="442"/>
      <c r="Q82" s="442"/>
      <c r="R82" s="443"/>
      <c r="S82" s="48" t="str">
        <f t="shared" si="6"/>
        <v/>
      </c>
      <c r="T82" s="49" t="str">
        <f t="shared" si="7"/>
        <v/>
      </c>
      <c r="U82" s="47" t="str">
        <f t="shared" si="8"/>
        <v/>
      </c>
      <c r="V82" s="204"/>
      <c r="W82" s="204"/>
      <c r="X82" s="204"/>
      <c r="Y82" s="48" t="str">
        <f t="shared" si="9"/>
        <v/>
      </c>
      <c r="Z82" s="128" t="str">
        <f t="shared" si="10"/>
        <v/>
      </c>
      <c r="AA82" s="452"/>
      <c r="AB82" s="112"/>
      <c r="AC82" s="113"/>
      <c r="AD82" s="113"/>
      <c r="AE82" s="113"/>
      <c r="AF82" s="114"/>
    </row>
    <row r="83" spans="1:32" s="36" customFormat="1" ht="13.5" customHeight="1">
      <c r="A83" s="287" t="str">
        <f>IF(Baseline!A83="","",Baseline!A83)</f>
        <v/>
      </c>
      <c r="B83" s="141" t="str">
        <f>IF(Baseline!B83="","",Baseline!B83)</f>
        <v/>
      </c>
      <c r="C83" s="141" t="str">
        <f>IF(Baseline!C83="","",Baseline!C83)</f>
        <v/>
      </c>
      <c r="D83" s="288" t="str">
        <f>IF(Baseline!D83="","",Baseline!D83)</f>
        <v/>
      </c>
      <c r="E83" s="96" t="str">
        <f t="shared" si="5"/>
        <v/>
      </c>
      <c r="F83" s="109"/>
      <c r="G83" s="100"/>
      <c r="H83" s="100"/>
      <c r="I83" s="100"/>
      <c r="J83" s="100"/>
      <c r="K83" s="100"/>
      <c r="L83" s="100"/>
      <c r="M83" s="100"/>
      <c r="N83" s="205"/>
      <c r="O83" s="206"/>
      <c r="P83" s="442"/>
      <c r="Q83" s="442"/>
      <c r="R83" s="443"/>
      <c r="S83" s="48" t="str">
        <f t="shared" si="6"/>
        <v/>
      </c>
      <c r="T83" s="49" t="str">
        <f t="shared" si="7"/>
        <v/>
      </c>
      <c r="U83" s="47" t="str">
        <f t="shared" si="8"/>
        <v/>
      </c>
      <c r="V83" s="204"/>
      <c r="W83" s="204"/>
      <c r="X83" s="204"/>
      <c r="Y83" s="48" t="str">
        <f t="shared" si="9"/>
        <v/>
      </c>
      <c r="Z83" s="128" t="str">
        <f t="shared" si="10"/>
        <v/>
      </c>
      <c r="AA83" s="452"/>
      <c r="AB83" s="112"/>
      <c r="AC83" s="113"/>
      <c r="AD83" s="113"/>
      <c r="AE83" s="113"/>
      <c r="AF83" s="114"/>
    </row>
    <row r="84" spans="1:32" s="36" customFormat="1" ht="13.5" customHeight="1">
      <c r="A84" s="287" t="str">
        <f>IF(Baseline!A84="","",Baseline!A84)</f>
        <v/>
      </c>
      <c r="B84" s="141" t="str">
        <f>IF(Baseline!B84="","",Baseline!B84)</f>
        <v/>
      </c>
      <c r="C84" s="141" t="str">
        <f>IF(Baseline!C84="","",Baseline!C84)</f>
        <v/>
      </c>
      <c r="D84" s="288" t="str">
        <f>IF(Baseline!D84="","",Baseline!D84)</f>
        <v/>
      </c>
      <c r="E84" s="96" t="str">
        <f t="shared" si="5"/>
        <v/>
      </c>
      <c r="F84" s="109"/>
      <c r="G84" s="100"/>
      <c r="H84" s="100"/>
      <c r="I84" s="100"/>
      <c r="J84" s="100"/>
      <c r="K84" s="100"/>
      <c r="L84" s="100"/>
      <c r="M84" s="100"/>
      <c r="N84" s="205"/>
      <c r="O84" s="206"/>
      <c r="P84" s="442"/>
      <c r="Q84" s="442"/>
      <c r="R84" s="443"/>
      <c r="S84" s="48" t="str">
        <f t="shared" si="6"/>
        <v/>
      </c>
      <c r="T84" s="49" t="str">
        <f t="shared" si="7"/>
        <v/>
      </c>
      <c r="U84" s="47" t="str">
        <f t="shared" si="8"/>
        <v/>
      </c>
      <c r="V84" s="204"/>
      <c r="W84" s="204"/>
      <c r="X84" s="204"/>
      <c r="Y84" s="48" t="str">
        <f t="shared" si="9"/>
        <v/>
      </c>
      <c r="Z84" s="128" t="str">
        <f t="shared" si="10"/>
        <v/>
      </c>
      <c r="AA84" s="452"/>
      <c r="AB84" s="112"/>
      <c r="AC84" s="113"/>
      <c r="AD84" s="113"/>
      <c r="AE84" s="113"/>
      <c r="AF84" s="114"/>
    </row>
    <row r="85" spans="1:32" s="36" customFormat="1" ht="13.5" customHeight="1">
      <c r="A85" s="287" t="str">
        <f>IF(Baseline!A85="","",Baseline!A85)</f>
        <v/>
      </c>
      <c r="B85" s="141" t="str">
        <f>IF(Baseline!B85="","",Baseline!B85)</f>
        <v/>
      </c>
      <c r="C85" s="141" t="str">
        <f>IF(Baseline!C85="","",Baseline!C85)</f>
        <v/>
      </c>
      <c r="D85" s="288" t="str">
        <f>IF(Baseline!D85="","",Baseline!D85)</f>
        <v/>
      </c>
      <c r="E85" s="96" t="str">
        <f t="shared" si="5"/>
        <v/>
      </c>
      <c r="F85" s="109"/>
      <c r="G85" s="100"/>
      <c r="H85" s="100"/>
      <c r="I85" s="100"/>
      <c r="J85" s="100"/>
      <c r="K85" s="100"/>
      <c r="L85" s="100"/>
      <c r="M85" s="100"/>
      <c r="N85" s="205"/>
      <c r="O85" s="206"/>
      <c r="P85" s="442"/>
      <c r="Q85" s="442"/>
      <c r="R85" s="443"/>
      <c r="S85" s="48" t="str">
        <f t="shared" si="6"/>
        <v/>
      </c>
      <c r="T85" s="49" t="str">
        <f t="shared" si="7"/>
        <v/>
      </c>
      <c r="U85" s="47" t="str">
        <f t="shared" si="8"/>
        <v/>
      </c>
      <c r="V85" s="204"/>
      <c r="W85" s="204"/>
      <c r="X85" s="204"/>
      <c r="Y85" s="48" t="str">
        <f t="shared" si="9"/>
        <v/>
      </c>
      <c r="Z85" s="128" t="str">
        <f t="shared" si="10"/>
        <v/>
      </c>
      <c r="AA85" s="452"/>
      <c r="AB85" s="112"/>
      <c r="AC85" s="113"/>
      <c r="AD85" s="113"/>
      <c r="AE85" s="113"/>
      <c r="AF85" s="114"/>
    </row>
    <row r="86" spans="1:32" s="36" customFormat="1" ht="13.5" customHeight="1">
      <c r="A86" s="287" t="str">
        <f>IF(Baseline!A86="","",Baseline!A86)</f>
        <v/>
      </c>
      <c r="B86" s="141" t="str">
        <f>IF(Baseline!B86="","",Baseline!B86)</f>
        <v/>
      </c>
      <c r="C86" s="141" t="str">
        <f>IF(Baseline!C86="","",Baseline!C86)</f>
        <v/>
      </c>
      <c r="D86" s="288" t="str">
        <f>IF(Baseline!D86="","",Baseline!D86)</f>
        <v/>
      </c>
      <c r="E86" s="96" t="str">
        <f t="shared" si="5"/>
        <v/>
      </c>
      <c r="F86" s="109"/>
      <c r="G86" s="100"/>
      <c r="H86" s="100"/>
      <c r="I86" s="100"/>
      <c r="J86" s="100"/>
      <c r="K86" s="100"/>
      <c r="L86" s="100"/>
      <c r="M86" s="100"/>
      <c r="N86" s="205"/>
      <c r="O86" s="206"/>
      <c r="P86" s="442"/>
      <c r="Q86" s="442"/>
      <c r="R86" s="443"/>
      <c r="S86" s="48" t="str">
        <f t="shared" si="6"/>
        <v/>
      </c>
      <c r="T86" s="49" t="str">
        <f t="shared" si="7"/>
        <v/>
      </c>
      <c r="U86" s="47" t="str">
        <f t="shared" si="8"/>
        <v/>
      </c>
      <c r="V86" s="204"/>
      <c r="W86" s="204"/>
      <c r="X86" s="204"/>
      <c r="Y86" s="48" t="str">
        <f t="shared" si="9"/>
        <v/>
      </c>
      <c r="Z86" s="128" t="str">
        <f t="shared" si="10"/>
        <v/>
      </c>
      <c r="AA86" s="452"/>
      <c r="AB86" s="112"/>
      <c r="AC86" s="113"/>
      <c r="AD86" s="113"/>
      <c r="AE86" s="113"/>
      <c r="AF86" s="114"/>
    </row>
    <row r="87" spans="1:32" s="36" customFormat="1" ht="13.5" customHeight="1">
      <c r="A87" s="287" t="str">
        <f>IF(Baseline!A87="","",Baseline!A87)</f>
        <v/>
      </c>
      <c r="B87" s="141" t="str">
        <f>IF(Baseline!B87="","",Baseline!B87)</f>
        <v/>
      </c>
      <c r="C87" s="141" t="str">
        <f>IF(Baseline!C87="","",Baseline!C87)</f>
        <v/>
      </c>
      <c r="D87" s="288" t="str">
        <f>IF(Baseline!D87="","",Baseline!D87)</f>
        <v/>
      </c>
      <c r="E87" s="96" t="str">
        <f t="shared" si="5"/>
        <v/>
      </c>
      <c r="F87" s="109"/>
      <c r="G87" s="100"/>
      <c r="H87" s="100"/>
      <c r="I87" s="100"/>
      <c r="J87" s="100"/>
      <c r="K87" s="100"/>
      <c r="L87" s="100"/>
      <c r="M87" s="100"/>
      <c r="N87" s="205"/>
      <c r="O87" s="206"/>
      <c r="P87" s="442"/>
      <c r="Q87" s="442"/>
      <c r="R87" s="443"/>
      <c r="S87" s="48" t="str">
        <f t="shared" si="6"/>
        <v/>
      </c>
      <c r="T87" s="49" t="str">
        <f t="shared" si="7"/>
        <v/>
      </c>
      <c r="U87" s="47" t="str">
        <f t="shared" si="8"/>
        <v/>
      </c>
      <c r="V87" s="204"/>
      <c r="W87" s="204"/>
      <c r="X87" s="204"/>
      <c r="Y87" s="48" t="str">
        <f t="shared" si="9"/>
        <v/>
      </c>
      <c r="Z87" s="128" t="str">
        <f t="shared" si="10"/>
        <v/>
      </c>
      <c r="AA87" s="452"/>
      <c r="AB87" s="112"/>
      <c r="AC87" s="113"/>
      <c r="AD87" s="113"/>
      <c r="AE87" s="113"/>
      <c r="AF87" s="114"/>
    </row>
    <row r="88" spans="1:32" s="36" customFormat="1" ht="13.5" customHeight="1">
      <c r="A88" s="287" t="str">
        <f>IF(Baseline!A88="","",Baseline!A88)</f>
        <v/>
      </c>
      <c r="B88" s="141" t="str">
        <f>IF(Baseline!B88="","",Baseline!B88)</f>
        <v/>
      </c>
      <c r="C88" s="141" t="str">
        <f>IF(Baseline!C88="","",Baseline!C88)</f>
        <v/>
      </c>
      <c r="D88" s="288" t="str">
        <f>IF(Baseline!D88="","",Baseline!D88)</f>
        <v/>
      </c>
      <c r="E88" s="96" t="str">
        <f t="shared" si="5"/>
        <v/>
      </c>
      <c r="F88" s="109"/>
      <c r="G88" s="100"/>
      <c r="H88" s="100"/>
      <c r="I88" s="100"/>
      <c r="J88" s="100"/>
      <c r="K88" s="100"/>
      <c r="L88" s="100"/>
      <c r="M88" s="100"/>
      <c r="N88" s="205"/>
      <c r="O88" s="206"/>
      <c r="P88" s="442"/>
      <c r="Q88" s="442"/>
      <c r="R88" s="443"/>
      <c r="S88" s="48" t="str">
        <f t="shared" si="6"/>
        <v/>
      </c>
      <c r="T88" s="49" t="str">
        <f t="shared" si="7"/>
        <v/>
      </c>
      <c r="U88" s="47" t="str">
        <f t="shared" si="8"/>
        <v/>
      </c>
      <c r="V88" s="204"/>
      <c r="W88" s="204"/>
      <c r="X88" s="204"/>
      <c r="Y88" s="48" t="str">
        <f t="shared" si="9"/>
        <v/>
      </c>
      <c r="Z88" s="128" t="str">
        <f t="shared" si="10"/>
        <v/>
      </c>
      <c r="AA88" s="452"/>
      <c r="AB88" s="112"/>
      <c r="AC88" s="113"/>
      <c r="AD88" s="113"/>
      <c r="AE88" s="113"/>
      <c r="AF88" s="114"/>
    </row>
    <row r="89" spans="1:32" s="36" customFormat="1" ht="13.5" customHeight="1">
      <c r="A89" s="287" t="str">
        <f>IF(Baseline!A89="","",Baseline!A89)</f>
        <v/>
      </c>
      <c r="B89" s="141" t="str">
        <f>IF(Baseline!B89="","",Baseline!B89)</f>
        <v/>
      </c>
      <c r="C89" s="141" t="str">
        <f>IF(Baseline!C89="","",Baseline!C89)</f>
        <v/>
      </c>
      <c r="D89" s="288" t="str">
        <f>IF(Baseline!D89="","",Baseline!D89)</f>
        <v/>
      </c>
      <c r="E89" s="96" t="str">
        <f t="shared" si="5"/>
        <v/>
      </c>
      <c r="F89" s="109"/>
      <c r="G89" s="100"/>
      <c r="H89" s="100"/>
      <c r="I89" s="100"/>
      <c r="J89" s="100"/>
      <c r="K89" s="100"/>
      <c r="L89" s="100"/>
      <c r="M89" s="100"/>
      <c r="N89" s="205"/>
      <c r="O89" s="206"/>
      <c r="P89" s="442"/>
      <c r="Q89" s="442"/>
      <c r="R89" s="443"/>
      <c r="S89" s="48" t="str">
        <f t="shared" si="6"/>
        <v/>
      </c>
      <c r="T89" s="49" t="str">
        <f t="shared" si="7"/>
        <v/>
      </c>
      <c r="U89" s="47" t="str">
        <f t="shared" si="8"/>
        <v/>
      </c>
      <c r="V89" s="204"/>
      <c r="W89" s="204"/>
      <c r="X89" s="204"/>
      <c r="Y89" s="48" t="str">
        <f t="shared" si="9"/>
        <v/>
      </c>
      <c r="Z89" s="128" t="str">
        <f t="shared" si="10"/>
        <v/>
      </c>
      <c r="AA89" s="452"/>
      <c r="AB89" s="112"/>
      <c r="AC89" s="113"/>
      <c r="AD89" s="113"/>
      <c r="AE89" s="113"/>
      <c r="AF89" s="114"/>
    </row>
    <row r="90" spans="1:32" s="36" customFormat="1" ht="13.5" customHeight="1">
      <c r="A90" s="287" t="str">
        <f>IF(Baseline!A90="","",Baseline!A90)</f>
        <v/>
      </c>
      <c r="B90" s="141" t="str">
        <f>IF(Baseline!B90="","",Baseline!B90)</f>
        <v/>
      </c>
      <c r="C90" s="141" t="str">
        <f>IF(Baseline!C90="","",Baseline!C90)</f>
        <v/>
      </c>
      <c r="D90" s="288" t="str">
        <f>IF(Baseline!D90="","",Baseline!D90)</f>
        <v/>
      </c>
      <c r="E90" s="96" t="str">
        <f t="shared" si="5"/>
        <v/>
      </c>
      <c r="F90" s="109"/>
      <c r="G90" s="100"/>
      <c r="H90" s="100"/>
      <c r="I90" s="100"/>
      <c r="J90" s="100"/>
      <c r="K90" s="100"/>
      <c r="L90" s="100"/>
      <c r="M90" s="100"/>
      <c r="N90" s="205"/>
      <c r="O90" s="206"/>
      <c r="P90" s="442"/>
      <c r="Q90" s="442"/>
      <c r="R90" s="443"/>
      <c r="S90" s="48" t="str">
        <f t="shared" si="6"/>
        <v/>
      </c>
      <c r="T90" s="49" t="str">
        <f t="shared" si="7"/>
        <v/>
      </c>
      <c r="U90" s="47" t="str">
        <f t="shared" si="8"/>
        <v/>
      </c>
      <c r="V90" s="204"/>
      <c r="W90" s="204"/>
      <c r="X90" s="204"/>
      <c r="Y90" s="48" t="str">
        <f t="shared" si="9"/>
        <v/>
      </c>
      <c r="Z90" s="128" t="str">
        <f t="shared" si="10"/>
        <v/>
      </c>
      <c r="AA90" s="452"/>
      <c r="AB90" s="112"/>
      <c r="AC90" s="113"/>
      <c r="AD90" s="113"/>
      <c r="AE90" s="113"/>
      <c r="AF90" s="114"/>
    </row>
    <row r="91" spans="1:32" s="36" customFormat="1" ht="13.5" customHeight="1">
      <c r="A91" s="287" t="str">
        <f>IF(Baseline!A91="","",Baseline!A91)</f>
        <v/>
      </c>
      <c r="B91" s="141" t="str">
        <f>IF(Baseline!B91="","",Baseline!B91)</f>
        <v/>
      </c>
      <c r="C91" s="141" t="str">
        <f>IF(Baseline!C91="","",Baseline!C91)</f>
        <v/>
      </c>
      <c r="D91" s="288" t="str">
        <f>IF(Baseline!D91="","",Baseline!D91)</f>
        <v/>
      </c>
      <c r="E91" s="96" t="str">
        <f t="shared" si="5"/>
        <v/>
      </c>
      <c r="F91" s="109"/>
      <c r="G91" s="100"/>
      <c r="H91" s="100"/>
      <c r="I91" s="100"/>
      <c r="J91" s="100"/>
      <c r="K91" s="100"/>
      <c r="L91" s="100"/>
      <c r="M91" s="100"/>
      <c r="N91" s="205"/>
      <c r="O91" s="206"/>
      <c r="P91" s="442"/>
      <c r="Q91" s="442"/>
      <c r="R91" s="443"/>
      <c r="S91" s="48" t="str">
        <f t="shared" si="6"/>
        <v/>
      </c>
      <c r="T91" s="49" t="str">
        <f t="shared" si="7"/>
        <v/>
      </c>
      <c r="U91" s="47" t="str">
        <f t="shared" si="8"/>
        <v/>
      </c>
      <c r="V91" s="204"/>
      <c r="W91" s="204"/>
      <c r="X91" s="204"/>
      <c r="Y91" s="48" t="str">
        <f t="shared" si="9"/>
        <v/>
      </c>
      <c r="Z91" s="128" t="str">
        <f t="shared" si="10"/>
        <v/>
      </c>
      <c r="AA91" s="452"/>
      <c r="AB91" s="112"/>
      <c r="AC91" s="113"/>
      <c r="AD91" s="113"/>
      <c r="AE91" s="113"/>
      <c r="AF91" s="114"/>
    </row>
    <row r="92" spans="1:32" s="36" customFormat="1" ht="13.5" customHeight="1">
      <c r="A92" s="289" t="str">
        <f>IF(Baseline!A92="","",Baseline!A92)</f>
        <v/>
      </c>
      <c r="B92" s="290" t="str">
        <f>IF(Baseline!B92="","",Baseline!B92)</f>
        <v/>
      </c>
      <c r="C92" s="290" t="str">
        <f>IF(Baseline!C92="","",Baseline!C92)</f>
        <v/>
      </c>
      <c r="D92" s="291" t="str">
        <f>IF(Baseline!D92="","",Baseline!D92)</f>
        <v/>
      </c>
      <c r="E92" s="97" t="str">
        <f t="shared" si="5"/>
        <v/>
      </c>
      <c r="F92" s="110"/>
      <c r="G92" s="322"/>
      <c r="H92" s="100"/>
      <c r="I92" s="322"/>
      <c r="J92" s="322"/>
      <c r="K92" s="322"/>
      <c r="L92" s="322"/>
      <c r="M92" s="325"/>
      <c r="N92" s="205"/>
      <c r="O92" s="206"/>
      <c r="P92" s="444"/>
      <c r="Q92" s="444"/>
      <c r="R92" s="445"/>
      <c r="S92" s="52" t="str">
        <f t="shared" si="6"/>
        <v/>
      </c>
      <c r="T92" s="53" t="str">
        <f t="shared" si="7"/>
        <v/>
      </c>
      <c r="U92" s="51" t="str">
        <f t="shared" si="8"/>
        <v/>
      </c>
      <c r="V92" s="235"/>
      <c r="W92" s="235"/>
      <c r="X92" s="235"/>
      <c r="Y92" s="52" t="str">
        <f t="shared" si="9"/>
        <v/>
      </c>
      <c r="Z92" s="129" t="str">
        <f t="shared" si="10"/>
        <v/>
      </c>
      <c r="AA92" s="452"/>
      <c r="AB92" s="115"/>
      <c r="AC92" s="113"/>
      <c r="AD92" s="113"/>
      <c r="AE92" s="113"/>
      <c r="AF92" s="114"/>
    </row>
    <row r="93" spans="1:32" s="36" customFormat="1" ht="22.5" customHeight="1">
      <c r="A93" s="54" t="s">
        <v>2</v>
      </c>
      <c r="B93" s="55">
        <f>SUM(B62:B92)</f>
        <v>2918.75</v>
      </c>
      <c r="C93" s="55">
        <f>SUM(C62:C92)</f>
        <v>1</v>
      </c>
      <c r="D93" s="55">
        <f>SUM(D62:D92)</f>
        <v>2918.75</v>
      </c>
      <c r="E93" s="276">
        <f>S93/B93</f>
        <v>33.537000000000006</v>
      </c>
      <c r="F93" s="201" t="s">
        <v>3</v>
      </c>
      <c r="G93" s="55">
        <f>SUMPRODUCT(G62:G92,B62:B92,C62:C92)</f>
        <v>0</v>
      </c>
      <c r="H93" s="83" t="s">
        <v>12</v>
      </c>
      <c r="I93" s="55">
        <f>SUMPRODUCT(I62:I92,$B62:$B92,$C62:$C92)</f>
        <v>0</v>
      </c>
      <c r="J93" s="83" t="s">
        <v>12</v>
      </c>
      <c r="K93" s="55">
        <f>SUMPRODUCT(K62:K92,$B62:$B92,$C62:$C92)</f>
        <v>0</v>
      </c>
      <c r="L93" s="55">
        <f>SUMPRODUCT(L62:L92,$B62:$B92,$C62:$C92)</f>
        <v>0</v>
      </c>
      <c r="M93" s="55">
        <f>SUMPRODUCT(M62:M92,$B62:$B92,$C62:$C92)</f>
        <v>0</v>
      </c>
      <c r="N93" s="298">
        <f>SUMPRODUCT(N62:N92,$C$62:$C$92)</f>
        <v>100</v>
      </c>
      <c r="O93" s="199">
        <f>SUMPRODUCT(O62:O92,$C$62:$C$92)</f>
        <v>23</v>
      </c>
      <c r="P93" s="299" t="s">
        <v>12</v>
      </c>
      <c r="Q93" s="299" t="s">
        <v>12</v>
      </c>
      <c r="R93" s="300" t="s">
        <v>12</v>
      </c>
      <c r="S93" s="57">
        <f>SUMPRODUCT(E62:E92,D62:D92)</f>
        <v>97886.118750000023</v>
      </c>
      <c r="T93" s="58">
        <f>SUMPRODUCT(T62:T92,$C$62:$C$92)</f>
        <v>100</v>
      </c>
      <c r="U93" s="55">
        <f>SUMPRODUCT(U62:U92,$C$62:$C$92)</f>
        <v>23</v>
      </c>
      <c r="V93" s="83"/>
      <c r="W93" s="83"/>
      <c r="X93" s="83"/>
      <c r="Y93" s="57">
        <f>SUMPRODUCT(Z62:Z92,D62:D92)</f>
        <v>76935.331250000003</v>
      </c>
      <c r="Z93" s="278">
        <f>Y93/B93</f>
        <v>26.359000000000002</v>
      </c>
      <c r="AA93" s="452"/>
      <c r="AB93" s="198">
        <f>SUMPRODUCT(AB62:AB92,$C$62:$C$92)</f>
        <v>0</v>
      </c>
      <c r="AC93" s="199">
        <f>SUMPRODUCT(AC62:AC92,$C$62:$C$92)</f>
        <v>0</v>
      </c>
      <c r="AD93" s="199">
        <f>SUMPRODUCT(AD62:AD92,$C$62:$C$92)</f>
        <v>0</v>
      </c>
      <c r="AE93" s="199">
        <f>SUMPRODUCT(AE62:AE92,$C$62:$C$92)</f>
        <v>0</v>
      </c>
      <c r="AF93" s="279">
        <f>SUMPRODUCT(AF62:AF92,$C$62:$C$92)</f>
        <v>0</v>
      </c>
    </row>
    <row r="94" spans="1:32" s="37" customFormat="1" ht="27" customHeight="1">
      <c r="A94" s="424" t="s">
        <v>185</v>
      </c>
      <c r="B94" s="425"/>
      <c r="C94" s="425"/>
      <c r="D94" s="425"/>
      <c r="E94" s="425"/>
      <c r="F94" s="425"/>
      <c r="G94" s="425"/>
      <c r="H94" s="425"/>
      <c r="I94" s="425"/>
      <c r="J94" s="425"/>
      <c r="K94" s="425"/>
      <c r="L94" s="425"/>
      <c r="M94" s="425"/>
      <c r="N94" s="425"/>
      <c r="O94" s="425"/>
      <c r="P94" s="425"/>
      <c r="Q94" s="425"/>
      <c r="R94" s="425"/>
      <c r="S94" s="425"/>
      <c r="T94" s="425"/>
      <c r="U94" s="425"/>
      <c r="V94" s="425"/>
      <c r="W94" s="425"/>
      <c r="X94" s="425"/>
      <c r="Y94" s="425"/>
      <c r="Z94" s="425"/>
      <c r="AA94" s="425"/>
      <c r="AB94" s="425"/>
      <c r="AC94" s="425"/>
      <c r="AD94" s="425"/>
      <c r="AE94" s="425"/>
      <c r="AF94" s="426"/>
    </row>
    <row r="95" spans="1:32" s="36" customFormat="1" ht="28.5" customHeight="1">
      <c r="A95" s="400" t="s">
        <v>0</v>
      </c>
      <c r="B95" s="400" t="s">
        <v>95</v>
      </c>
      <c r="C95" s="435"/>
      <c r="D95" s="436"/>
      <c r="E95" s="380" t="s">
        <v>29</v>
      </c>
      <c r="F95" s="384" t="s">
        <v>3</v>
      </c>
      <c r="G95" s="372" t="s">
        <v>4</v>
      </c>
      <c r="H95" s="372"/>
      <c r="I95" s="372"/>
      <c r="J95" s="372"/>
      <c r="K95" s="372"/>
      <c r="L95" s="372"/>
      <c r="M95" s="373"/>
      <c r="N95" s="301"/>
      <c r="O95" s="302"/>
      <c r="P95" s="302"/>
      <c r="Q95" s="302"/>
      <c r="R95" s="302"/>
      <c r="S95" s="303" t="s">
        <v>19</v>
      </c>
      <c r="T95" s="301"/>
      <c r="U95" s="302"/>
      <c r="V95" s="302"/>
      <c r="W95" s="302"/>
      <c r="X95" s="302"/>
      <c r="Y95" s="372" t="s">
        <v>19</v>
      </c>
      <c r="Z95" s="439"/>
      <c r="AA95" s="446" t="s">
        <v>12</v>
      </c>
      <c r="AB95" s="372" t="s">
        <v>82</v>
      </c>
      <c r="AC95" s="372"/>
      <c r="AD95" s="372"/>
      <c r="AE95" s="372"/>
      <c r="AF95" s="373"/>
    </row>
    <row r="96" spans="1:32" s="36" customFormat="1" ht="54.75" customHeight="1" thickBot="1">
      <c r="A96" s="401"/>
      <c r="B96" s="401"/>
      <c r="C96" s="412"/>
      <c r="D96" s="413"/>
      <c r="E96" s="416"/>
      <c r="F96" s="437"/>
      <c r="G96" s="41" t="s">
        <v>5</v>
      </c>
      <c r="H96" s="451" t="s">
        <v>12</v>
      </c>
      <c r="I96" s="39" t="s">
        <v>6</v>
      </c>
      <c r="J96" s="451" t="s">
        <v>12</v>
      </c>
      <c r="K96" s="39" t="s">
        <v>7</v>
      </c>
      <c r="L96" s="39" t="s">
        <v>8</v>
      </c>
      <c r="M96" s="39" t="s">
        <v>9</v>
      </c>
      <c r="N96" s="232"/>
      <c r="O96" s="183"/>
      <c r="P96" s="183"/>
      <c r="Q96" s="183"/>
      <c r="R96" s="183"/>
      <c r="S96" s="39" t="s">
        <v>96</v>
      </c>
      <c r="T96" s="232"/>
      <c r="U96" s="183"/>
      <c r="V96" s="183"/>
      <c r="W96" s="183"/>
      <c r="X96" s="183"/>
      <c r="Y96" s="151" t="s">
        <v>114</v>
      </c>
      <c r="Z96" s="93" t="s">
        <v>117</v>
      </c>
      <c r="AA96" s="446"/>
      <c r="AB96" s="38" t="s">
        <v>5</v>
      </c>
      <c r="AC96" s="38" t="s">
        <v>6</v>
      </c>
      <c r="AD96" s="38" t="s">
        <v>7</v>
      </c>
      <c r="AE96" s="38" t="s">
        <v>8</v>
      </c>
      <c r="AF96" s="59" t="s">
        <v>9</v>
      </c>
    </row>
    <row r="97" spans="1:32" s="36" customFormat="1" ht="21.75" customHeight="1">
      <c r="A97" s="85" t="s">
        <v>2</v>
      </c>
      <c r="B97" s="414">
        <f>D93+D57</f>
        <v>29663.75</v>
      </c>
      <c r="C97" s="414"/>
      <c r="D97" s="415"/>
      <c r="E97" s="92">
        <f>S97/B97</f>
        <v>15.914341834803286</v>
      </c>
      <c r="F97" s="32" t="s">
        <v>3</v>
      </c>
      <c r="G97" s="30">
        <f>G57+G93</f>
        <v>485327.16738197423</v>
      </c>
      <c r="H97" s="403"/>
      <c r="I97" s="30">
        <f>I57+I93</f>
        <v>738113.62660944194</v>
      </c>
      <c r="J97" s="403"/>
      <c r="K97" s="30">
        <f>K57+K93</f>
        <v>116765.69</v>
      </c>
      <c r="L97" s="30">
        <f>L57+L93</f>
        <v>74212.14</v>
      </c>
      <c r="M97" s="30">
        <f>M57+M93</f>
        <v>20832.82</v>
      </c>
      <c r="N97" s="233"/>
      <c r="O97" s="216"/>
      <c r="P97" s="216"/>
      <c r="Q97" s="216"/>
      <c r="R97" s="216"/>
      <c r="S97" s="69">
        <f>S57+S93</f>
        <v>472079.057602146</v>
      </c>
      <c r="T97" s="233"/>
      <c r="U97" s="216"/>
      <c r="V97" s="216"/>
      <c r="W97" s="216"/>
      <c r="X97" s="216"/>
      <c r="Y97" s="69">
        <f>Y57+Y93</f>
        <v>383209.77943819738</v>
      </c>
      <c r="Z97" s="94">
        <f>Y97/B97</f>
        <v>12.918453649258687</v>
      </c>
      <c r="AA97" s="447"/>
      <c r="AB97" s="30">
        <f>AB57+AB93</f>
        <v>452324.96000000014</v>
      </c>
      <c r="AC97" s="30">
        <f>AC57+AC93</f>
        <v>690416.7</v>
      </c>
      <c r="AD97" s="30">
        <f>AD57+AD93</f>
        <v>116765.69</v>
      </c>
      <c r="AE97" s="30">
        <f>AE57+AE93</f>
        <v>0</v>
      </c>
      <c r="AF97" s="81">
        <f>AF57+AF93</f>
        <v>20832.82</v>
      </c>
    </row>
    <row r="98" spans="1:32">
      <c r="A98" s="71"/>
      <c r="B98" s="72"/>
      <c r="C98" s="73"/>
      <c r="D98" s="73"/>
      <c r="E98" s="73"/>
      <c r="F98" s="73"/>
      <c r="G98" s="73"/>
      <c r="H98" s="73"/>
      <c r="I98" s="73"/>
      <c r="J98" s="73"/>
      <c r="K98" s="73"/>
      <c r="L98" s="73"/>
      <c r="M98" s="73"/>
      <c r="N98" s="73"/>
      <c r="O98" s="73"/>
      <c r="P98" s="73"/>
      <c r="Q98" s="73"/>
      <c r="R98" s="73"/>
    </row>
    <row r="99" spans="1:32">
      <c r="A99" s="71"/>
      <c r="B99" s="72"/>
      <c r="C99" s="73"/>
      <c r="D99" s="73"/>
      <c r="E99" s="73"/>
      <c r="F99" s="73"/>
      <c r="G99" s="73"/>
      <c r="H99" s="73"/>
      <c r="I99" s="73"/>
      <c r="J99" s="73"/>
      <c r="K99" s="73"/>
      <c r="L99" s="73"/>
      <c r="M99" s="73"/>
      <c r="N99" s="73"/>
      <c r="O99" s="73"/>
      <c r="P99" s="73"/>
      <c r="Q99" s="73"/>
      <c r="R99" s="74"/>
    </row>
    <row r="100" spans="1:32">
      <c r="A100" s="71"/>
      <c r="B100" s="72"/>
      <c r="C100" s="73"/>
      <c r="D100" s="73"/>
      <c r="E100" s="73"/>
      <c r="F100" s="73"/>
      <c r="G100" s="73"/>
      <c r="H100" s="73"/>
      <c r="I100" s="73"/>
      <c r="J100" s="73"/>
      <c r="K100" s="73"/>
      <c r="L100" s="73"/>
      <c r="M100" s="73"/>
      <c r="N100" s="73"/>
      <c r="O100" s="73"/>
      <c r="P100" s="73"/>
      <c r="Q100" s="73"/>
      <c r="R100" s="73"/>
    </row>
    <row r="101" spans="1:32">
      <c r="A101" s="71"/>
      <c r="B101" s="72"/>
      <c r="C101" s="73"/>
      <c r="D101" s="73"/>
      <c r="E101" s="73"/>
      <c r="F101" s="73"/>
      <c r="G101" s="73"/>
      <c r="H101" s="73"/>
      <c r="I101" s="73"/>
      <c r="J101" s="73"/>
      <c r="K101" s="73"/>
      <c r="L101" s="73"/>
      <c r="M101" s="73"/>
      <c r="N101" s="73"/>
      <c r="O101" s="73"/>
      <c r="P101" s="73"/>
      <c r="Q101" s="73"/>
      <c r="R101" s="73"/>
    </row>
    <row r="102" spans="1:32">
      <c r="A102" s="71"/>
      <c r="B102" s="72"/>
      <c r="C102" s="73"/>
      <c r="D102" s="73"/>
      <c r="E102" s="73"/>
      <c r="F102" s="73"/>
      <c r="G102" s="73"/>
      <c r="H102" s="73"/>
      <c r="I102" s="73"/>
      <c r="J102" s="73"/>
      <c r="K102" s="73"/>
      <c r="L102" s="73"/>
      <c r="M102" s="73"/>
      <c r="N102" s="73"/>
      <c r="O102" s="73"/>
      <c r="P102" s="73"/>
      <c r="Q102" s="73"/>
      <c r="R102" s="73"/>
    </row>
    <row r="103" spans="1:32">
      <c r="A103" s="71"/>
      <c r="B103" s="72"/>
      <c r="C103" s="73"/>
      <c r="D103" s="73"/>
      <c r="E103" s="73"/>
      <c r="F103" s="73"/>
      <c r="G103" s="73"/>
      <c r="H103" s="73"/>
      <c r="I103" s="73"/>
      <c r="J103" s="73"/>
      <c r="K103" s="73"/>
      <c r="L103" s="73"/>
      <c r="M103" s="73"/>
      <c r="N103" s="73"/>
      <c r="O103" s="73"/>
      <c r="P103" s="73"/>
      <c r="Q103" s="73"/>
      <c r="R103" s="73"/>
    </row>
    <row r="104" spans="1:32">
      <c r="A104" s="71"/>
      <c r="B104" s="72"/>
      <c r="C104" s="73"/>
      <c r="D104" s="73"/>
      <c r="E104" s="73"/>
      <c r="F104" s="73"/>
      <c r="G104" s="73"/>
      <c r="H104" s="73"/>
      <c r="I104" s="73"/>
      <c r="J104" s="73"/>
      <c r="K104" s="73"/>
      <c r="L104" s="73"/>
      <c r="M104" s="73"/>
      <c r="N104" s="73"/>
      <c r="O104" s="73"/>
      <c r="P104" s="73"/>
      <c r="Q104" s="73"/>
      <c r="R104" s="73"/>
    </row>
    <row r="105" spans="1:32">
      <c r="A105" s="71"/>
      <c r="B105" s="72"/>
      <c r="C105" s="73"/>
      <c r="D105" s="73"/>
      <c r="E105" s="73"/>
      <c r="F105" s="73"/>
      <c r="G105" s="73"/>
      <c r="H105" s="73"/>
      <c r="I105" s="73"/>
      <c r="J105" s="73"/>
      <c r="K105" s="73"/>
      <c r="L105" s="73"/>
      <c r="M105" s="73"/>
      <c r="N105" s="73"/>
      <c r="O105" s="73"/>
      <c r="P105" s="73"/>
      <c r="Q105" s="73"/>
      <c r="R105" s="73"/>
    </row>
    <row r="106" spans="1:32">
      <c r="A106" s="71"/>
      <c r="B106" s="72"/>
      <c r="C106" s="73"/>
      <c r="D106" s="73"/>
      <c r="E106" s="73"/>
      <c r="F106" s="73"/>
      <c r="G106" s="73"/>
      <c r="H106" s="73"/>
      <c r="I106" s="73"/>
      <c r="J106" s="73"/>
      <c r="K106" s="73"/>
      <c r="L106" s="73"/>
      <c r="M106" s="73"/>
      <c r="N106" s="73"/>
      <c r="O106" s="73"/>
      <c r="P106" s="73"/>
      <c r="Q106" s="73"/>
      <c r="R106" s="73"/>
    </row>
    <row r="107" spans="1:32">
      <c r="A107" s="71"/>
      <c r="B107" s="72"/>
      <c r="C107" s="73"/>
      <c r="D107" s="73"/>
      <c r="E107" s="73"/>
      <c r="F107" s="73"/>
      <c r="G107" s="73"/>
      <c r="H107" s="73"/>
      <c r="I107" s="73"/>
      <c r="J107" s="73"/>
      <c r="K107" s="73"/>
      <c r="L107" s="73"/>
      <c r="M107" s="73"/>
      <c r="N107" s="73"/>
      <c r="O107" s="73"/>
      <c r="P107" s="73"/>
      <c r="Q107" s="73"/>
      <c r="R107" s="73"/>
    </row>
    <row r="108" spans="1:32">
      <c r="A108" s="71"/>
      <c r="B108" s="72"/>
      <c r="C108" s="73"/>
      <c r="D108" s="73"/>
      <c r="E108" s="73"/>
      <c r="F108" s="73"/>
      <c r="G108" s="73"/>
      <c r="H108" s="73"/>
      <c r="I108" s="73"/>
      <c r="J108" s="73"/>
      <c r="K108" s="73"/>
      <c r="L108" s="73"/>
      <c r="M108" s="73"/>
      <c r="N108" s="73"/>
      <c r="O108" s="73"/>
      <c r="P108" s="73"/>
      <c r="Q108" s="73"/>
      <c r="R108" s="73"/>
    </row>
    <row r="109" spans="1:32">
      <c r="A109" s="71"/>
      <c r="B109" s="72"/>
      <c r="C109" s="73"/>
      <c r="D109" s="73"/>
      <c r="E109" s="73"/>
      <c r="F109" s="73"/>
      <c r="G109" s="73"/>
      <c r="H109" s="73"/>
      <c r="I109" s="73"/>
      <c r="J109" s="73"/>
      <c r="K109" s="73"/>
      <c r="L109" s="73"/>
      <c r="M109" s="73"/>
      <c r="N109" s="73"/>
      <c r="O109" s="73"/>
      <c r="P109" s="73"/>
      <c r="Q109" s="73"/>
      <c r="R109" s="73"/>
    </row>
    <row r="110" spans="1:32">
      <c r="A110" s="71"/>
      <c r="B110" s="72"/>
      <c r="C110" s="73"/>
      <c r="D110" s="73"/>
      <c r="E110" s="73"/>
      <c r="F110" s="73"/>
      <c r="G110" s="73"/>
      <c r="H110" s="73"/>
      <c r="I110" s="73"/>
      <c r="J110" s="73"/>
      <c r="K110" s="73"/>
      <c r="L110" s="73"/>
      <c r="M110" s="73"/>
      <c r="N110" s="73"/>
      <c r="O110" s="73"/>
      <c r="P110" s="73"/>
      <c r="Q110" s="73"/>
      <c r="R110" s="73"/>
    </row>
    <row r="111" spans="1:32">
      <c r="A111" s="71"/>
      <c r="B111" s="72"/>
      <c r="C111" s="73"/>
      <c r="D111" s="73"/>
      <c r="E111" s="73"/>
      <c r="F111" s="73"/>
      <c r="G111" s="73"/>
      <c r="H111" s="73"/>
      <c r="I111" s="73"/>
      <c r="J111" s="73"/>
      <c r="K111" s="73"/>
      <c r="L111" s="73"/>
      <c r="M111" s="73"/>
      <c r="N111" s="73"/>
      <c r="O111" s="73"/>
      <c r="P111" s="73"/>
      <c r="Q111" s="73"/>
      <c r="R111" s="73"/>
    </row>
    <row r="112" spans="1:32">
      <c r="A112" s="71"/>
      <c r="B112" s="72"/>
      <c r="C112" s="73"/>
      <c r="D112" s="73"/>
      <c r="E112" s="73"/>
      <c r="F112" s="73"/>
      <c r="G112" s="73"/>
      <c r="H112" s="73"/>
      <c r="I112" s="73"/>
      <c r="J112" s="73"/>
      <c r="K112" s="73"/>
      <c r="L112" s="73"/>
      <c r="M112" s="73"/>
      <c r="N112" s="73"/>
      <c r="O112" s="73"/>
      <c r="P112" s="73"/>
      <c r="Q112" s="73"/>
      <c r="R112" s="73"/>
    </row>
    <row r="113" spans="1:18">
      <c r="A113" s="71"/>
      <c r="B113" s="72"/>
      <c r="C113" s="73"/>
      <c r="D113" s="73"/>
      <c r="E113" s="73"/>
      <c r="F113" s="73"/>
      <c r="G113" s="73"/>
      <c r="H113" s="73"/>
      <c r="I113" s="73"/>
      <c r="J113" s="73"/>
      <c r="K113" s="73"/>
      <c r="L113" s="73"/>
      <c r="M113" s="73"/>
      <c r="N113" s="73"/>
      <c r="O113" s="73"/>
      <c r="P113" s="73"/>
      <c r="Q113" s="73"/>
      <c r="R113" s="73"/>
    </row>
    <row r="114" spans="1:18">
      <c r="A114" s="71"/>
      <c r="B114" s="72"/>
      <c r="C114" s="73"/>
      <c r="D114" s="73"/>
      <c r="E114" s="73"/>
      <c r="F114" s="73"/>
      <c r="G114" s="73"/>
      <c r="H114" s="73"/>
      <c r="I114" s="73"/>
      <c r="J114" s="73"/>
      <c r="K114" s="73"/>
      <c r="L114" s="73"/>
      <c r="M114" s="73"/>
      <c r="N114" s="73"/>
      <c r="O114" s="73"/>
      <c r="P114" s="73"/>
      <c r="Q114" s="73"/>
      <c r="R114" s="73"/>
    </row>
    <row r="115" spans="1:18">
      <c r="A115" s="71"/>
      <c r="B115" s="72"/>
      <c r="C115" s="73"/>
      <c r="D115" s="73"/>
      <c r="E115" s="73"/>
      <c r="F115" s="73"/>
      <c r="G115" s="73"/>
      <c r="H115" s="73"/>
      <c r="I115" s="73"/>
      <c r="J115" s="73"/>
      <c r="K115" s="73"/>
      <c r="L115" s="73"/>
      <c r="M115" s="73"/>
      <c r="N115" s="73"/>
      <c r="O115" s="73"/>
      <c r="P115" s="73"/>
      <c r="Q115" s="73"/>
      <c r="R115" s="73"/>
    </row>
    <row r="116" spans="1:18">
      <c r="A116" s="71"/>
      <c r="B116" s="72"/>
      <c r="C116" s="73"/>
      <c r="D116" s="73"/>
      <c r="E116" s="73"/>
      <c r="F116" s="73"/>
      <c r="G116" s="73"/>
      <c r="H116" s="73"/>
      <c r="I116" s="73"/>
      <c r="J116" s="73"/>
      <c r="K116" s="73"/>
      <c r="L116" s="73"/>
      <c r="M116" s="73"/>
      <c r="N116" s="73"/>
      <c r="O116" s="73"/>
      <c r="P116" s="73"/>
      <c r="Q116" s="73"/>
      <c r="R116" s="73"/>
    </row>
    <row r="117" spans="1:18">
      <c r="A117" s="71"/>
      <c r="B117" s="72"/>
      <c r="C117" s="73"/>
      <c r="D117" s="73"/>
      <c r="E117" s="73"/>
      <c r="F117" s="73"/>
      <c r="G117" s="73"/>
      <c r="H117" s="73"/>
      <c r="I117" s="73"/>
      <c r="J117" s="73"/>
      <c r="K117" s="73"/>
      <c r="L117" s="73"/>
      <c r="M117" s="73"/>
      <c r="N117" s="73"/>
      <c r="O117" s="73"/>
      <c r="P117" s="73"/>
      <c r="Q117" s="73"/>
      <c r="R117" s="73"/>
    </row>
    <row r="118" spans="1:18">
      <c r="A118" s="71"/>
      <c r="B118" s="72"/>
      <c r="C118" s="73"/>
      <c r="D118" s="73"/>
      <c r="E118" s="73"/>
      <c r="F118" s="73"/>
      <c r="G118" s="73"/>
      <c r="H118" s="73"/>
      <c r="I118" s="73"/>
      <c r="J118" s="73"/>
      <c r="K118" s="73"/>
      <c r="L118" s="73"/>
      <c r="M118" s="73"/>
      <c r="N118" s="73"/>
      <c r="O118" s="73"/>
      <c r="P118" s="73"/>
      <c r="Q118" s="73"/>
      <c r="R118" s="73"/>
    </row>
    <row r="119" spans="1:18">
      <c r="A119" s="71"/>
      <c r="B119" s="72"/>
      <c r="C119" s="73"/>
      <c r="D119" s="73"/>
      <c r="E119" s="73"/>
      <c r="F119" s="73"/>
      <c r="G119" s="73"/>
      <c r="H119" s="73"/>
      <c r="I119" s="73"/>
      <c r="J119" s="73"/>
      <c r="K119" s="73"/>
      <c r="L119" s="73"/>
      <c r="M119" s="73"/>
      <c r="N119" s="73"/>
      <c r="O119" s="73"/>
      <c r="P119" s="73"/>
      <c r="Q119" s="73"/>
      <c r="R119" s="73"/>
    </row>
    <row r="120" spans="1:18">
      <c r="A120" s="71"/>
      <c r="B120" s="72"/>
      <c r="C120" s="73"/>
      <c r="D120" s="73"/>
      <c r="E120" s="73"/>
      <c r="F120" s="73"/>
      <c r="G120" s="73"/>
      <c r="H120" s="73"/>
      <c r="I120" s="73"/>
      <c r="J120" s="73"/>
      <c r="K120" s="73"/>
      <c r="L120" s="73"/>
      <c r="M120" s="73"/>
      <c r="N120" s="73"/>
      <c r="O120" s="73"/>
      <c r="P120" s="73"/>
      <c r="Q120" s="73"/>
      <c r="R120" s="73"/>
    </row>
    <row r="121" spans="1:18">
      <c r="A121" s="71"/>
      <c r="B121" s="72"/>
      <c r="C121" s="73"/>
      <c r="D121" s="73"/>
      <c r="E121" s="73"/>
      <c r="F121" s="73"/>
      <c r="G121" s="73"/>
      <c r="H121" s="73"/>
      <c r="I121" s="73"/>
      <c r="J121" s="73"/>
      <c r="K121" s="73"/>
      <c r="L121" s="73"/>
      <c r="M121" s="73"/>
      <c r="N121" s="73"/>
      <c r="O121" s="73"/>
      <c r="P121" s="73"/>
      <c r="Q121" s="73"/>
      <c r="R121" s="73"/>
    </row>
    <row r="122" spans="1:18">
      <c r="A122" s="71"/>
      <c r="B122" s="72"/>
      <c r="C122" s="73"/>
      <c r="D122" s="73"/>
      <c r="E122" s="73"/>
      <c r="F122" s="73"/>
      <c r="G122" s="73"/>
      <c r="H122" s="73"/>
      <c r="I122" s="73"/>
      <c r="J122" s="73"/>
      <c r="K122" s="73"/>
      <c r="L122" s="73"/>
      <c r="M122" s="73"/>
      <c r="N122" s="73"/>
      <c r="O122" s="73"/>
      <c r="P122" s="73"/>
      <c r="Q122" s="73"/>
      <c r="R122" s="73"/>
    </row>
    <row r="123" spans="1:18">
      <c r="A123" s="71"/>
      <c r="B123" s="72"/>
      <c r="C123" s="73"/>
      <c r="D123" s="73"/>
      <c r="E123" s="73"/>
      <c r="F123" s="73"/>
      <c r="G123" s="73"/>
      <c r="H123" s="73"/>
      <c r="I123" s="73"/>
      <c r="J123" s="73"/>
      <c r="K123" s="73"/>
      <c r="L123" s="73"/>
      <c r="M123" s="73"/>
      <c r="N123" s="73"/>
      <c r="O123" s="73"/>
      <c r="P123" s="73"/>
      <c r="Q123" s="73"/>
      <c r="R123" s="73"/>
    </row>
    <row r="124" spans="1:18">
      <c r="A124" s="71"/>
      <c r="B124" s="72"/>
      <c r="C124" s="73"/>
      <c r="D124" s="73"/>
      <c r="E124" s="73"/>
      <c r="F124" s="73"/>
      <c r="G124" s="73"/>
      <c r="H124" s="73"/>
      <c r="I124" s="73"/>
      <c r="J124" s="73"/>
      <c r="K124" s="73"/>
      <c r="L124" s="73"/>
      <c r="M124" s="73"/>
      <c r="N124" s="73"/>
      <c r="O124" s="73"/>
      <c r="P124" s="73"/>
      <c r="Q124" s="73"/>
      <c r="R124" s="73"/>
    </row>
    <row r="125" spans="1:18">
      <c r="A125" s="71"/>
      <c r="B125" s="72"/>
      <c r="C125" s="73"/>
      <c r="D125" s="73"/>
      <c r="E125" s="73"/>
      <c r="F125" s="73"/>
      <c r="G125" s="73"/>
      <c r="H125" s="73"/>
      <c r="I125" s="73"/>
      <c r="J125" s="73"/>
      <c r="K125" s="73"/>
      <c r="L125" s="73"/>
      <c r="M125" s="73"/>
      <c r="N125" s="73"/>
      <c r="O125" s="73"/>
      <c r="P125" s="73"/>
      <c r="Q125" s="73"/>
      <c r="R125" s="73"/>
    </row>
    <row r="126" spans="1:18">
      <c r="A126" s="71"/>
      <c r="B126" s="73"/>
      <c r="C126" s="73"/>
      <c r="D126" s="73"/>
      <c r="E126" s="73"/>
      <c r="F126" s="73"/>
      <c r="G126" s="73"/>
      <c r="H126" s="73"/>
      <c r="I126" s="73"/>
      <c r="J126" s="73"/>
      <c r="K126" s="73"/>
      <c r="L126" s="73"/>
      <c r="M126" s="73"/>
      <c r="N126" s="73"/>
      <c r="O126" s="73"/>
      <c r="P126" s="73"/>
      <c r="Q126" s="73"/>
      <c r="R126" s="73"/>
    </row>
    <row r="127" spans="1:18">
      <c r="A127" s="71"/>
      <c r="B127" s="72"/>
      <c r="C127" s="73"/>
      <c r="D127" s="73"/>
      <c r="E127" s="73"/>
      <c r="F127" s="73"/>
      <c r="G127" s="73"/>
      <c r="H127" s="73"/>
      <c r="I127" s="73"/>
      <c r="J127" s="73"/>
      <c r="K127" s="73"/>
      <c r="L127" s="73"/>
      <c r="M127" s="73"/>
      <c r="N127" s="73"/>
      <c r="O127" s="73"/>
      <c r="P127" s="73"/>
      <c r="Q127" s="73"/>
      <c r="R127" s="73"/>
    </row>
    <row r="130" spans="1:18">
      <c r="A130" s="75"/>
      <c r="B130" s="76"/>
      <c r="C130" s="76"/>
      <c r="D130" s="76"/>
      <c r="E130" s="76"/>
      <c r="F130" s="76"/>
      <c r="G130" s="76"/>
      <c r="H130" s="76"/>
      <c r="I130" s="76"/>
      <c r="J130" s="76"/>
      <c r="K130" s="76"/>
      <c r="L130" s="76"/>
      <c r="M130" s="76"/>
      <c r="N130" s="76"/>
      <c r="O130" s="76"/>
      <c r="P130" s="76"/>
      <c r="Q130" s="76"/>
      <c r="R130" s="76"/>
    </row>
    <row r="131" spans="1:18">
      <c r="A131" s="75"/>
      <c r="B131" s="76"/>
      <c r="C131" s="76"/>
      <c r="D131" s="76"/>
      <c r="E131" s="76"/>
      <c r="F131" s="76"/>
      <c r="G131" s="76"/>
      <c r="H131" s="76"/>
      <c r="I131" s="76"/>
      <c r="J131" s="76"/>
      <c r="K131" s="76"/>
      <c r="L131" s="76"/>
      <c r="M131" s="76"/>
      <c r="N131" s="76"/>
      <c r="O131" s="76"/>
      <c r="P131" s="76"/>
      <c r="Q131" s="76"/>
      <c r="R131" s="76"/>
    </row>
  </sheetData>
  <sheetProtection algorithmName="SHA-512" hashValue="ychlSUAabkwntTAtB9AaIwz46vqLsKsIqfL/cVl6qQOeiRdlLxb+jNvgL3MQTp2CbuFFurSGhHfFeoobMxW6Og==" saltValue="M/XOZJ3xgrzdtswlEygE9g==" spinCount="100000" sheet="1" objects="1" scenarios="1"/>
  <mergeCells count="54">
    <mergeCell ref="A3:A4"/>
    <mergeCell ref="B3:B4"/>
    <mergeCell ref="C3:C4"/>
    <mergeCell ref="G3:M3"/>
    <mergeCell ref="T3:Z3"/>
    <mergeCell ref="N3:S3"/>
    <mergeCell ref="E3:F3"/>
    <mergeCell ref="AB3:AF3"/>
    <mergeCell ref="T1:Z1"/>
    <mergeCell ref="G60:G61"/>
    <mergeCell ref="H60:H61"/>
    <mergeCell ref="I60:I61"/>
    <mergeCell ref="J60:J61"/>
    <mergeCell ref="K60:K61"/>
    <mergeCell ref="L60:L61"/>
    <mergeCell ref="M60:M61"/>
    <mergeCell ref="G59:M59"/>
    <mergeCell ref="N1:S1"/>
    <mergeCell ref="A1:M1"/>
    <mergeCell ref="AA2:AF2"/>
    <mergeCell ref="AA58:AF58"/>
    <mergeCell ref="A58:Z58"/>
    <mergeCell ref="D3:D4"/>
    <mergeCell ref="Y95:Z95"/>
    <mergeCell ref="A94:AF94"/>
    <mergeCell ref="A95:A96"/>
    <mergeCell ref="AA95:AA97"/>
    <mergeCell ref="T59:Z59"/>
    <mergeCell ref="AB95:AF95"/>
    <mergeCell ref="AB59:AF59"/>
    <mergeCell ref="H96:H97"/>
    <mergeCell ref="J96:J97"/>
    <mergeCell ref="G95:M95"/>
    <mergeCell ref="AA59:AA93"/>
    <mergeCell ref="A59:A61"/>
    <mergeCell ref="Z60:Z61"/>
    <mergeCell ref="AB60:AB61"/>
    <mergeCell ref="AC60:AC61"/>
    <mergeCell ref="AD60:AD61"/>
    <mergeCell ref="AE60:AE61"/>
    <mergeCell ref="AF60:AF61"/>
    <mergeCell ref="N59:S59"/>
    <mergeCell ref="E59:F59"/>
    <mergeCell ref="E60:E61"/>
    <mergeCell ref="F60:F61"/>
    <mergeCell ref="S60:S61"/>
    <mergeCell ref="P60:R92"/>
    <mergeCell ref="B95:D96"/>
    <mergeCell ref="B97:D97"/>
    <mergeCell ref="D59:D61"/>
    <mergeCell ref="E95:E96"/>
    <mergeCell ref="F95:F96"/>
    <mergeCell ref="B59:B61"/>
    <mergeCell ref="C59:C61"/>
  </mergeCells>
  <dataValidations count="2">
    <dataValidation type="list" allowBlank="1" showInputMessage="1" showErrorMessage="1" sqref="H6:H56 J6:J56 H62:H92 J62:J92" xr:uid="{00000000-0002-0000-0300-000000000000}">
      <formula1>Fuel_Type</formula1>
    </dataValidation>
    <dataValidation allowBlank="1" showInputMessage="1" showErrorMessage="1" promptTitle="Power factor correction" prompt="Note that Part L consumption may need to be amended where power factor correction is present._x000a__x000a_See table 1 in ADL2A for adjustment factors_x000a_" sqref="O62:O92" xr:uid="{00000000-0002-0000-0300-000001000000}"/>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132"/>
  <sheetViews>
    <sheetView topLeftCell="O1" zoomScale="85" zoomScaleNormal="85" workbookViewId="0">
      <selection activeCell="AG7" sqref="AG7:AG50"/>
    </sheetView>
  </sheetViews>
  <sheetFormatPr defaultColWidth="9.140625" defaultRowHeight="12.75"/>
  <cols>
    <col min="1" max="1" width="15.7109375" style="34" customWidth="1"/>
    <col min="2" max="4" width="12.42578125" style="35" customWidth="1"/>
    <col min="5" max="5" width="15.28515625" style="35" customWidth="1"/>
    <col min="6" max="6" width="16.140625" style="35" bestFit="1" customWidth="1"/>
    <col min="7" max="7" width="15.28515625" style="35" customWidth="1"/>
    <col min="8" max="8" width="17.85546875" style="35" customWidth="1"/>
    <col min="9" max="9" width="17.140625" style="35" customWidth="1"/>
    <col min="10" max="10" width="17.85546875" style="35" customWidth="1"/>
    <col min="11" max="11" width="16.85546875" style="35" customWidth="1"/>
    <col min="12" max="12" width="17.85546875" style="35" customWidth="1"/>
    <col min="13" max="13" width="16.85546875" style="35" customWidth="1"/>
    <col min="14" max="23" width="15.28515625" style="35" customWidth="1"/>
    <col min="24" max="32" width="15.28515625" style="73" customWidth="1"/>
    <col min="33" max="33" width="17.85546875" style="73" customWidth="1"/>
    <col min="34" max="49" width="15.28515625" style="78" customWidth="1"/>
    <col min="50" max="50" width="10" style="78" customWidth="1"/>
    <col min="51" max="51" width="35" style="78" customWidth="1"/>
    <col min="52" max="52" width="19.5703125" style="78" customWidth="1"/>
    <col min="53" max="53" width="14" style="78" customWidth="1"/>
    <col min="54" max="54" width="14.5703125" style="78" customWidth="1"/>
    <col min="55" max="55" width="13.5703125" style="78" customWidth="1"/>
    <col min="56" max="56" width="11.42578125" style="78" customWidth="1"/>
    <col min="57" max="57" width="10.42578125" style="78" customWidth="1"/>
    <col min="58" max="58" width="12" style="78" customWidth="1"/>
    <col min="59" max="16384" width="9.140625" style="78"/>
  </cols>
  <sheetData>
    <row r="1" spans="1:33" s="36" customFormat="1" ht="27" customHeight="1">
      <c r="A1" s="427" t="s">
        <v>107</v>
      </c>
      <c r="B1" s="427"/>
      <c r="C1" s="427"/>
      <c r="D1" s="427"/>
      <c r="E1" s="427"/>
      <c r="F1" s="427"/>
      <c r="G1" s="427"/>
      <c r="H1" s="427"/>
      <c r="I1" s="427"/>
      <c r="J1" s="427"/>
      <c r="K1" s="427"/>
      <c r="L1" s="427"/>
      <c r="M1" s="427"/>
      <c r="N1" s="427"/>
      <c r="O1" s="427"/>
      <c r="P1" s="427"/>
      <c r="Q1" s="470" t="s">
        <v>110</v>
      </c>
      <c r="R1" s="470"/>
      <c r="S1" s="470"/>
      <c r="T1" s="470"/>
      <c r="U1" s="470"/>
      <c r="V1" s="470"/>
      <c r="W1" s="470"/>
      <c r="X1" s="471"/>
      <c r="Y1" s="419" t="s">
        <v>111</v>
      </c>
      <c r="Z1" s="420"/>
      <c r="AA1" s="420"/>
      <c r="AB1" s="420"/>
      <c r="AC1" s="420"/>
      <c r="AD1" s="420"/>
      <c r="AE1" s="420"/>
      <c r="AF1" s="420"/>
      <c r="AG1" s="469"/>
    </row>
    <row r="2" spans="1:33" s="37" customFormat="1" ht="27" customHeight="1">
      <c r="A2" s="406" t="s">
        <v>181</v>
      </c>
      <c r="B2" s="406"/>
      <c r="C2" s="406"/>
      <c r="D2" s="406"/>
      <c r="E2" s="404"/>
      <c r="F2" s="404"/>
      <c r="G2" s="404"/>
      <c r="H2" s="404"/>
      <c r="I2" s="404"/>
      <c r="J2" s="404"/>
      <c r="K2" s="404"/>
      <c r="L2" s="404"/>
      <c r="M2" s="404"/>
      <c r="N2" s="404"/>
      <c r="O2" s="404"/>
      <c r="P2" s="404"/>
      <c r="Q2" s="404"/>
      <c r="R2" s="404"/>
      <c r="S2" s="404"/>
      <c r="T2" s="404"/>
      <c r="U2" s="404"/>
      <c r="V2" s="404"/>
      <c r="W2" s="404"/>
      <c r="X2" s="404"/>
      <c r="Y2" s="404"/>
      <c r="Z2" s="404"/>
      <c r="AA2" s="404"/>
      <c r="AB2" s="404"/>
      <c r="AC2" s="404"/>
      <c r="AD2" s="404"/>
      <c r="AE2" s="404"/>
      <c r="AF2" s="404"/>
      <c r="AG2" s="186"/>
    </row>
    <row r="3" spans="1:33" s="36" customFormat="1" ht="30.75" customHeight="1">
      <c r="A3" s="465" t="str">
        <f>Baseline!A3</f>
        <v>Unit identifier (e.g. plot number, dwelling type etc.)</v>
      </c>
      <c r="B3" s="384" t="str">
        <f>Baseline!B3</f>
        <v>Model total floor area (m²)</v>
      </c>
      <c r="C3" s="384" t="str">
        <f>Baseline!C3</f>
        <v>Number of units</v>
      </c>
      <c r="D3" s="429" t="str">
        <f>Baseline!D3</f>
        <v>Total area represented by model  (m²)</v>
      </c>
      <c r="E3" s="372" t="str">
        <f>Baseline!E3</f>
        <v>VALIDATION CHECK</v>
      </c>
      <c r="F3" s="439"/>
      <c r="G3" s="371" t="s">
        <v>159</v>
      </c>
      <c r="H3" s="372"/>
      <c r="I3" s="372"/>
      <c r="J3" s="372"/>
      <c r="K3" s="372"/>
      <c r="L3" s="372"/>
      <c r="M3" s="372"/>
      <c r="N3" s="372"/>
      <c r="O3" s="372"/>
      <c r="P3" s="373"/>
      <c r="Q3" s="371" t="s">
        <v>152</v>
      </c>
      <c r="R3" s="372"/>
      <c r="S3" s="372"/>
      <c r="T3" s="372"/>
      <c r="U3" s="372"/>
      <c r="V3" s="372"/>
      <c r="W3" s="372"/>
      <c r="X3" s="372"/>
      <c r="Y3" s="448" t="s">
        <v>152</v>
      </c>
      <c r="Z3" s="449"/>
      <c r="AA3" s="449"/>
      <c r="AB3" s="449"/>
      <c r="AC3" s="449"/>
      <c r="AD3" s="449"/>
      <c r="AE3" s="449"/>
      <c r="AF3" s="449"/>
      <c r="AG3" s="468"/>
    </row>
    <row r="4" spans="1:33" s="36" customFormat="1" ht="45.75" customHeight="1">
      <c r="A4" s="466"/>
      <c r="B4" s="385"/>
      <c r="C4" s="385"/>
      <c r="D4" s="430"/>
      <c r="E4" s="157" t="s">
        <v>26</v>
      </c>
      <c r="F4" s="179" t="s">
        <v>27</v>
      </c>
      <c r="G4" s="156" t="s">
        <v>265</v>
      </c>
      <c r="H4" s="157" t="s">
        <v>20</v>
      </c>
      <c r="I4" s="157" t="s">
        <v>267</v>
      </c>
      <c r="J4" s="157" t="s">
        <v>21</v>
      </c>
      <c r="K4" s="157" t="s">
        <v>171</v>
      </c>
      <c r="L4" s="157" t="s">
        <v>172</v>
      </c>
      <c r="M4" s="157" t="s">
        <v>199</v>
      </c>
      <c r="N4" s="157" t="s">
        <v>132</v>
      </c>
      <c r="O4" s="157" t="s">
        <v>133</v>
      </c>
      <c r="P4" s="158" t="s">
        <v>134</v>
      </c>
      <c r="Q4" s="156" t="s">
        <v>161</v>
      </c>
      <c r="R4" s="157" t="s">
        <v>162</v>
      </c>
      <c r="S4" s="157" t="s">
        <v>163</v>
      </c>
      <c r="T4" s="157" t="s">
        <v>167</v>
      </c>
      <c r="U4" s="157" t="s">
        <v>164</v>
      </c>
      <c r="V4" s="157" t="s">
        <v>165</v>
      </c>
      <c r="W4" s="157" t="s">
        <v>166</v>
      </c>
      <c r="X4" s="269" t="s">
        <v>96</v>
      </c>
      <c r="Y4" s="178" t="s">
        <v>161</v>
      </c>
      <c r="Z4" s="157" t="s">
        <v>162</v>
      </c>
      <c r="AA4" s="157" t="s">
        <v>163</v>
      </c>
      <c r="AB4" s="157" t="s">
        <v>167</v>
      </c>
      <c r="AC4" s="157" t="s">
        <v>164</v>
      </c>
      <c r="AD4" s="157" t="s">
        <v>165</v>
      </c>
      <c r="AE4" s="157" t="s">
        <v>166</v>
      </c>
      <c r="AF4" s="245" t="s">
        <v>114</v>
      </c>
      <c r="AG4" s="241" t="s">
        <v>115</v>
      </c>
    </row>
    <row r="5" spans="1:33" s="36" customFormat="1">
      <c r="A5" s="467"/>
      <c r="B5" s="386"/>
      <c r="C5" s="385"/>
      <c r="D5" s="383"/>
      <c r="E5" s="157"/>
      <c r="F5" s="179"/>
      <c r="G5" s="156"/>
      <c r="H5" s="157"/>
      <c r="I5" s="157"/>
      <c r="J5" s="157"/>
      <c r="K5" s="180" t="s">
        <v>168</v>
      </c>
      <c r="L5" s="180" t="s">
        <v>168</v>
      </c>
      <c r="M5" s="180" t="s">
        <v>168</v>
      </c>
      <c r="N5" s="157"/>
      <c r="O5" s="157"/>
      <c r="P5" s="157"/>
      <c r="Q5" s="156"/>
      <c r="R5" s="157"/>
      <c r="S5" s="180" t="s">
        <v>168</v>
      </c>
      <c r="T5" s="180" t="s">
        <v>168</v>
      </c>
      <c r="U5" s="157"/>
      <c r="V5" s="157"/>
      <c r="W5" s="157"/>
      <c r="X5" s="270"/>
      <c r="Y5" s="178"/>
      <c r="Z5" s="157"/>
      <c r="AA5" s="180" t="s">
        <v>168</v>
      </c>
      <c r="AB5" s="180" t="s">
        <v>168</v>
      </c>
      <c r="AC5" s="157"/>
      <c r="AD5" s="157"/>
      <c r="AE5" s="157"/>
      <c r="AF5" s="156"/>
      <c r="AG5" s="158"/>
    </row>
    <row r="6" spans="1:33" s="36" customFormat="1" ht="51">
      <c r="A6" s="247"/>
      <c r="B6" s="244"/>
      <c r="C6" s="143"/>
      <c r="D6" s="249"/>
      <c r="E6" s="143"/>
      <c r="F6" s="228" t="s">
        <v>202</v>
      </c>
      <c r="G6" s="148" t="s">
        <v>205</v>
      </c>
      <c r="H6" s="149" t="s">
        <v>221</v>
      </c>
      <c r="I6" s="346" t="s">
        <v>206</v>
      </c>
      <c r="J6" s="149" t="s">
        <v>221</v>
      </c>
      <c r="K6" s="149" t="s">
        <v>207</v>
      </c>
      <c r="L6" s="149" t="s">
        <v>221</v>
      </c>
      <c r="M6" s="149" t="s">
        <v>257</v>
      </c>
      <c r="N6" s="149" t="s">
        <v>125</v>
      </c>
      <c r="O6" s="150" t="s">
        <v>127</v>
      </c>
      <c r="P6" s="150" t="s">
        <v>124</v>
      </c>
      <c r="Q6" s="145"/>
      <c r="R6" s="143"/>
      <c r="S6" s="143"/>
      <c r="T6" s="143"/>
      <c r="U6" s="143"/>
      <c r="V6" s="143"/>
      <c r="W6" s="143"/>
      <c r="X6" s="266"/>
      <c r="Y6" s="146"/>
      <c r="Z6" s="143"/>
      <c r="AA6" s="143"/>
      <c r="AB6" s="143"/>
      <c r="AC6" s="143"/>
      <c r="AD6" s="143"/>
      <c r="AE6" s="143"/>
      <c r="AF6" s="145"/>
      <c r="AG6" s="144"/>
    </row>
    <row r="7" spans="1:33" s="36" customFormat="1" ht="13.5" customHeight="1">
      <c r="A7" s="287" t="str">
        <f>IF(Baseline!A6="","",Baseline!A6)</f>
        <v>B7-A-04-01</v>
      </c>
      <c r="B7" s="141">
        <f>IF(Baseline!B6="","",Baseline!B6)</f>
        <v>83</v>
      </c>
      <c r="C7" s="141">
        <f>IF(Baseline!C6="","",Baseline!C6)</f>
        <v>17</v>
      </c>
      <c r="D7" s="288">
        <f>IF(Baseline!D6="","",Baseline!D6)</f>
        <v>1411</v>
      </c>
      <c r="E7" s="96">
        <f t="shared" ref="E7:E38" si="0">IFERROR(X7/$B7,"")</f>
        <v>13.105790855266559</v>
      </c>
      <c r="F7" s="100">
        <f>'Be Lean'!F6</f>
        <v>13.11</v>
      </c>
      <c r="G7" s="147">
        <f>'Be Lean'!G6</f>
        <v>1523.6051502145922</v>
      </c>
      <c r="H7" s="100" t="s">
        <v>11</v>
      </c>
      <c r="I7" s="102">
        <f>'Be Lean'!I6</f>
        <v>2097.0600858369098</v>
      </c>
      <c r="J7" s="100" t="s">
        <v>11</v>
      </c>
      <c r="K7" s="100">
        <v>0</v>
      </c>
      <c r="L7" s="100" t="s">
        <v>11</v>
      </c>
      <c r="M7" s="100">
        <v>0</v>
      </c>
      <c r="N7" s="100">
        <f>'Be Lean'!K6</f>
        <v>355.19</v>
      </c>
      <c r="O7" s="100">
        <f>'Be Lean'!L6</f>
        <v>233.86</v>
      </c>
      <c r="P7" s="100">
        <f>'Be Lean'!M6</f>
        <v>0</v>
      </c>
      <c r="Q7" s="46">
        <f>IFERROR($G7*INDEX('Carbon factors'!$B$4:$B$10,MATCH($H7,Fuel_Type,0),1),"")</f>
        <v>329.0987124463519</v>
      </c>
      <c r="R7" s="47">
        <f>IFERROR($I7*INDEX('Carbon factors'!$B$4:$B$10,MATCH($J7,Fuel_Type,0),1),"")</f>
        <v>452.96497854077251</v>
      </c>
      <c r="S7" s="47">
        <f>IFERROR($K7*INDEX('Carbon factors'!$B$4:$B$10,MATCH($L7,Fuel_Type,0),1),"")</f>
        <v>0</v>
      </c>
      <c r="T7" s="47">
        <f>IF(M7="","",M7*'Carbon factors'!$B$5)</f>
        <v>0</v>
      </c>
      <c r="U7" s="47">
        <f>IF(N7="","",N7*'Carbon factors'!$B$5)</f>
        <v>184.34361000000001</v>
      </c>
      <c r="V7" s="47">
        <f>IF(O7="","",O7*'Carbon factors'!$B$5)</f>
        <v>121.37334000000001</v>
      </c>
      <c r="W7" s="47">
        <f>IF(P7="","",P7*'Carbon factors'!$B$5)</f>
        <v>0</v>
      </c>
      <c r="X7" s="267">
        <f>IF(SUM(Q7:W7)=0,"",SUM(Q7:W7))</f>
        <v>1087.7806409871243</v>
      </c>
      <c r="Y7" s="49">
        <f>IFERROR($G7*INDEX('Carbon factors'!$C$4:$C$10,MATCH($H7,Fuel_Type,0),1),"")</f>
        <v>319.95708154506434</v>
      </c>
      <c r="Z7" s="47">
        <f>IFERROR($I7*INDEX('Carbon factors'!$C$4:$C$10,MATCH($J7,Fuel_Type,0),1),"")</f>
        <v>440.38261802575107</v>
      </c>
      <c r="AA7" s="47">
        <f>IFERROR($K7*INDEX('Carbon factors'!$C$4:$C$10,MATCH($L7,Fuel_Type,0),1),"")</f>
        <v>0</v>
      </c>
      <c r="AB7" s="47">
        <f>IF(M7="","",M7*'Carbon factors'!$C$5)</f>
        <v>0</v>
      </c>
      <c r="AC7" s="47">
        <f>IF(N7="","",N7*'Carbon factors'!$C$5)</f>
        <v>82.759270000000001</v>
      </c>
      <c r="AD7" s="47">
        <f>IF(O7="","",O7*'Carbon factors'!$C$5)</f>
        <v>54.489380000000004</v>
      </c>
      <c r="AE7" s="47">
        <f>IF(P7="","",P7*'Carbon factors'!$C$5)</f>
        <v>0</v>
      </c>
      <c r="AF7" s="222">
        <f>IF(SUM(Y7:AE7)=0,"",(SUM(Y7:AE7)))</f>
        <v>897.58834957081535</v>
      </c>
      <c r="AG7" s="61">
        <f>IFERROR(AF7/$B7,"")</f>
        <v>10.814317464708619</v>
      </c>
    </row>
    <row r="8" spans="1:33" s="36" customFormat="1" ht="13.5" customHeight="1">
      <c r="A8" s="287" t="str">
        <f>IF(Baseline!A7="","",Baseline!A7)</f>
        <v>B1-A-12-01</v>
      </c>
      <c r="B8" s="141">
        <f>IF(Baseline!B7="","",Baseline!B7)</f>
        <v>173</v>
      </c>
      <c r="C8" s="141">
        <f>IF(Baseline!C7="","",Baseline!C7)</f>
        <v>1</v>
      </c>
      <c r="D8" s="288">
        <f>IF(Baseline!D7="","",Baseline!D7)</f>
        <v>173</v>
      </c>
      <c r="E8" s="96">
        <f t="shared" si="0"/>
        <v>15.075749227467808</v>
      </c>
      <c r="F8" s="100">
        <f>'Be Lean'!F7</f>
        <v>15.08</v>
      </c>
      <c r="G8" s="147">
        <f>'Be Lean'!G7</f>
        <v>6781.4592274678107</v>
      </c>
      <c r="H8" s="100" t="s">
        <v>11</v>
      </c>
      <c r="I8" s="100">
        <f>'Be Lean'!I7</f>
        <v>2286.1909871244634</v>
      </c>
      <c r="J8" s="100" t="s">
        <v>11</v>
      </c>
      <c r="K8" s="100"/>
      <c r="L8" s="100"/>
      <c r="M8" s="100"/>
      <c r="N8" s="100">
        <f>'Be Lean'!K7</f>
        <v>542.54</v>
      </c>
      <c r="O8" s="100">
        <f>'Be Lean'!L7</f>
        <v>615.99</v>
      </c>
      <c r="P8" s="100">
        <f>'Be Lean'!M7</f>
        <v>92.9</v>
      </c>
      <c r="Q8" s="46">
        <f>IFERROR($G8*INDEX('Carbon factors'!$B$4:$B$10,MATCH($H8,Fuel_Type,0),1),"")</f>
        <v>1464.7951931330472</v>
      </c>
      <c r="R8" s="47">
        <f>IFERROR($I8*INDEX('Carbon factors'!$B$4:$B$10,MATCH($J8,Fuel_Type,0),1),"")</f>
        <v>493.8172532188841</v>
      </c>
      <c r="S8" s="47" t="str">
        <f>IFERROR($K8*INDEX('Carbon factors'!$B$4:$B$10,MATCH($L8,Fuel_Type,0),1),"")</f>
        <v/>
      </c>
      <c r="T8" s="47" t="str">
        <f>IF(M8="","",M8*'Carbon factors'!$B$5)</f>
        <v/>
      </c>
      <c r="U8" s="47">
        <f>IF(N8="","",N8*'Carbon factors'!$B$5)</f>
        <v>281.57826</v>
      </c>
      <c r="V8" s="47">
        <f>IF(O8="","",O8*'Carbon factors'!$B$5)</f>
        <v>319.69881000000004</v>
      </c>
      <c r="W8" s="47">
        <f>IF(P8="","",P8*'Carbon factors'!$B$5)</f>
        <v>48.215100000000007</v>
      </c>
      <c r="X8" s="267">
        <f>IF(SUM(Q8:W8)=0,"",SUM(Q8:W8))</f>
        <v>2608.1046163519309</v>
      </c>
      <c r="Y8" s="49">
        <f>IFERROR($G8*INDEX('Carbon factors'!$C$4:$C$10,MATCH($H8,Fuel_Type,0),1),"")</f>
        <v>1424.1064377682401</v>
      </c>
      <c r="Z8" s="47">
        <f>IFERROR($I8*INDEX('Carbon factors'!$C$4:$C$10,MATCH($J8,Fuel_Type,0),1),"")</f>
        <v>480.10010729613731</v>
      </c>
      <c r="AA8" s="47" t="str">
        <f>IFERROR($K8*INDEX('Carbon factors'!$C$4:$C$10,MATCH($L8,Fuel_Type,0),1),"")</f>
        <v/>
      </c>
      <c r="AB8" s="47" t="str">
        <f>IF(M8="","",M8*'Carbon factors'!$C$5)</f>
        <v/>
      </c>
      <c r="AC8" s="47">
        <f>IF(N8="","",N8*'Carbon factors'!$C$5)</f>
        <v>126.41181999999999</v>
      </c>
      <c r="AD8" s="47">
        <f>IF(O8="","",O8*'Carbon factors'!$C$5)</f>
        <v>143.52567000000002</v>
      </c>
      <c r="AE8" s="47">
        <f>IF(P8="","",P8*'Carbon factors'!$C$5)</f>
        <v>21.645700000000001</v>
      </c>
      <c r="AF8" s="222">
        <f t="shared" ref="AF8:AF57" si="1">IF(SUM(Y8:AE8)=0,"",(SUM(Y8:AE8)))</f>
        <v>2195.7897350643775</v>
      </c>
      <c r="AG8" s="61">
        <f t="shared" ref="AG8:AG57" si="2">IFERROR(AF8/$B8,"")</f>
        <v>12.692426214244957</v>
      </c>
    </row>
    <row r="9" spans="1:33" s="36" customFormat="1" ht="13.5" customHeight="1">
      <c r="A9" s="287" t="str">
        <f>IF(Baseline!A8="","",Baseline!A8)</f>
        <v>B4-A-14B4-02</v>
      </c>
      <c r="B9" s="141">
        <f>IF(Baseline!B8="","",Baseline!B8)</f>
        <v>149</v>
      </c>
      <c r="C9" s="141">
        <f>IF(Baseline!C8="","",Baseline!C8)</f>
        <v>2</v>
      </c>
      <c r="D9" s="288">
        <f>IF(Baseline!D8="","",Baseline!D8)</f>
        <v>298</v>
      </c>
      <c r="E9" s="96">
        <f t="shared" si="0"/>
        <v>16.466628842353888</v>
      </c>
      <c r="F9" s="100">
        <f>'Be Lean'!F8</f>
        <v>16.47</v>
      </c>
      <c r="G9" s="147">
        <f>'Be Lean'!G8</f>
        <v>6473.3798283261804</v>
      </c>
      <c r="H9" s="100" t="s">
        <v>11</v>
      </c>
      <c r="I9" s="100">
        <f>'Be Lean'!I8</f>
        <v>2271.8991416309013</v>
      </c>
      <c r="J9" s="100" t="s">
        <v>11</v>
      </c>
      <c r="K9" s="100"/>
      <c r="L9" s="100"/>
      <c r="M9" s="100"/>
      <c r="N9" s="100">
        <f>'Be Lean'!K8</f>
        <v>502.92</v>
      </c>
      <c r="O9" s="100">
        <f>'Be Lean'!L8</f>
        <v>463.93</v>
      </c>
      <c r="P9" s="100">
        <f>'Be Lean'!M8</f>
        <v>120.91</v>
      </c>
      <c r="Q9" s="46">
        <f>IFERROR($G9*INDEX('Carbon factors'!$B$4:$B$10,MATCH($H9,Fuel_Type,0),1),"")</f>
        <v>1398.2500429184549</v>
      </c>
      <c r="R9" s="47">
        <f>IFERROR($I9*INDEX('Carbon factors'!$B$4:$B$10,MATCH($J9,Fuel_Type,0),1),"")</f>
        <v>490.73021459227471</v>
      </c>
      <c r="S9" s="47" t="str">
        <f>IFERROR($K9*INDEX('Carbon factors'!$B$4:$B$10,MATCH($L9,Fuel_Type,0),1),"")</f>
        <v/>
      </c>
      <c r="T9" s="47" t="str">
        <f>IF(M9="","",M9*'Carbon factors'!$B$5)</f>
        <v/>
      </c>
      <c r="U9" s="47">
        <f>IF(N9="","",N9*'Carbon factors'!$B$5)</f>
        <v>261.01548000000003</v>
      </c>
      <c r="V9" s="47">
        <f>IF(O9="","",O9*'Carbon factors'!$B$5)</f>
        <v>240.77967000000001</v>
      </c>
      <c r="W9" s="47">
        <f>IF(P9="","",P9*'Carbon factors'!$B$5)</f>
        <v>62.752290000000002</v>
      </c>
      <c r="X9" s="267">
        <f t="shared" ref="X9:X57" si="3">IF(SUM(Q9:W9)=0,"",SUM(Q9:W9))</f>
        <v>2453.5276975107295</v>
      </c>
      <c r="Y9" s="49">
        <f>IFERROR($G9*INDEX('Carbon factors'!$C$4:$C$10,MATCH($H9,Fuel_Type,0),1),"")</f>
        <v>1359.4097639484978</v>
      </c>
      <c r="Z9" s="47">
        <f>IFERROR($I9*INDEX('Carbon factors'!$C$4:$C$10,MATCH($J9,Fuel_Type,0),1),"")</f>
        <v>477.09881974248924</v>
      </c>
      <c r="AA9" s="47" t="str">
        <f>IFERROR($K9*INDEX('Carbon factors'!$C$4:$C$10,MATCH($L9,Fuel_Type,0),1),"")</f>
        <v/>
      </c>
      <c r="AB9" s="47" t="str">
        <f>IF(M9="","",M9*'Carbon factors'!$C$5)</f>
        <v/>
      </c>
      <c r="AC9" s="47">
        <f>IF(N9="","",N9*'Carbon factors'!$C$5)</f>
        <v>117.18036000000001</v>
      </c>
      <c r="AD9" s="47">
        <f>IF(O9="","",O9*'Carbon factors'!$C$5)</f>
        <v>108.09569</v>
      </c>
      <c r="AE9" s="47">
        <f>IF(P9="","",P9*'Carbon factors'!$C$5)</f>
        <v>28.172029999999999</v>
      </c>
      <c r="AF9" s="222">
        <f t="shared" si="1"/>
        <v>2089.9566636909872</v>
      </c>
      <c r="AG9" s="61">
        <f t="shared" si="2"/>
        <v>14.026554789872398</v>
      </c>
    </row>
    <row r="10" spans="1:33" s="36" customFormat="1" ht="13.5" customHeight="1">
      <c r="A10" s="287" t="str">
        <f>IF(Baseline!A9="","",Baseline!A9)</f>
        <v>B7-A-12-02</v>
      </c>
      <c r="B10" s="141">
        <f>IF(Baseline!B9="","",Baseline!B9)</f>
        <v>65</v>
      </c>
      <c r="C10" s="141">
        <f>IF(Baseline!C9="","",Baseline!C9)</f>
        <v>1</v>
      </c>
      <c r="D10" s="288">
        <f>IF(Baseline!D9="","",Baseline!D9)</f>
        <v>65</v>
      </c>
      <c r="E10" s="96">
        <f t="shared" si="0"/>
        <v>19.236291266424562</v>
      </c>
      <c r="F10" s="100">
        <f>'Be Lean'!F9</f>
        <v>19.239999999999998</v>
      </c>
      <c r="G10" s="147">
        <f>'Be Lean'!G9</f>
        <v>2678.4227467811156</v>
      </c>
      <c r="H10" s="100" t="s">
        <v>11</v>
      </c>
      <c r="I10" s="100">
        <f>'Be Lean'!I9</f>
        <v>1929.3347639484978</v>
      </c>
      <c r="J10" s="100" t="s">
        <v>11</v>
      </c>
      <c r="K10" s="100"/>
      <c r="L10" s="100"/>
      <c r="M10" s="100"/>
      <c r="N10" s="100">
        <f>'Be Lean'!K9</f>
        <v>291.83</v>
      </c>
      <c r="O10" s="100">
        <f>'Be Lean'!L9</f>
        <v>199.66</v>
      </c>
      <c r="P10" s="100">
        <f>'Be Lean'!M9</f>
        <v>0</v>
      </c>
      <c r="Q10" s="46">
        <f>IFERROR($G10*INDEX('Carbon factors'!$B$4:$B$10,MATCH($H10,Fuel_Type,0),1),"")</f>
        <v>578.53931330472096</v>
      </c>
      <c r="R10" s="47">
        <f>IFERROR($I10*INDEX('Carbon factors'!$B$4:$B$10,MATCH($J10,Fuel_Type,0),1),"")</f>
        <v>416.73630901287549</v>
      </c>
      <c r="S10" s="47" t="str">
        <f>IFERROR($K10*INDEX('Carbon factors'!$B$4:$B$10,MATCH($L10,Fuel_Type,0),1),"")</f>
        <v/>
      </c>
      <c r="T10" s="47" t="str">
        <f>IF(M10="","",M10*'Carbon factors'!$B$5)</f>
        <v/>
      </c>
      <c r="U10" s="47">
        <f>IF(N10="","",N10*'Carbon factors'!$B$5)</f>
        <v>151.45976999999999</v>
      </c>
      <c r="V10" s="47">
        <f>IF(O10="","",O10*'Carbon factors'!$B$5)</f>
        <v>103.62354000000001</v>
      </c>
      <c r="W10" s="47">
        <f>IF(P10="","",P10*'Carbon factors'!$B$5)</f>
        <v>0</v>
      </c>
      <c r="X10" s="267">
        <f t="shared" si="3"/>
        <v>1250.3589323175966</v>
      </c>
      <c r="Y10" s="49">
        <f>IFERROR($G10*INDEX('Carbon factors'!$C$4:$C$10,MATCH($H10,Fuel_Type,0),1),"")</f>
        <v>562.46877682403431</v>
      </c>
      <c r="Z10" s="47">
        <f>IFERROR($I10*INDEX('Carbon factors'!$C$4:$C$10,MATCH($J10,Fuel_Type,0),1),"")</f>
        <v>405.16030042918453</v>
      </c>
      <c r="AA10" s="47" t="str">
        <f>IFERROR($K10*INDEX('Carbon factors'!$C$4:$C$10,MATCH($L10,Fuel_Type,0),1),"")</f>
        <v/>
      </c>
      <c r="AB10" s="47" t="str">
        <f>IF(M10="","",M10*'Carbon factors'!$C$5)</f>
        <v/>
      </c>
      <c r="AC10" s="47">
        <f>IF(N10="","",N10*'Carbon factors'!$C$5)</f>
        <v>67.996390000000005</v>
      </c>
      <c r="AD10" s="47">
        <f>IF(O10="","",O10*'Carbon factors'!$C$5)</f>
        <v>46.520780000000002</v>
      </c>
      <c r="AE10" s="47">
        <f>IF(P10="","",P10*'Carbon factors'!$C$5)</f>
        <v>0</v>
      </c>
      <c r="AF10" s="222">
        <f t="shared" si="1"/>
        <v>1082.1462472532189</v>
      </c>
      <c r="AG10" s="61">
        <f t="shared" si="2"/>
        <v>16.648403803895675</v>
      </c>
    </row>
    <row r="11" spans="1:33" s="36" customFormat="1" ht="13.5" customHeight="1">
      <c r="A11" s="287" t="str">
        <f>IF(Baseline!A10="","",Baseline!A10)</f>
        <v>B2-A-21-02</v>
      </c>
      <c r="B11" s="141">
        <f>IF(Baseline!B10="","",Baseline!B10)</f>
        <v>120</v>
      </c>
      <c r="C11" s="141">
        <f>IF(Baseline!C10="","",Baseline!C10)</f>
        <v>2</v>
      </c>
      <c r="D11" s="288">
        <f>IF(Baseline!D10="","",Baseline!D10)</f>
        <v>240</v>
      </c>
      <c r="E11" s="96">
        <f t="shared" si="0"/>
        <v>17.966185633047207</v>
      </c>
      <c r="F11" s="100">
        <f>'Be Lean'!F10</f>
        <v>17.97</v>
      </c>
      <c r="G11" s="147">
        <f>'Be Lean'!G10</f>
        <v>5362.3927038626607</v>
      </c>
      <c r="H11" s="100" t="s">
        <v>11</v>
      </c>
      <c r="I11" s="100">
        <f>'Be Lean'!I10</f>
        <v>2242.7145922746781</v>
      </c>
      <c r="J11" s="100" t="s">
        <v>11</v>
      </c>
      <c r="K11" s="100"/>
      <c r="L11" s="100"/>
      <c r="M11" s="100"/>
      <c r="N11" s="100">
        <f>'Be Lean'!K10</f>
        <v>449.05</v>
      </c>
      <c r="O11" s="100">
        <f>'Be Lean'!L10</f>
        <v>360.2</v>
      </c>
      <c r="P11" s="100">
        <f>'Be Lean'!M10</f>
        <v>179.65</v>
      </c>
      <c r="Q11" s="46">
        <f>IFERROR($G11*INDEX('Carbon factors'!$B$4:$B$10,MATCH($H11,Fuel_Type,0),1),"")</f>
        <v>1158.2768240343346</v>
      </c>
      <c r="R11" s="47">
        <f>IFERROR($I11*INDEX('Carbon factors'!$B$4:$B$10,MATCH($J11,Fuel_Type,0),1),"")</f>
        <v>484.42635193133049</v>
      </c>
      <c r="S11" s="47" t="str">
        <f>IFERROR($K11*INDEX('Carbon factors'!$B$4:$B$10,MATCH($L11,Fuel_Type,0),1),"")</f>
        <v/>
      </c>
      <c r="T11" s="47" t="str">
        <f>IF(M11="","",M11*'Carbon factors'!$B$5)</f>
        <v/>
      </c>
      <c r="U11" s="47">
        <f>IF(N11="","",N11*'Carbon factors'!$B$5)</f>
        <v>233.05695</v>
      </c>
      <c r="V11" s="47">
        <f>IF(O11="","",O11*'Carbon factors'!$B$5)</f>
        <v>186.94380000000001</v>
      </c>
      <c r="W11" s="47">
        <f>IF(P11="","",P11*'Carbon factors'!$B$5)</f>
        <v>93.238350000000011</v>
      </c>
      <c r="X11" s="267">
        <f t="shared" si="3"/>
        <v>2155.942275965665</v>
      </c>
      <c r="Y11" s="49">
        <f>IFERROR($G11*INDEX('Carbon factors'!$C$4:$C$10,MATCH($H11,Fuel_Type,0),1),"")</f>
        <v>1126.1024678111587</v>
      </c>
      <c r="Z11" s="47">
        <f>IFERROR($I11*INDEX('Carbon factors'!$C$4:$C$10,MATCH($J11,Fuel_Type,0),1),"")</f>
        <v>470.97006437768238</v>
      </c>
      <c r="AA11" s="47" t="str">
        <f>IFERROR($K11*INDEX('Carbon factors'!$C$4:$C$10,MATCH($L11,Fuel_Type,0),1),"")</f>
        <v/>
      </c>
      <c r="AB11" s="47" t="str">
        <f>IF(M11="","",M11*'Carbon factors'!$C$5)</f>
        <v/>
      </c>
      <c r="AC11" s="47">
        <f>IF(N11="","",N11*'Carbon factors'!$C$5)</f>
        <v>104.62865000000001</v>
      </c>
      <c r="AD11" s="47">
        <f>IF(O11="","",O11*'Carbon factors'!$C$5)</f>
        <v>83.926600000000008</v>
      </c>
      <c r="AE11" s="47">
        <f>IF(P11="","",P11*'Carbon factors'!$C$5)</f>
        <v>41.858450000000005</v>
      </c>
      <c r="AF11" s="222">
        <f t="shared" si="1"/>
        <v>1827.4862321888411</v>
      </c>
      <c r="AG11" s="61">
        <f t="shared" si="2"/>
        <v>15.229051934907009</v>
      </c>
    </row>
    <row r="12" spans="1:33" s="36" customFormat="1" ht="13.5" customHeight="1">
      <c r="A12" s="287" t="str">
        <f>IF(Baseline!A11="","",Baseline!A11)</f>
        <v>B7-A-00-01</v>
      </c>
      <c r="B12" s="141">
        <f>IF(Baseline!B11="","",Baseline!B11)</f>
        <v>73</v>
      </c>
      <c r="C12" s="141">
        <f>IF(Baseline!C11="","",Baseline!C11)</f>
        <v>2</v>
      </c>
      <c r="D12" s="288">
        <f>IF(Baseline!D11="","",Baseline!D11)</f>
        <v>146</v>
      </c>
      <c r="E12" s="96">
        <f t="shared" si="0"/>
        <v>18.66026434534658</v>
      </c>
      <c r="F12" s="100">
        <f>'Be Lean'!F11</f>
        <v>18.66</v>
      </c>
      <c r="G12" s="147">
        <f>'Be Lean'!G11</f>
        <v>2987.3712446351929</v>
      </c>
      <c r="H12" s="100" t="s">
        <v>11</v>
      </c>
      <c r="I12" s="100">
        <f>'Be Lean'!I11</f>
        <v>2012.5965665236051</v>
      </c>
      <c r="J12" s="100" t="s">
        <v>11</v>
      </c>
      <c r="K12" s="100"/>
      <c r="L12" s="100"/>
      <c r="M12" s="100"/>
      <c r="N12" s="100">
        <f>'Be Lean'!K11</f>
        <v>324.60000000000002</v>
      </c>
      <c r="O12" s="100">
        <f>'Be Lean'!L11</f>
        <v>219.15</v>
      </c>
      <c r="P12" s="100">
        <f>'Be Lean'!M11</f>
        <v>0</v>
      </c>
      <c r="Q12" s="46">
        <f>IFERROR($G12*INDEX('Carbon factors'!$B$4:$B$10,MATCH($H12,Fuel_Type,0),1),"")</f>
        <v>645.27218884120168</v>
      </c>
      <c r="R12" s="47">
        <f>IFERROR($I12*INDEX('Carbon factors'!$B$4:$B$10,MATCH($J12,Fuel_Type,0),1),"")</f>
        <v>434.72085836909872</v>
      </c>
      <c r="S12" s="47" t="str">
        <f>IFERROR($K12*INDEX('Carbon factors'!$B$4:$B$10,MATCH($L12,Fuel_Type,0),1),"")</f>
        <v/>
      </c>
      <c r="T12" s="47" t="str">
        <f>IF(M12="","",M12*'Carbon factors'!$B$5)</f>
        <v/>
      </c>
      <c r="U12" s="47">
        <f>IF(N12="","",N12*'Carbon factors'!$B$5)</f>
        <v>168.46740000000003</v>
      </c>
      <c r="V12" s="47">
        <f>IF(O12="","",O12*'Carbon factors'!$B$5)</f>
        <v>113.73885000000001</v>
      </c>
      <c r="W12" s="47">
        <f>IF(P12="","",P12*'Carbon factors'!$B$5)</f>
        <v>0</v>
      </c>
      <c r="X12" s="267">
        <f t="shared" si="3"/>
        <v>1362.1992972103003</v>
      </c>
      <c r="Y12" s="49">
        <f>IFERROR($G12*INDEX('Carbon factors'!$C$4:$C$10,MATCH($H12,Fuel_Type,0),1),"")</f>
        <v>627.34796137339049</v>
      </c>
      <c r="Z12" s="47">
        <f>IFERROR($I12*INDEX('Carbon factors'!$C$4:$C$10,MATCH($J12,Fuel_Type,0),1),"")</f>
        <v>422.64527896995708</v>
      </c>
      <c r="AA12" s="47" t="str">
        <f>IFERROR($K12*INDEX('Carbon factors'!$C$4:$C$10,MATCH($L12,Fuel_Type,0),1),"")</f>
        <v/>
      </c>
      <c r="AB12" s="47" t="str">
        <f>IF(M12="","",M12*'Carbon factors'!$C$5)</f>
        <v/>
      </c>
      <c r="AC12" s="47">
        <f>IF(N12="","",N12*'Carbon factors'!$C$5)</f>
        <v>75.631800000000013</v>
      </c>
      <c r="AD12" s="47">
        <f>IF(O12="","",O12*'Carbon factors'!$C$5)</f>
        <v>51.061950000000003</v>
      </c>
      <c r="AE12" s="47">
        <f>IF(P12="","",P12*'Carbon factors'!$C$5)</f>
        <v>0</v>
      </c>
      <c r="AF12" s="222">
        <f t="shared" si="1"/>
        <v>1176.6869903433478</v>
      </c>
      <c r="AG12" s="61">
        <f t="shared" si="2"/>
        <v>16.118999867717093</v>
      </c>
    </row>
    <row r="13" spans="1:33" s="36" customFormat="1" ht="13.5" customHeight="1">
      <c r="A13" s="287" t="str">
        <f>IF(Baseline!A12="","",Baseline!A12)</f>
        <v>B7-A-00-H1</v>
      </c>
      <c r="B13" s="141">
        <f>IF(Baseline!B12="","",Baseline!B12)</f>
        <v>125</v>
      </c>
      <c r="C13" s="141">
        <f>IF(Baseline!C12="","",Baseline!C12)</f>
        <v>1</v>
      </c>
      <c r="D13" s="288">
        <f>IF(Baseline!D12="","",Baseline!D12)</f>
        <v>125</v>
      </c>
      <c r="E13" s="96">
        <f t="shared" si="0"/>
        <v>18.914624273304717</v>
      </c>
      <c r="F13" s="100">
        <f>'Be Lean'!F12</f>
        <v>18.91</v>
      </c>
      <c r="G13" s="147">
        <f>'Be Lean'!G12</f>
        <v>7299.678111587983</v>
      </c>
      <c r="H13" s="100" t="s">
        <v>11</v>
      </c>
      <c r="I13" s="100">
        <f>'Be Lean'!I12</f>
        <v>2201.0622317596567</v>
      </c>
      <c r="J13" s="100" t="s">
        <v>11</v>
      </c>
      <c r="K13" s="100"/>
      <c r="L13" s="100"/>
      <c r="M13" s="100"/>
      <c r="N13" s="100">
        <f>'Be Lean'!K12</f>
        <v>459.08</v>
      </c>
      <c r="O13" s="100">
        <f>'Be Lean'!L12</f>
        <v>142.4</v>
      </c>
      <c r="P13" s="100">
        <f>'Be Lean'!M12</f>
        <v>0</v>
      </c>
      <c r="Q13" s="46">
        <f>IFERROR($G13*INDEX('Carbon factors'!$B$4:$B$10,MATCH($H13,Fuel_Type,0),1),"")</f>
        <v>1576.7304721030043</v>
      </c>
      <c r="R13" s="47">
        <f>IFERROR($I13*INDEX('Carbon factors'!$B$4:$B$10,MATCH($J13,Fuel_Type,0),1),"")</f>
        <v>475.42944206008582</v>
      </c>
      <c r="S13" s="47" t="str">
        <f>IFERROR($K13*INDEX('Carbon factors'!$B$4:$B$10,MATCH($L13,Fuel_Type,0),1),"")</f>
        <v/>
      </c>
      <c r="T13" s="47" t="str">
        <f>IF(M13="","",M13*'Carbon factors'!$B$5)</f>
        <v/>
      </c>
      <c r="U13" s="47">
        <f>IF(N13="","",N13*'Carbon factors'!$B$5)</f>
        <v>238.26251999999999</v>
      </c>
      <c r="V13" s="47">
        <f>IF(O13="","",O13*'Carbon factors'!$B$5)</f>
        <v>73.905600000000007</v>
      </c>
      <c r="W13" s="47">
        <f>IF(P13="","",P13*'Carbon factors'!$B$5)</f>
        <v>0</v>
      </c>
      <c r="X13" s="267">
        <f t="shared" si="3"/>
        <v>2364.3280341630898</v>
      </c>
      <c r="Y13" s="49">
        <f>IFERROR($G13*INDEX('Carbon factors'!$C$4:$C$10,MATCH($H13,Fuel_Type,0),1),"")</f>
        <v>1532.9324034334763</v>
      </c>
      <c r="Z13" s="47">
        <f>IFERROR($I13*INDEX('Carbon factors'!$C$4:$C$10,MATCH($J13,Fuel_Type,0),1),"")</f>
        <v>462.22306866952789</v>
      </c>
      <c r="AA13" s="47" t="str">
        <f>IFERROR($K13*INDEX('Carbon factors'!$C$4:$C$10,MATCH($L13,Fuel_Type,0),1),"")</f>
        <v/>
      </c>
      <c r="AB13" s="47" t="str">
        <f>IF(M13="","",M13*'Carbon factors'!$C$5)</f>
        <v/>
      </c>
      <c r="AC13" s="47">
        <f>IF(N13="","",N13*'Carbon factors'!$C$5)</f>
        <v>106.96564000000001</v>
      </c>
      <c r="AD13" s="47">
        <f>IF(O13="","",O13*'Carbon factors'!$C$5)</f>
        <v>33.179200000000002</v>
      </c>
      <c r="AE13" s="47">
        <f>IF(P13="","",P13*'Carbon factors'!$C$5)</f>
        <v>0</v>
      </c>
      <c r="AF13" s="222">
        <f t="shared" si="1"/>
        <v>2135.3003121030042</v>
      </c>
      <c r="AG13" s="61">
        <f t="shared" si="2"/>
        <v>17.082402496824034</v>
      </c>
    </row>
    <row r="14" spans="1:33" s="36" customFormat="1" ht="13.5" customHeight="1">
      <c r="A14" s="287" t="str">
        <f>IF(Baseline!A13="","",Baseline!A13)</f>
        <v>B7-A-00-H2</v>
      </c>
      <c r="B14" s="141">
        <f>IF(Baseline!B13="","",Baseline!B13)</f>
        <v>113</v>
      </c>
      <c r="C14" s="141">
        <f>IF(Baseline!C13="","",Baseline!C13)</f>
        <v>2</v>
      </c>
      <c r="D14" s="288">
        <f>IF(Baseline!D13="","",Baseline!D13)</f>
        <v>226</v>
      </c>
      <c r="E14" s="96">
        <f t="shared" si="0"/>
        <v>19.8355073637434</v>
      </c>
      <c r="F14" s="100">
        <f>'Be Lean'!F13</f>
        <v>19.84</v>
      </c>
      <c r="G14" s="147">
        <f>'Be Lean'!G13</f>
        <v>6834.2703862660946</v>
      </c>
      <c r="H14" s="100" t="s">
        <v>11</v>
      </c>
      <c r="I14" s="100">
        <f>'Be Lean'!I13</f>
        <v>2180.4077253218884</v>
      </c>
      <c r="J14" s="100" t="s">
        <v>11</v>
      </c>
      <c r="K14" s="100"/>
      <c r="L14" s="100"/>
      <c r="M14" s="100"/>
      <c r="N14" s="100">
        <f>'Be Lean'!K13</f>
        <v>434.22</v>
      </c>
      <c r="O14" s="100">
        <f>'Be Lean'!L13</f>
        <v>132.72</v>
      </c>
      <c r="P14" s="100">
        <f>'Be Lean'!M13</f>
        <v>0</v>
      </c>
      <c r="Q14" s="46">
        <f>IFERROR($G14*INDEX('Carbon factors'!$B$4:$B$10,MATCH($H14,Fuel_Type,0),1),"")</f>
        <v>1476.2024034334763</v>
      </c>
      <c r="R14" s="47">
        <f>IFERROR($I14*INDEX('Carbon factors'!$B$4:$B$10,MATCH($J14,Fuel_Type,0),1),"")</f>
        <v>470.9680686695279</v>
      </c>
      <c r="S14" s="47" t="str">
        <f>IFERROR($K14*INDEX('Carbon factors'!$B$4:$B$10,MATCH($L14,Fuel_Type,0),1),"")</f>
        <v/>
      </c>
      <c r="T14" s="47" t="str">
        <f>IF(M14="","",M14*'Carbon factors'!$B$5)</f>
        <v/>
      </c>
      <c r="U14" s="47">
        <f>IF(N14="","",N14*'Carbon factors'!$B$5)</f>
        <v>225.36018000000001</v>
      </c>
      <c r="V14" s="47">
        <f>IF(O14="","",O14*'Carbon factors'!$B$5)</f>
        <v>68.881680000000003</v>
      </c>
      <c r="W14" s="47">
        <f>IF(P14="","",P14*'Carbon factors'!$B$5)</f>
        <v>0</v>
      </c>
      <c r="X14" s="267">
        <f t="shared" si="3"/>
        <v>2241.4123321030042</v>
      </c>
      <c r="Y14" s="49">
        <f>IFERROR($G14*INDEX('Carbon factors'!$C$4:$C$10,MATCH($H14,Fuel_Type,0),1),"")</f>
        <v>1435.1967811158797</v>
      </c>
      <c r="Z14" s="47">
        <f>IFERROR($I14*INDEX('Carbon factors'!$C$4:$C$10,MATCH($J14,Fuel_Type,0),1),"")</f>
        <v>457.88562231759653</v>
      </c>
      <c r="AA14" s="47" t="str">
        <f>IFERROR($K14*INDEX('Carbon factors'!$C$4:$C$10,MATCH($L14,Fuel_Type,0),1),"")</f>
        <v/>
      </c>
      <c r="AB14" s="47" t="str">
        <f>IF(M14="","",M14*'Carbon factors'!$C$5)</f>
        <v/>
      </c>
      <c r="AC14" s="47">
        <f>IF(N14="","",N14*'Carbon factors'!$C$5)</f>
        <v>101.17326000000001</v>
      </c>
      <c r="AD14" s="47">
        <f>IF(O14="","",O14*'Carbon factors'!$C$5)</f>
        <v>30.923760000000001</v>
      </c>
      <c r="AE14" s="47">
        <f>IF(P14="","",P14*'Carbon factors'!$C$5)</f>
        <v>0</v>
      </c>
      <c r="AF14" s="222">
        <f t="shared" si="1"/>
        <v>2025.1794234334761</v>
      </c>
      <c r="AG14" s="61">
        <f t="shared" si="2"/>
        <v>17.921941800296249</v>
      </c>
    </row>
    <row r="15" spans="1:33" s="36" customFormat="1" ht="13.5" customHeight="1">
      <c r="A15" s="287" t="str">
        <f>IF(Baseline!A14="","",Baseline!A14)</f>
        <v>B7-A-00-H4</v>
      </c>
      <c r="B15" s="141">
        <f>IF(Baseline!B14="","",Baseline!B14)</f>
        <v>171</v>
      </c>
      <c r="C15" s="141">
        <f>IF(Baseline!C14="","",Baseline!C14)</f>
        <v>1</v>
      </c>
      <c r="D15" s="288">
        <f>IF(Baseline!D14="","",Baseline!D14)</f>
        <v>171</v>
      </c>
      <c r="E15" s="96">
        <f t="shared" si="0"/>
        <v>19.431056181763424</v>
      </c>
      <c r="F15" s="100">
        <f>'Be Lean'!F14</f>
        <v>19.43</v>
      </c>
      <c r="G15" s="147">
        <f>'Be Lean'!G14</f>
        <v>11365.547210300429</v>
      </c>
      <c r="H15" s="100" t="s">
        <v>11</v>
      </c>
      <c r="I15" s="100">
        <f>'Be Lean'!I14</f>
        <v>2236.0729613733906</v>
      </c>
      <c r="J15" s="100" t="s">
        <v>11</v>
      </c>
      <c r="K15" s="100"/>
      <c r="L15" s="100"/>
      <c r="M15" s="100"/>
      <c r="N15" s="100">
        <f>'Be Lean'!K14</f>
        <v>539.35</v>
      </c>
      <c r="O15" s="100">
        <f>'Be Lean'!L14</f>
        <v>202</v>
      </c>
      <c r="P15" s="100">
        <f>'Be Lean'!M14</f>
        <v>0</v>
      </c>
      <c r="Q15" s="46">
        <f>IFERROR($G15*INDEX('Carbon factors'!$B$4:$B$10,MATCH($H15,Fuel_Type,0),1),"")</f>
        <v>2454.9581974248927</v>
      </c>
      <c r="R15" s="47">
        <f>IFERROR($I15*INDEX('Carbon factors'!$B$4:$B$10,MATCH($J15,Fuel_Type,0),1),"")</f>
        <v>482.99175965665239</v>
      </c>
      <c r="S15" s="47" t="str">
        <f>IFERROR($K15*INDEX('Carbon factors'!$B$4:$B$10,MATCH($L15,Fuel_Type,0),1),"")</f>
        <v/>
      </c>
      <c r="T15" s="47" t="str">
        <f>IF(M15="","",M15*'Carbon factors'!$B$5)</f>
        <v/>
      </c>
      <c r="U15" s="47">
        <f>IF(N15="","",N15*'Carbon factors'!$B$5)</f>
        <v>279.92265000000003</v>
      </c>
      <c r="V15" s="47">
        <f>IF(O15="","",O15*'Carbon factors'!$B$5)</f>
        <v>104.83800000000001</v>
      </c>
      <c r="W15" s="47">
        <f>IF(P15="","",P15*'Carbon factors'!$B$5)</f>
        <v>0</v>
      </c>
      <c r="X15" s="267">
        <f t="shared" si="3"/>
        <v>3322.7106070815453</v>
      </c>
      <c r="Y15" s="49">
        <f>IFERROR($G15*INDEX('Carbon factors'!$C$4:$C$10,MATCH($H15,Fuel_Type,0),1),"")</f>
        <v>2386.76491416309</v>
      </c>
      <c r="Z15" s="47">
        <f>IFERROR($I15*INDEX('Carbon factors'!$C$4:$C$10,MATCH($J15,Fuel_Type,0),1),"")</f>
        <v>469.57532188841202</v>
      </c>
      <c r="AA15" s="47" t="str">
        <f>IFERROR($K15*INDEX('Carbon factors'!$C$4:$C$10,MATCH($L15,Fuel_Type,0),1),"")</f>
        <v/>
      </c>
      <c r="AB15" s="47" t="str">
        <f>IF(M15="","",M15*'Carbon factors'!$C$5)</f>
        <v/>
      </c>
      <c r="AC15" s="47">
        <f>IF(N15="","",N15*'Carbon factors'!$C$5)</f>
        <v>125.66855000000001</v>
      </c>
      <c r="AD15" s="47">
        <f>IF(O15="","",O15*'Carbon factors'!$C$5)</f>
        <v>47.066000000000003</v>
      </c>
      <c r="AE15" s="47">
        <f>IF(P15="","",P15*'Carbon factors'!$C$5)</f>
        <v>0</v>
      </c>
      <c r="AF15" s="222">
        <f t="shared" si="1"/>
        <v>3029.0747860515016</v>
      </c>
      <c r="AG15" s="61">
        <f t="shared" si="2"/>
        <v>17.713887637728078</v>
      </c>
    </row>
    <row r="16" spans="1:33" s="36" customFormat="1" ht="13.5" customHeight="1">
      <c r="A16" s="287" t="str">
        <f>IF(Baseline!A15="","",Baseline!A15)</f>
        <v>B7-A-02-02</v>
      </c>
      <c r="B16" s="141">
        <f>IF(Baseline!B15="","",Baseline!B15)</f>
        <v>90</v>
      </c>
      <c r="C16" s="141">
        <f>IF(Baseline!C15="","",Baseline!C15)</f>
        <v>2</v>
      </c>
      <c r="D16" s="288">
        <f>IF(Baseline!D15="","",Baseline!D15)</f>
        <v>180</v>
      </c>
      <c r="E16" s="96">
        <f t="shared" si="0"/>
        <v>16.388783998569384</v>
      </c>
      <c r="F16" s="100">
        <f>'Be Lean'!F15</f>
        <v>16.39</v>
      </c>
      <c r="G16" s="147">
        <f>'Be Lean'!G15</f>
        <v>2983.9592274678112</v>
      </c>
      <c r="H16" s="100" t="s">
        <v>11</v>
      </c>
      <c r="I16" s="100">
        <f>'Be Lean'!I15</f>
        <v>2142.6931330472103</v>
      </c>
      <c r="J16" s="100" t="s">
        <v>11</v>
      </c>
      <c r="K16" s="100"/>
      <c r="L16" s="100"/>
      <c r="M16" s="100"/>
      <c r="N16" s="100">
        <f>'Be Lean'!K15</f>
        <v>376.41</v>
      </c>
      <c r="O16" s="100">
        <f>'Be Lean'!L15</f>
        <v>331.94000000000005</v>
      </c>
      <c r="P16" s="100">
        <f>'Be Lean'!M15</f>
        <v>0</v>
      </c>
      <c r="Q16" s="46">
        <f>IFERROR($G16*INDEX('Carbon factors'!$B$4:$B$10,MATCH($H16,Fuel_Type,0),1),"")</f>
        <v>644.53519313304719</v>
      </c>
      <c r="R16" s="47">
        <f>IFERROR($I16*INDEX('Carbon factors'!$B$4:$B$10,MATCH($J16,Fuel_Type,0),1),"")</f>
        <v>462.82171673819744</v>
      </c>
      <c r="S16" s="47" t="str">
        <f>IFERROR($K16*INDEX('Carbon factors'!$B$4:$B$10,MATCH($L16,Fuel_Type,0),1),"")</f>
        <v/>
      </c>
      <c r="T16" s="47" t="str">
        <f>IF(M16="","",M16*'Carbon factors'!$B$5)</f>
        <v/>
      </c>
      <c r="U16" s="47">
        <f>IF(N16="","",N16*'Carbon factors'!$B$5)</f>
        <v>195.35679000000002</v>
      </c>
      <c r="V16" s="47">
        <f>IF(O16="","",O16*'Carbon factors'!$B$5)</f>
        <v>172.27686000000003</v>
      </c>
      <c r="W16" s="47">
        <f>IF(P16="","",P16*'Carbon factors'!$B$5)</f>
        <v>0</v>
      </c>
      <c r="X16" s="267">
        <f t="shared" si="3"/>
        <v>1474.9905598712446</v>
      </c>
      <c r="Y16" s="49">
        <f>IFERROR($G16*INDEX('Carbon factors'!$C$4:$C$10,MATCH($H16,Fuel_Type,0),1),"")</f>
        <v>626.63143776824029</v>
      </c>
      <c r="Z16" s="47">
        <f>IFERROR($I16*INDEX('Carbon factors'!$C$4:$C$10,MATCH($J16,Fuel_Type,0),1),"")</f>
        <v>449.96555793991416</v>
      </c>
      <c r="AA16" s="47" t="str">
        <f>IFERROR($K16*INDEX('Carbon factors'!$C$4:$C$10,MATCH($L16,Fuel_Type,0),1),"")</f>
        <v/>
      </c>
      <c r="AB16" s="47" t="str">
        <f>IF(M16="","",M16*'Carbon factors'!$C$5)</f>
        <v/>
      </c>
      <c r="AC16" s="47">
        <f>IF(N16="","",N16*'Carbon factors'!$C$5)</f>
        <v>87.703530000000015</v>
      </c>
      <c r="AD16" s="47">
        <f>IF(O16="","",O16*'Carbon factors'!$C$5)</f>
        <v>77.342020000000019</v>
      </c>
      <c r="AE16" s="47">
        <f>IF(P16="","",P16*'Carbon factors'!$C$5)</f>
        <v>0</v>
      </c>
      <c r="AF16" s="222">
        <f t="shared" si="1"/>
        <v>1241.6425457081546</v>
      </c>
      <c r="AG16" s="61">
        <f t="shared" si="2"/>
        <v>13.796028285646162</v>
      </c>
    </row>
    <row r="17" spans="1:33" s="36" customFormat="1" ht="13.5" customHeight="1">
      <c r="A17" s="287" t="str">
        <f>IF(Baseline!A16="","",Baseline!A16)</f>
        <v>B1-A-03-01</v>
      </c>
      <c r="B17" s="141">
        <f>IF(Baseline!B16="","",Baseline!B16)</f>
        <v>74</v>
      </c>
      <c r="C17" s="141">
        <f>IF(Baseline!C16="","",Baseline!C16)</f>
        <v>1</v>
      </c>
      <c r="D17" s="288">
        <f>IF(Baseline!D16="","",Baseline!D16)</f>
        <v>74</v>
      </c>
      <c r="E17" s="96">
        <f t="shared" si="0"/>
        <v>16.254606147198697</v>
      </c>
      <c r="F17" s="100">
        <f>'Be Lean'!F16</f>
        <v>16.260000000000002</v>
      </c>
      <c r="G17" s="147">
        <f>'Be Lean'!G16</f>
        <v>2102.6394849785406</v>
      </c>
      <c r="H17" s="100" t="s">
        <v>11</v>
      </c>
      <c r="I17" s="100">
        <f>'Be Lean'!I16</f>
        <v>2022.0708154506437</v>
      </c>
      <c r="J17" s="100" t="s">
        <v>11</v>
      </c>
      <c r="K17" s="100"/>
      <c r="L17" s="100"/>
      <c r="M17" s="100"/>
      <c r="N17" s="100">
        <f>'Be Lean'!K16</f>
        <v>325.05</v>
      </c>
      <c r="O17" s="100">
        <f>'Be Lean'!L16</f>
        <v>216.85999999999999</v>
      </c>
      <c r="P17" s="100">
        <f>'Be Lean'!M16</f>
        <v>59.06</v>
      </c>
      <c r="Q17" s="46">
        <f>IFERROR($G17*INDEX('Carbon factors'!$B$4:$B$10,MATCH($H17,Fuel_Type,0),1),"")</f>
        <v>454.17012875536477</v>
      </c>
      <c r="R17" s="47">
        <f>IFERROR($I17*INDEX('Carbon factors'!$B$4:$B$10,MATCH($J17,Fuel_Type,0),1),"")</f>
        <v>436.76729613733903</v>
      </c>
      <c r="S17" s="47" t="str">
        <f>IFERROR($K17*INDEX('Carbon factors'!$B$4:$B$10,MATCH($L17,Fuel_Type,0),1),"")</f>
        <v/>
      </c>
      <c r="T17" s="47" t="str">
        <f>IF(M17="","",M17*'Carbon factors'!$B$5)</f>
        <v/>
      </c>
      <c r="U17" s="47">
        <f>IF(N17="","",N17*'Carbon factors'!$B$5)</f>
        <v>168.70095000000001</v>
      </c>
      <c r="V17" s="47">
        <f>IF(O17="","",O17*'Carbon factors'!$B$5)</f>
        <v>112.55033999999999</v>
      </c>
      <c r="W17" s="47">
        <f>IF(P17="","",P17*'Carbon factors'!$B$5)</f>
        <v>30.652140000000003</v>
      </c>
      <c r="X17" s="267">
        <f t="shared" si="3"/>
        <v>1202.8408548927036</v>
      </c>
      <c r="Y17" s="49">
        <f>IFERROR($G17*INDEX('Carbon factors'!$C$4:$C$10,MATCH($H17,Fuel_Type,0),1),"")</f>
        <v>441.55429184549354</v>
      </c>
      <c r="Z17" s="47">
        <f>IFERROR($I17*INDEX('Carbon factors'!$C$4:$C$10,MATCH($J17,Fuel_Type,0),1),"")</f>
        <v>424.63487124463518</v>
      </c>
      <c r="AA17" s="47" t="str">
        <f>IFERROR($K17*INDEX('Carbon factors'!$C$4:$C$10,MATCH($L17,Fuel_Type,0),1),"")</f>
        <v/>
      </c>
      <c r="AB17" s="47" t="str">
        <f>IF(M17="","",M17*'Carbon factors'!$C$5)</f>
        <v/>
      </c>
      <c r="AC17" s="47">
        <f>IF(N17="","",N17*'Carbon factors'!$C$5)</f>
        <v>75.736650000000012</v>
      </c>
      <c r="AD17" s="47">
        <f>IF(O17="","",O17*'Carbon factors'!$C$5)</f>
        <v>50.528379999999999</v>
      </c>
      <c r="AE17" s="47">
        <f>IF(P17="","",P17*'Carbon factors'!$C$5)</f>
        <v>13.760980000000002</v>
      </c>
      <c r="AF17" s="222">
        <f t="shared" si="1"/>
        <v>1006.2151730901287</v>
      </c>
      <c r="AG17" s="61">
        <f t="shared" si="2"/>
        <v>13.597502339055794</v>
      </c>
    </row>
    <row r="18" spans="1:33" s="36" customFormat="1" ht="13.5" customHeight="1">
      <c r="A18" s="287" t="str">
        <f>IF(Baseline!A17="","",Baseline!A17)</f>
        <v>B7-A-04-02</v>
      </c>
      <c r="B18" s="141">
        <f>IF(Baseline!B17="","",Baseline!B17)</f>
        <v>51</v>
      </c>
      <c r="C18" s="141">
        <f>IF(Baseline!C17="","",Baseline!C17)</f>
        <v>13</v>
      </c>
      <c r="D18" s="288">
        <f>IF(Baseline!D17="","",Baseline!D17)</f>
        <v>663</v>
      </c>
      <c r="E18" s="96">
        <f t="shared" si="0"/>
        <v>15.123351918707396</v>
      </c>
      <c r="F18" s="100">
        <f>'Be Lean'!F17</f>
        <v>15.12</v>
      </c>
      <c r="G18" s="147">
        <f>'Be Lean'!G17</f>
        <v>887.9935622317596</v>
      </c>
      <c r="H18" s="100" t="s">
        <v>11</v>
      </c>
      <c r="I18" s="100">
        <f>'Be Lean'!I17</f>
        <v>1761.2124463519312</v>
      </c>
      <c r="J18" s="100" t="s">
        <v>11</v>
      </c>
      <c r="K18" s="100"/>
      <c r="L18" s="100"/>
      <c r="M18" s="100"/>
      <c r="N18" s="100">
        <f>'Be Lean'!K17</f>
        <v>235.9</v>
      </c>
      <c r="O18" s="100">
        <f>'Be Lean'!L17</f>
        <v>147.65</v>
      </c>
      <c r="P18" s="100">
        <f>'Be Lean'!M17</f>
        <v>0</v>
      </c>
      <c r="Q18" s="46">
        <f>IFERROR($G18*INDEX('Carbon factors'!$B$4:$B$10,MATCH($H18,Fuel_Type,0),1),"")</f>
        <v>191.80660944206008</v>
      </c>
      <c r="R18" s="47">
        <f>IFERROR($I18*INDEX('Carbon factors'!$B$4:$B$10,MATCH($J18,Fuel_Type,0),1),"")</f>
        <v>380.42188841201715</v>
      </c>
      <c r="S18" s="47" t="str">
        <f>IFERROR($K18*INDEX('Carbon factors'!$B$4:$B$10,MATCH($L18,Fuel_Type,0),1),"")</f>
        <v/>
      </c>
      <c r="T18" s="47" t="str">
        <f>IF(M18="","",M18*'Carbon factors'!$B$5)</f>
        <v/>
      </c>
      <c r="U18" s="47">
        <f>IF(N18="","",N18*'Carbon factors'!$B$5)</f>
        <v>122.43210000000001</v>
      </c>
      <c r="V18" s="47">
        <f>IF(O18="","",O18*'Carbon factors'!$B$5)</f>
        <v>76.630350000000007</v>
      </c>
      <c r="W18" s="47">
        <f>IF(P18="","",P18*'Carbon factors'!$B$5)</f>
        <v>0</v>
      </c>
      <c r="X18" s="267">
        <f t="shared" si="3"/>
        <v>771.29094785407722</v>
      </c>
      <c r="Y18" s="49">
        <f>IFERROR($G18*INDEX('Carbon factors'!$C$4:$C$10,MATCH($H18,Fuel_Type,0),1),"")</f>
        <v>186.47864806866951</v>
      </c>
      <c r="Z18" s="47">
        <f>IFERROR($I18*INDEX('Carbon factors'!$C$4:$C$10,MATCH($J18,Fuel_Type,0),1),"")</f>
        <v>369.85461373390552</v>
      </c>
      <c r="AA18" s="47" t="str">
        <f>IFERROR($K18*INDEX('Carbon factors'!$C$4:$C$10,MATCH($L18,Fuel_Type,0),1),"")</f>
        <v/>
      </c>
      <c r="AB18" s="47" t="str">
        <f>IF(M18="","",M18*'Carbon factors'!$C$5)</f>
        <v/>
      </c>
      <c r="AC18" s="47">
        <f>IF(N18="","",N18*'Carbon factors'!$C$5)</f>
        <v>54.964700000000008</v>
      </c>
      <c r="AD18" s="47">
        <f>IF(O18="","",O18*'Carbon factors'!$C$5)</f>
        <v>34.402450000000002</v>
      </c>
      <c r="AE18" s="47">
        <f>IF(P18="","",P18*'Carbon factors'!$C$5)</f>
        <v>0</v>
      </c>
      <c r="AF18" s="222">
        <f t="shared" si="1"/>
        <v>645.7004118025751</v>
      </c>
      <c r="AG18" s="61">
        <f t="shared" si="2"/>
        <v>12.660792388285786</v>
      </c>
    </row>
    <row r="19" spans="1:33" s="36" customFormat="1" ht="13.5" customHeight="1">
      <c r="A19" s="287" t="str">
        <f>IF(Baseline!A18="","",Baseline!A18)</f>
        <v>B1-A-04-03</v>
      </c>
      <c r="B19" s="141">
        <f>IF(Baseline!B18="","",Baseline!B18)</f>
        <v>73</v>
      </c>
      <c r="C19" s="141">
        <f>IF(Baseline!C18="","",Baseline!C18)</f>
        <v>10</v>
      </c>
      <c r="D19" s="288">
        <f>IF(Baseline!D18="","",Baseline!D18)</f>
        <v>730</v>
      </c>
      <c r="E19" s="96">
        <f t="shared" si="0"/>
        <v>13.419159845375978</v>
      </c>
      <c r="F19" s="100">
        <f>'Be Lean'!F18</f>
        <v>13.42</v>
      </c>
      <c r="G19" s="147">
        <f>'Be Lean'!G18</f>
        <v>1066.4270386266094</v>
      </c>
      <c r="H19" s="100" t="s">
        <v>11</v>
      </c>
      <c r="I19" s="100">
        <f>'Be Lean'!I18</f>
        <v>2012.5965665236051</v>
      </c>
      <c r="J19" s="100" t="s">
        <v>11</v>
      </c>
      <c r="K19" s="100"/>
      <c r="L19" s="100"/>
      <c r="M19" s="100"/>
      <c r="N19" s="100">
        <f>'Be Lean'!K18</f>
        <v>321.49</v>
      </c>
      <c r="O19" s="100">
        <f>'Be Lean'!L18</f>
        <v>204.7</v>
      </c>
      <c r="P19" s="100">
        <f>'Be Lean'!M18</f>
        <v>79.84</v>
      </c>
      <c r="Q19" s="46">
        <f>IFERROR($G19*INDEX('Carbon factors'!$B$4:$B$10,MATCH($H19,Fuel_Type,0),1),"")</f>
        <v>230.34824034334761</v>
      </c>
      <c r="R19" s="47">
        <f>IFERROR($I19*INDEX('Carbon factors'!$B$4:$B$10,MATCH($J19,Fuel_Type,0),1),"")</f>
        <v>434.72085836909872</v>
      </c>
      <c r="S19" s="47" t="str">
        <f>IFERROR($K19*INDEX('Carbon factors'!$B$4:$B$10,MATCH($L19,Fuel_Type,0),1),"")</f>
        <v/>
      </c>
      <c r="T19" s="47" t="str">
        <f>IF(M19="","",M19*'Carbon factors'!$B$5)</f>
        <v/>
      </c>
      <c r="U19" s="47">
        <f>IF(N19="","",N19*'Carbon factors'!$B$5)</f>
        <v>166.85331000000002</v>
      </c>
      <c r="V19" s="47">
        <f>IF(O19="","",O19*'Carbon factors'!$B$5)</f>
        <v>106.2393</v>
      </c>
      <c r="W19" s="47">
        <f>IF(P19="","",P19*'Carbon factors'!$B$5)</f>
        <v>41.436960000000006</v>
      </c>
      <c r="X19" s="267">
        <f t="shared" si="3"/>
        <v>979.5986687124464</v>
      </c>
      <c r="Y19" s="49">
        <f>IFERROR($G19*INDEX('Carbon factors'!$C$4:$C$10,MATCH($H19,Fuel_Type,0),1),"")</f>
        <v>223.94967811158796</v>
      </c>
      <c r="Z19" s="47">
        <f>IFERROR($I19*INDEX('Carbon factors'!$C$4:$C$10,MATCH($J19,Fuel_Type,0),1),"")</f>
        <v>422.64527896995708</v>
      </c>
      <c r="AA19" s="47" t="str">
        <f>IFERROR($K19*INDEX('Carbon factors'!$C$4:$C$10,MATCH($L19,Fuel_Type,0),1),"")</f>
        <v/>
      </c>
      <c r="AB19" s="47" t="str">
        <f>IF(M19="","",M19*'Carbon factors'!$C$5)</f>
        <v/>
      </c>
      <c r="AC19" s="47">
        <f>IF(N19="","",N19*'Carbon factors'!$C$5)</f>
        <v>74.907170000000008</v>
      </c>
      <c r="AD19" s="47">
        <f>IF(O19="","",O19*'Carbon factors'!$C$5)</f>
        <v>47.695099999999996</v>
      </c>
      <c r="AE19" s="47">
        <f>IF(P19="","",P19*'Carbon factors'!$C$5)</f>
        <v>18.602720000000001</v>
      </c>
      <c r="AF19" s="222">
        <f t="shared" si="1"/>
        <v>787.79994708154504</v>
      </c>
      <c r="AG19" s="61">
        <f t="shared" si="2"/>
        <v>10.791780097007466</v>
      </c>
    </row>
    <row r="20" spans="1:33" s="36" customFormat="1" ht="13.5" customHeight="1">
      <c r="A20" s="287" t="str">
        <f>IF(Baseline!A19="","",Baseline!A19)</f>
        <v>B7-A-13-01</v>
      </c>
      <c r="B20" s="141">
        <f>IF(Baseline!B19="","",Baseline!B19)</f>
        <v>95</v>
      </c>
      <c r="C20" s="141">
        <f>IF(Baseline!C19="","",Baseline!C19)</f>
        <v>1</v>
      </c>
      <c r="D20" s="288">
        <f>IF(Baseline!D19="","",Baseline!D19)</f>
        <v>95</v>
      </c>
      <c r="E20" s="96">
        <f t="shared" si="0"/>
        <v>17.005830200587305</v>
      </c>
      <c r="F20" s="100">
        <f>'Be Lean'!F19</f>
        <v>17.010000000000002</v>
      </c>
      <c r="G20" s="147">
        <f>'Be Lean'!G19</f>
        <v>3686.4699570815451</v>
      </c>
      <c r="H20" s="100" t="s">
        <v>11</v>
      </c>
      <c r="I20" s="100">
        <f>'Be Lean'!I19</f>
        <v>2168.980686695279</v>
      </c>
      <c r="J20" s="100" t="s">
        <v>11</v>
      </c>
      <c r="K20" s="100"/>
      <c r="L20" s="100"/>
      <c r="M20" s="100"/>
      <c r="N20" s="100">
        <f>'Be Lean'!K19</f>
        <v>392.25</v>
      </c>
      <c r="O20" s="100">
        <f>'Be Lean'!L19</f>
        <v>283.62</v>
      </c>
      <c r="P20" s="100">
        <f>'Be Lean'!M19</f>
        <v>0</v>
      </c>
      <c r="Q20" s="46">
        <f>IFERROR($G20*INDEX('Carbon factors'!$B$4:$B$10,MATCH($H20,Fuel_Type,0),1),"")</f>
        <v>796.27751072961371</v>
      </c>
      <c r="R20" s="47">
        <f>IFERROR($I20*INDEX('Carbon factors'!$B$4:$B$10,MATCH($J20,Fuel_Type,0),1),"")</f>
        <v>468.49982832618025</v>
      </c>
      <c r="S20" s="47" t="str">
        <f>IFERROR($K20*INDEX('Carbon factors'!$B$4:$B$10,MATCH($L20,Fuel_Type,0),1),"")</f>
        <v/>
      </c>
      <c r="T20" s="47" t="str">
        <f>IF(M20="","",M20*'Carbon factors'!$B$5)</f>
        <v/>
      </c>
      <c r="U20" s="47">
        <f>IF(N20="","",N20*'Carbon factors'!$B$5)</f>
        <v>203.57775000000001</v>
      </c>
      <c r="V20" s="47">
        <f>IF(O20="","",O20*'Carbon factors'!$B$5)</f>
        <v>147.19878</v>
      </c>
      <c r="W20" s="47">
        <f>IF(P20="","",P20*'Carbon factors'!$B$5)</f>
        <v>0</v>
      </c>
      <c r="X20" s="267">
        <f t="shared" si="3"/>
        <v>1615.5538690557939</v>
      </c>
      <c r="Y20" s="49">
        <f>IFERROR($G20*INDEX('Carbon factors'!$C$4:$C$10,MATCH($H20,Fuel_Type,0),1),"")</f>
        <v>774.15869098712449</v>
      </c>
      <c r="Z20" s="47">
        <f>IFERROR($I20*INDEX('Carbon factors'!$C$4:$C$10,MATCH($J20,Fuel_Type,0),1),"")</f>
        <v>455.48594420600858</v>
      </c>
      <c r="AA20" s="47" t="str">
        <f>IFERROR($K20*INDEX('Carbon factors'!$C$4:$C$10,MATCH($L20,Fuel_Type,0),1),"")</f>
        <v/>
      </c>
      <c r="AB20" s="47" t="str">
        <f>IF(M20="","",M20*'Carbon factors'!$C$5)</f>
        <v/>
      </c>
      <c r="AC20" s="47">
        <f>IF(N20="","",N20*'Carbon factors'!$C$5)</f>
        <v>91.39425</v>
      </c>
      <c r="AD20" s="47">
        <f>IF(O20="","",O20*'Carbon factors'!$C$5)</f>
        <v>66.083460000000002</v>
      </c>
      <c r="AE20" s="47">
        <f>IF(P20="","",P20*'Carbon factors'!$C$5)</f>
        <v>0</v>
      </c>
      <c r="AF20" s="222">
        <f t="shared" si="1"/>
        <v>1387.1223451931332</v>
      </c>
      <c r="AG20" s="61">
        <f t="shared" si="2"/>
        <v>14.601287844138245</v>
      </c>
    </row>
    <row r="21" spans="1:33" s="36" customFormat="1" ht="13.5" customHeight="1">
      <c r="A21" s="287" t="str">
        <f>IF(Baseline!A20="","",Baseline!A20)</f>
        <v>B5-B-02-03</v>
      </c>
      <c r="B21" s="141">
        <f>IF(Baseline!B20="","",Baseline!B20)</f>
        <v>53</v>
      </c>
      <c r="C21" s="141">
        <f>IF(Baseline!C20="","",Baseline!C20)</f>
        <v>4</v>
      </c>
      <c r="D21" s="288">
        <f>IF(Baseline!D20="","",Baseline!D20)</f>
        <v>212</v>
      </c>
      <c r="E21" s="96">
        <f t="shared" si="0"/>
        <v>15.35149441088347</v>
      </c>
      <c r="F21" s="100">
        <f>'Be Lean'!F20</f>
        <v>15.35</v>
      </c>
      <c r="G21" s="147">
        <f>'Be Lean'!G20</f>
        <v>1004.6459227467811</v>
      </c>
      <c r="H21" s="100" t="s">
        <v>11</v>
      </c>
      <c r="I21" s="100">
        <f>'Be Lean'!I20</f>
        <v>1786.0515021459228</v>
      </c>
      <c r="J21" s="100" t="s">
        <v>11</v>
      </c>
      <c r="K21" s="100"/>
      <c r="L21" s="100"/>
      <c r="M21" s="100"/>
      <c r="N21" s="100">
        <f>'Be Lean'!K20</f>
        <v>252.45</v>
      </c>
      <c r="O21" s="100">
        <f>'Be Lean'!L20</f>
        <v>153.79</v>
      </c>
      <c r="P21" s="100">
        <f>'Be Lean'!M20</f>
        <v>0</v>
      </c>
      <c r="Q21" s="46">
        <f>IFERROR($G21*INDEX('Carbon factors'!$B$4:$B$10,MATCH($H21,Fuel_Type,0),1),"")</f>
        <v>217.00351931330474</v>
      </c>
      <c r="R21" s="47">
        <f>IFERROR($I21*INDEX('Carbon factors'!$B$4:$B$10,MATCH($J21,Fuel_Type,0),1),"")</f>
        <v>385.78712446351932</v>
      </c>
      <c r="S21" s="47" t="str">
        <f>IFERROR($K21*INDEX('Carbon factors'!$B$4:$B$10,MATCH($L21,Fuel_Type,0),1),"")</f>
        <v/>
      </c>
      <c r="T21" s="47" t="str">
        <f>IF(M21="","",M21*'Carbon factors'!$B$5)</f>
        <v/>
      </c>
      <c r="U21" s="47">
        <f>IF(N21="","",N21*'Carbon factors'!$B$5)</f>
        <v>131.02154999999999</v>
      </c>
      <c r="V21" s="47">
        <f>IF(O21="","",O21*'Carbon factors'!$B$5)</f>
        <v>79.817009999999996</v>
      </c>
      <c r="W21" s="47">
        <f>IF(P21="","",P21*'Carbon factors'!$B$5)</f>
        <v>0</v>
      </c>
      <c r="X21" s="267">
        <f t="shared" si="3"/>
        <v>813.62920377682394</v>
      </c>
      <c r="Y21" s="49">
        <f>IFERROR($G21*INDEX('Carbon factors'!$C$4:$C$10,MATCH($H21,Fuel_Type,0),1),"")</f>
        <v>210.97564377682403</v>
      </c>
      <c r="Z21" s="47">
        <f>IFERROR($I21*INDEX('Carbon factors'!$C$4:$C$10,MATCH($J21,Fuel_Type,0),1),"")</f>
        <v>375.07081545064375</v>
      </c>
      <c r="AA21" s="47" t="str">
        <f>IFERROR($K21*INDEX('Carbon factors'!$C$4:$C$10,MATCH($L21,Fuel_Type,0),1),"")</f>
        <v/>
      </c>
      <c r="AB21" s="47" t="str">
        <f>IF(M21="","",M21*'Carbon factors'!$C$5)</f>
        <v/>
      </c>
      <c r="AC21" s="47">
        <f>IF(N21="","",N21*'Carbon factors'!$C$5)</f>
        <v>58.82085</v>
      </c>
      <c r="AD21" s="47">
        <f>IF(O21="","",O21*'Carbon factors'!$C$5)</f>
        <v>35.833069999999999</v>
      </c>
      <c r="AE21" s="47">
        <f>IF(P21="","",P21*'Carbon factors'!$C$5)</f>
        <v>0</v>
      </c>
      <c r="AF21" s="222">
        <f t="shared" si="1"/>
        <v>680.70037922746769</v>
      </c>
      <c r="AG21" s="61">
        <f t="shared" si="2"/>
        <v>12.843403381650333</v>
      </c>
    </row>
    <row r="22" spans="1:33" s="36" customFormat="1" ht="13.5" customHeight="1">
      <c r="A22" s="287" t="str">
        <f>IF(Baseline!A21="","",Baseline!A21)</f>
        <v>B5-B-02-05</v>
      </c>
      <c r="B22" s="141">
        <f>IF(Baseline!B21="","",Baseline!B21)</f>
        <v>50</v>
      </c>
      <c r="C22" s="141">
        <f>IF(Baseline!C21="","",Baseline!C21)</f>
        <v>1</v>
      </c>
      <c r="D22" s="288">
        <f>IF(Baseline!D21="","",Baseline!D21)</f>
        <v>50</v>
      </c>
      <c r="E22" s="96">
        <f t="shared" si="0"/>
        <v>16.615897158798283</v>
      </c>
      <c r="F22" s="100">
        <f>'Be Lean'!F21</f>
        <v>16.62</v>
      </c>
      <c r="G22" s="147">
        <f>'Be Lean'!G21</f>
        <v>1185.1287553648069</v>
      </c>
      <c r="H22" s="100" t="s">
        <v>11</v>
      </c>
      <c r="I22" s="100">
        <f>'Be Lean'!I21</f>
        <v>1748.8090128755364</v>
      </c>
      <c r="J22" s="100" t="s">
        <v>11</v>
      </c>
      <c r="K22" s="100"/>
      <c r="L22" s="100"/>
      <c r="M22" s="100"/>
      <c r="N22" s="100">
        <f>'Be Lean'!K21</f>
        <v>231.81</v>
      </c>
      <c r="O22" s="100">
        <f>'Be Lean'!L21</f>
        <v>147.88999999999999</v>
      </c>
      <c r="P22" s="100">
        <f>'Be Lean'!M21</f>
        <v>0</v>
      </c>
      <c r="Q22" s="46">
        <f>IFERROR($G22*INDEX('Carbon factors'!$B$4:$B$10,MATCH($H22,Fuel_Type,0),1),"")</f>
        <v>255.98781115879828</v>
      </c>
      <c r="R22" s="47">
        <f>IFERROR($I22*INDEX('Carbon factors'!$B$4:$B$10,MATCH($J22,Fuel_Type,0),1),"")</f>
        <v>377.74274678111584</v>
      </c>
      <c r="S22" s="47" t="str">
        <f>IFERROR($K22*INDEX('Carbon factors'!$B$4:$B$10,MATCH($L22,Fuel_Type,0),1),"")</f>
        <v/>
      </c>
      <c r="T22" s="47" t="str">
        <f>IF(M22="","",M22*'Carbon factors'!$B$5)</f>
        <v/>
      </c>
      <c r="U22" s="47">
        <f>IF(N22="","",N22*'Carbon factors'!$B$5)</f>
        <v>120.30939000000001</v>
      </c>
      <c r="V22" s="47">
        <f>IF(O22="","",O22*'Carbon factors'!$B$5)</f>
        <v>76.754909999999995</v>
      </c>
      <c r="W22" s="47">
        <f>IF(P22="","",P22*'Carbon factors'!$B$5)</f>
        <v>0</v>
      </c>
      <c r="X22" s="267">
        <f t="shared" si="3"/>
        <v>830.7948579399141</v>
      </c>
      <c r="Y22" s="49">
        <f>IFERROR($G22*INDEX('Carbon factors'!$C$4:$C$10,MATCH($H22,Fuel_Type,0),1),"")</f>
        <v>248.87703862660945</v>
      </c>
      <c r="Z22" s="47">
        <f>IFERROR($I22*INDEX('Carbon factors'!$C$4:$C$10,MATCH($J22,Fuel_Type,0),1),"")</f>
        <v>367.2498927038626</v>
      </c>
      <c r="AA22" s="47" t="str">
        <f>IFERROR($K22*INDEX('Carbon factors'!$C$4:$C$10,MATCH($L22,Fuel_Type,0),1),"")</f>
        <v/>
      </c>
      <c r="AB22" s="47" t="str">
        <f>IF(M22="","",M22*'Carbon factors'!$C$5)</f>
        <v/>
      </c>
      <c r="AC22" s="47">
        <f>IF(N22="","",N22*'Carbon factors'!$C$5)</f>
        <v>54.01173</v>
      </c>
      <c r="AD22" s="47">
        <f>IF(O22="","",O22*'Carbon factors'!$C$5)</f>
        <v>34.458370000000002</v>
      </c>
      <c r="AE22" s="47">
        <f>IF(P22="","",P22*'Carbon factors'!$C$5)</f>
        <v>0</v>
      </c>
      <c r="AF22" s="222">
        <f t="shared" si="1"/>
        <v>704.59703133047219</v>
      </c>
      <c r="AG22" s="61">
        <f t="shared" si="2"/>
        <v>14.091940626609444</v>
      </c>
    </row>
    <row r="23" spans="1:33" s="36" customFormat="1" ht="13.5" customHeight="1">
      <c r="A23" s="287" t="str">
        <f>IF(Baseline!A22="","",Baseline!A22)</f>
        <v>B5-B-02-08</v>
      </c>
      <c r="B23" s="141">
        <f>IF(Baseline!B22="","",Baseline!B22)</f>
        <v>57</v>
      </c>
      <c r="C23" s="141">
        <f>IF(Baseline!C22="","",Baseline!C22)</f>
        <v>2</v>
      </c>
      <c r="D23" s="288">
        <f>IF(Baseline!D22="","",Baseline!D22)</f>
        <v>114</v>
      </c>
      <c r="E23" s="96">
        <f t="shared" si="0"/>
        <v>17.155598942850688</v>
      </c>
      <c r="F23" s="100">
        <f>'Be Lean'!F22</f>
        <v>17.16</v>
      </c>
      <c r="G23" s="147">
        <f>'Be Lean'!G22</f>
        <v>1657.9506437768239</v>
      </c>
      <c r="H23" s="100" t="s">
        <v>11</v>
      </c>
      <c r="I23" s="100">
        <f>'Be Lean'!I22</f>
        <v>1835.3540772532187</v>
      </c>
      <c r="J23" s="100" t="s">
        <v>11</v>
      </c>
      <c r="K23" s="100"/>
      <c r="L23" s="100"/>
      <c r="M23" s="100"/>
      <c r="N23" s="100">
        <f>'Be Lean'!K22</f>
        <v>260.29000000000002</v>
      </c>
      <c r="O23" s="100">
        <f>'Be Lean'!L22</f>
        <v>169.99</v>
      </c>
      <c r="P23" s="100">
        <f>'Be Lean'!M22</f>
        <v>0</v>
      </c>
      <c r="Q23" s="46">
        <f>IFERROR($G23*INDEX('Carbon factors'!$B$4:$B$10,MATCH($H23,Fuel_Type,0),1),"")</f>
        <v>358.11733905579393</v>
      </c>
      <c r="R23" s="47">
        <f>IFERROR($I23*INDEX('Carbon factors'!$B$4:$B$10,MATCH($J23,Fuel_Type,0),1),"")</f>
        <v>396.43648068669523</v>
      </c>
      <c r="S23" s="47" t="str">
        <f>IFERROR($K23*INDEX('Carbon factors'!$B$4:$B$10,MATCH($L23,Fuel_Type,0),1),"")</f>
        <v/>
      </c>
      <c r="T23" s="47" t="str">
        <f>IF(M23="","",M23*'Carbon factors'!$B$5)</f>
        <v/>
      </c>
      <c r="U23" s="47">
        <f>IF(N23="","",N23*'Carbon factors'!$B$5)</f>
        <v>135.09051000000002</v>
      </c>
      <c r="V23" s="47">
        <f>IF(O23="","",O23*'Carbon factors'!$B$5)</f>
        <v>88.224810000000005</v>
      </c>
      <c r="W23" s="47">
        <f>IF(P23="","",P23*'Carbon factors'!$B$5)</f>
        <v>0</v>
      </c>
      <c r="X23" s="267">
        <f t="shared" si="3"/>
        <v>977.86913974248921</v>
      </c>
      <c r="Y23" s="49">
        <f>IFERROR($G23*INDEX('Carbon factors'!$C$4:$C$10,MATCH($H23,Fuel_Type,0),1),"")</f>
        <v>348.16963519313299</v>
      </c>
      <c r="Z23" s="47">
        <f>IFERROR($I23*INDEX('Carbon factors'!$C$4:$C$10,MATCH($J23,Fuel_Type,0),1),"")</f>
        <v>385.42435622317595</v>
      </c>
      <c r="AA23" s="47" t="str">
        <f>IFERROR($K23*INDEX('Carbon factors'!$C$4:$C$10,MATCH($L23,Fuel_Type,0),1),"")</f>
        <v/>
      </c>
      <c r="AB23" s="47" t="str">
        <f>IF(M23="","",M23*'Carbon factors'!$C$5)</f>
        <v/>
      </c>
      <c r="AC23" s="47">
        <f>IF(N23="","",N23*'Carbon factors'!$C$5)</f>
        <v>60.647570000000009</v>
      </c>
      <c r="AD23" s="47">
        <f>IF(O23="","",O23*'Carbon factors'!$C$5)</f>
        <v>39.607670000000006</v>
      </c>
      <c r="AE23" s="47">
        <f>IF(P23="","",P23*'Carbon factors'!$C$5)</f>
        <v>0</v>
      </c>
      <c r="AF23" s="222">
        <f t="shared" si="1"/>
        <v>833.84923141630884</v>
      </c>
      <c r="AG23" s="61">
        <f t="shared" si="2"/>
        <v>14.628933884496647</v>
      </c>
    </row>
    <row r="24" spans="1:33" s="36" customFormat="1" ht="13.5" customHeight="1">
      <c r="A24" s="287" t="str">
        <f>IF(Baseline!A23="","",Baseline!A23)</f>
        <v>B5-02-H4</v>
      </c>
      <c r="B24" s="141">
        <f>IF(Baseline!B23="","",Baseline!B23)</f>
        <v>124</v>
      </c>
      <c r="C24" s="141">
        <f>IF(Baseline!C23="","",Baseline!C23)</f>
        <v>4</v>
      </c>
      <c r="D24" s="288">
        <f>IF(Baseline!D23="","",Baseline!D23)</f>
        <v>496</v>
      </c>
      <c r="E24" s="96">
        <f t="shared" si="0"/>
        <v>16.806004483594073</v>
      </c>
      <c r="F24" s="100">
        <f>'Be Lean'!F23</f>
        <v>16.809999999999999</v>
      </c>
      <c r="G24" s="147">
        <f>'Be Lean'!G23</f>
        <v>5983.9055793991411</v>
      </c>
      <c r="H24" s="100" t="s">
        <v>11</v>
      </c>
      <c r="I24" s="100">
        <f>'Be Lean'!I23</f>
        <v>2248.7017167381973</v>
      </c>
      <c r="J24" s="100" t="s">
        <v>11</v>
      </c>
      <c r="K24" s="100"/>
      <c r="L24" s="100"/>
      <c r="M24" s="100"/>
      <c r="N24" s="100">
        <f>'Be Lean'!K23</f>
        <v>457.11</v>
      </c>
      <c r="O24" s="100">
        <f>'Be Lean'!L23</f>
        <v>131.91</v>
      </c>
      <c r="P24" s="100">
        <f>'Be Lean'!M23</f>
        <v>0</v>
      </c>
      <c r="Q24" s="46">
        <f>IFERROR($G24*INDEX('Carbon factors'!$B$4:$B$10,MATCH($H24,Fuel_Type,0),1),"")</f>
        <v>1292.5236051502145</v>
      </c>
      <c r="R24" s="47">
        <f>IFERROR($I24*INDEX('Carbon factors'!$B$4:$B$10,MATCH($J24,Fuel_Type,0),1),"")</f>
        <v>485.7195708154506</v>
      </c>
      <c r="S24" s="47" t="str">
        <f>IFERROR($K24*INDEX('Carbon factors'!$B$4:$B$10,MATCH($L24,Fuel_Type,0),1),"")</f>
        <v/>
      </c>
      <c r="T24" s="47" t="str">
        <f>IF(M24="","",M24*'Carbon factors'!$B$5)</f>
        <v/>
      </c>
      <c r="U24" s="47">
        <f>IF(N24="","",N24*'Carbon factors'!$B$5)</f>
        <v>237.24009000000001</v>
      </c>
      <c r="V24" s="47">
        <f>IF(O24="","",O24*'Carbon factors'!$B$5)</f>
        <v>68.461290000000005</v>
      </c>
      <c r="W24" s="47">
        <f>IF(P24="","",P24*'Carbon factors'!$B$5)</f>
        <v>0</v>
      </c>
      <c r="X24" s="267">
        <f t="shared" si="3"/>
        <v>2083.9445559656651</v>
      </c>
      <c r="Y24" s="49">
        <f>IFERROR($G24*INDEX('Carbon factors'!$C$4:$C$10,MATCH($H24,Fuel_Type,0),1),"")</f>
        <v>1256.6201716738196</v>
      </c>
      <c r="Z24" s="47">
        <f>IFERROR($I24*INDEX('Carbon factors'!$C$4:$C$10,MATCH($J24,Fuel_Type,0),1),"")</f>
        <v>472.22736051502142</v>
      </c>
      <c r="AA24" s="47" t="str">
        <f>IFERROR($K24*INDEX('Carbon factors'!$C$4:$C$10,MATCH($L24,Fuel_Type,0),1),"")</f>
        <v/>
      </c>
      <c r="AB24" s="47" t="str">
        <f>IF(M24="","",M24*'Carbon factors'!$C$5)</f>
        <v/>
      </c>
      <c r="AC24" s="47">
        <f>IF(N24="","",N24*'Carbon factors'!$C$5)</f>
        <v>106.50663000000002</v>
      </c>
      <c r="AD24" s="47">
        <f>IF(O24="","",O24*'Carbon factors'!$C$5)</f>
        <v>30.735030000000002</v>
      </c>
      <c r="AE24" s="47">
        <f>IF(P24="","",P24*'Carbon factors'!$C$5)</f>
        <v>0</v>
      </c>
      <c r="AF24" s="222">
        <f t="shared" si="1"/>
        <v>1866.0891921888413</v>
      </c>
      <c r="AG24" s="61">
        <f t="shared" si="2"/>
        <v>15.049106388619688</v>
      </c>
    </row>
    <row r="25" spans="1:33" s="36" customFormat="1" ht="13.5" customHeight="1">
      <c r="A25" s="287" t="str">
        <f>IF(Baseline!A24="","",Baseline!A24)</f>
        <v>B5-B-03-08</v>
      </c>
      <c r="B25" s="141">
        <f>IF(Baseline!B24="","",Baseline!B24)</f>
        <v>71</v>
      </c>
      <c r="C25" s="141">
        <f>IF(Baseline!C24="","",Baseline!C24)</f>
        <v>18</v>
      </c>
      <c r="D25" s="288">
        <f>IF(Baseline!D24="","",Baseline!D24)</f>
        <v>1278</v>
      </c>
      <c r="E25" s="96">
        <f t="shared" si="0"/>
        <v>11.65649936710391</v>
      </c>
      <c r="F25" s="100">
        <f>'Be Lean'!F24</f>
        <v>11.66</v>
      </c>
      <c r="G25" s="147">
        <f>'Be Lean'!G24</f>
        <v>606.16952789699576</v>
      </c>
      <c r="H25" s="100" t="s">
        <v>11</v>
      </c>
      <c r="I25" s="100">
        <f>'Be Lean'!I24</f>
        <v>1993.0042918454935</v>
      </c>
      <c r="J25" s="100" t="s">
        <v>11</v>
      </c>
      <c r="K25" s="100"/>
      <c r="L25" s="100"/>
      <c r="M25" s="100"/>
      <c r="N25" s="100">
        <f>'Be Lean'!K24</f>
        <v>317.51</v>
      </c>
      <c r="O25" s="100">
        <f>'Be Lean'!L24</f>
        <v>195.38</v>
      </c>
      <c r="P25" s="100">
        <f>'Be Lean'!M24</f>
        <v>0</v>
      </c>
      <c r="Q25" s="46">
        <f>IFERROR($G25*INDEX('Carbon factors'!$B$4:$B$10,MATCH($H25,Fuel_Type,0),1),"")</f>
        <v>130.93261802575108</v>
      </c>
      <c r="R25" s="47">
        <f>IFERROR($I25*INDEX('Carbon factors'!$B$4:$B$10,MATCH($J25,Fuel_Type,0),1),"")</f>
        <v>430.48892703862657</v>
      </c>
      <c r="S25" s="47" t="str">
        <f>IFERROR($K25*INDEX('Carbon factors'!$B$4:$B$10,MATCH($L25,Fuel_Type,0),1),"")</f>
        <v/>
      </c>
      <c r="T25" s="47" t="str">
        <f>IF(M25="","",M25*'Carbon factors'!$B$5)</f>
        <v/>
      </c>
      <c r="U25" s="47">
        <f>IF(N25="","",N25*'Carbon factors'!$B$5)</f>
        <v>164.78769</v>
      </c>
      <c r="V25" s="47">
        <f>IF(O25="","",O25*'Carbon factors'!$B$5)</f>
        <v>101.40222</v>
      </c>
      <c r="W25" s="47">
        <f>IF(P25="","",P25*'Carbon factors'!$B$5)</f>
        <v>0</v>
      </c>
      <c r="X25" s="267">
        <f t="shared" si="3"/>
        <v>827.61145506437765</v>
      </c>
      <c r="Y25" s="49">
        <f>IFERROR($G25*INDEX('Carbon factors'!$C$4:$C$10,MATCH($H25,Fuel_Type,0),1),"")</f>
        <v>127.2956008583691</v>
      </c>
      <c r="Z25" s="47">
        <f>IFERROR($I25*INDEX('Carbon factors'!$C$4:$C$10,MATCH($J25,Fuel_Type,0),1),"")</f>
        <v>418.5309012875536</v>
      </c>
      <c r="AA25" s="47" t="str">
        <f>IFERROR($K25*INDEX('Carbon factors'!$C$4:$C$10,MATCH($L25,Fuel_Type,0),1),"")</f>
        <v/>
      </c>
      <c r="AB25" s="47" t="str">
        <f>IF(M25="","",M25*'Carbon factors'!$C$5)</f>
        <v/>
      </c>
      <c r="AC25" s="47">
        <f>IF(N25="","",N25*'Carbon factors'!$C$5)</f>
        <v>73.979830000000007</v>
      </c>
      <c r="AD25" s="47">
        <f>IF(O25="","",O25*'Carbon factors'!$C$5)</f>
        <v>45.523540000000004</v>
      </c>
      <c r="AE25" s="47">
        <f>IF(P25="","",P25*'Carbon factors'!$C$5)</f>
        <v>0</v>
      </c>
      <c r="AF25" s="222">
        <f t="shared" si="1"/>
        <v>665.32987214592276</v>
      </c>
      <c r="AG25" s="61">
        <f t="shared" si="2"/>
        <v>9.3708432696608845</v>
      </c>
    </row>
    <row r="26" spans="1:33" s="36" customFormat="1" ht="13.5" customHeight="1">
      <c r="A26" s="287" t="str">
        <f>IF(Baseline!A25="","",Baseline!A25)</f>
        <v>B5-A-11-01</v>
      </c>
      <c r="B26" s="141">
        <f>IF(Baseline!B25="","",Baseline!B25)</f>
        <v>53</v>
      </c>
      <c r="C26" s="141">
        <f>IF(Baseline!C25="","",Baseline!C25)</f>
        <v>9</v>
      </c>
      <c r="D26" s="288">
        <f>IF(Baseline!D25="","",Baseline!D25)</f>
        <v>477</v>
      </c>
      <c r="E26" s="96">
        <f t="shared" si="0"/>
        <v>13.840314240019435</v>
      </c>
      <c r="F26" s="100">
        <f>'Be Lean'!F25</f>
        <v>13.84</v>
      </c>
      <c r="G26" s="147">
        <f>'Be Lean'!G25</f>
        <v>661.69527896995714</v>
      </c>
      <c r="H26" s="100" t="s">
        <v>11</v>
      </c>
      <c r="I26" s="100">
        <f>'Be Lean'!I25</f>
        <v>1786.0515021459228</v>
      </c>
      <c r="J26" s="100" t="s">
        <v>11</v>
      </c>
      <c r="K26" s="100"/>
      <c r="L26" s="100"/>
      <c r="M26" s="100"/>
      <c r="N26" s="100">
        <f>'Be Lean'!K25</f>
        <v>244.06</v>
      </c>
      <c r="O26" s="100">
        <f>'Be Lean'!L25</f>
        <v>150.59</v>
      </c>
      <c r="P26" s="100">
        <f>'Be Lean'!M25</f>
        <v>0</v>
      </c>
      <c r="Q26" s="46">
        <f>IFERROR($G26*INDEX('Carbon factors'!$B$4:$B$10,MATCH($H26,Fuel_Type,0),1),"")</f>
        <v>142.92618025751074</v>
      </c>
      <c r="R26" s="47">
        <f>IFERROR($I26*INDEX('Carbon factors'!$B$4:$B$10,MATCH($J26,Fuel_Type,0),1),"")</f>
        <v>385.78712446351932</v>
      </c>
      <c r="S26" s="47" t="str">
        <f>IFERROR($K26*INDEX('Carbon factors'!$B$4:$B$10,MATCH($L26,Fuel_Type,0),1),"")</f>
        <v/>
      </c>
      <c r="T26" s="47" t="str">
        <f>IF(M26="","",M26*'Carbon factors'!$B$5)</f>
        <v/>
      </c>
      <c r="U26" s="47">
        <f>IF(N26="","",N26*'Carbon factors'!$B$5)</f>
        <v>126.66714</v>
      </c>
      <c r="V26" s="47">
        <f>IF(O26="","",O26*'Carbon factors'!$B$5)</f>
        <v>78.156210000000002</v>
      </c>
      <c r="W26" s="47">
        <f>IF(P26="","",P26*'Carbon factors'!$B$5)</f>
        <v>0</v>
      </c>
      <c r="X26" s="267">
        <f t="shared" si="3"/>
        <v>733.53665472103</v>
      </c>
      <c r="Y26" s="49">
        <f>IFERROR($G26*INDEX('Carbon factors'!$C$4:$C$10,MATCH($H26,Fuel_Type,0),1),"")</f>
        <v>138.95600858369099</v>
      </c>
      <c r="Z26" s="47">
        <f>IFERROR($I26*INDEX('Carbon factors'!$C$4:$C$10,MATCH($J26,Fuel_Type,0),1),"")</f>
        <v>375.07081545064375</v>
      </c>
      <c r="AA26" s="47" t="str">
        <f>IFERROR($K26*INDEX('Carbon factors'!$C$4:$C$10,MATCH($L26,Fuel_Type,0),1),"")</f>
        <v/>
      </c>
      <c r="AB26" s="47" t="str">
        <f>IF(M26="","",M26*'Carbon factors'!$C$5)</f>
        <v/>
      </c>
      <c r="AC26" s="47">
        <f>IF(N26="","",N26*'Carbon factors'!$C$5)</f>
        <v>56.86598</v>
      </c>
      <c r="AD26" s="47">
        <f>IF(O26="","",O26*'Carbon factors'!$C$5)</f>
        <v>35.087470000000003</v>
      </c>
      <c r="AE26" s="47">
        <f>IF(P26="","",P26*'Carbon factors'!$C$5)</f>
        <v>0</v>
      </c>
      <c r="AF26" s="222">
        <f t="shared" si="1"/>
        <v>605.9802740343348</v>
      </c>
      <c r="AG26" s="61">
        <f t="shared" si="2"/>
        <v>11.433590076119524</v>
      </c>
    </row>
    <row r="27" spans="1:33" s="36" customFormat="1" ht="13.5" customHeight="1">
      <c r="A27" s="287" t="str">
        <f>IF(Baseline!A26="","",Baseline!A26)</f>
        <v>B5-A-11-02</v>
      </c>
      <c r="B27" s="141">
        <f>IF(Baseline!B26="","",Baseline!B26)</f>
        <v>51</v>
      </c>
      <c r="C27" s="141">
        <f>IF(Baseline!C26="","",Baseline!C26)</f>
        <v>29</v>
      </c>
      <c r="D27" s="288">
        <f>IF(Baseline!D26="","",Baseline!D26)</f>
        <v>1479</v>
      </c>
      <c r="E27" s="96">
        <f t="shared" si="0"/>
        <v>12.227368457460239</v>
      </c>
      <c r="F27" s="100">
        <f>'Be Lean'!F26</f>
        <v>12.23</v>
      </c>
      <c r="G27" s="147">
        <f>'Be Lean'!G26</f>
        <v>200.87982832618025</v>
      </c>
      <c r="H27" s="100" t="s">
        <v>11</v>
      </c>
      <c r="I27" s="100">
        <f>'Be Lean'!I26</f>
        <v>1761.2124463519312</v>
      </c>
      <c r="J27" s="100" t="s">
        <v>11</v>
      </c>
      <c r="K27" s="100"/>
      <c r="L27" s="100"/>
      <c r="M27" s="100"/>
      <c r="N27" s="100">
        <f>'Be Lean'!K26</f>
        <v>243.69</v>
      </c>
      <c r="O27" s="100">
        <f>'Be Lean'!L26</f>
        <v>141.25</v>
      </c>
      <c r="P27" s="100">
        <f>'Be Lean'!M26</f>
        <v>0</v>
      </c>
      <c r="Q27" s="46">
        <f>IFERROR($G27*INDEX('Carbon factors'!$B$4:$B$10,MATCH($H27,Fuel_Type,0),1),"")</f>
        <v>43.390042918454931</v>
      </c>
      <c r="R27" s="47">
        <f>IFERROR($I27*INDEX('Carbon factors'!$B$4:$B$10,MATCH($J27,Fuel_Type,0),1),"")</f>
        <v>380.42188841201715</v>
      </c>
      <c r="S27" s="47" t="str">
        <f>IFERROR($K27*INDEX('Carbon factors'!$B$4:$B$10,MATCH($L27,Fuel_Type,0),1),"")</f>
        <v/>
      </c>
      <c r="T27" s="47" t="str">
        <f>IF(M27="","",M27*'Carbon factors'!$B$5)</f>
        <v/>
      </c>
      <c r="U27" s="47">
        <f>IF(N27="","",N27*'Carbon factors'!$B$5)</f>
        <v>126.47511</v>
      </c>
      <c r="V27" s="47">
        <f>IF(O27="","",O27*'Carbon factors'!$B$5)</f>
        <v>73.308750000000003</v>
      </c>
      <c r="W27" s="47">
        <f>IF(P27="","",P27*'Carbon factors'!$B$5)</f>
        <v>0</v>
      </c>
      <c r="X27" s="267">
        <f t="shared" si="3"/>
        <v>623.59579133047214</v>
      </c>
      <c r="Y27" s="49">
        <f>IFERROR($G27*INDEX('Carbon factors'!$C$4:$C$10,MATCH($H27,Fuel_Type,0),1),"")</f>
        <v>42.184763948497853</v>
      </c>
      <c r="Z27" s="47">
        <f>IFERROR($I27*INDEX('Carbon factors'!$C$4:$C$10,MATCH($J27,Fuel_Type,0),1),"")</f>
        <v>369.85461373390552</v>
      </c>
      <c r="AA27" s="47" t="str">
        <f>IFERROR($K27*INDEX('Carbon factors'!$C$4:$C$10,MATCH($L27,Fuel_Type,0),1),"")</f>
        <v/>
      </c>
      <c r="AB27" s="47" t="str">
        <f>IF(M27="","",M27*'Carbon factors'!$C$5)</f>
        <v/>
      </c>
      <c r="AC27" s="47">
        <f>IF(N27="","",N27*'Carbon factors'!$C$5)</f>
        <v>56.779769999999999</v>
      </c>
      <c r="AD27" s="47">
        <f>IF(O27="","",O27*'Carbon factors'!$C$5)</f>
        <v>32.911250000000003</v>
      </c>
      <c r="AE27" s="47">
        <f>IF(P27="","",P27*'Carbon factors'!$C$5)</f>
        <v>0</v>
      </c>
      <c r="AF27" s="222">
        <f t="shared" si="1"/>
        <v>501.73039768240335</v>
      </c>
      <c r="AG27" s="61">
        <f t="shared" si="2"/>
        <v>9.8378509349490848</v>
      </c>
    </row>
    <row r="28" spans="1:33" s="36" customFormat="1" ht="13.5" customHeight="1">
      <c r="A28" s="287" t="str">
        <f>IF(Baseline!A27="","",Baseline!A27)</f>
        <v>B5-A-13-01</v>
      </c>
      <c r="B28" s="141">
        <f>IF(Baseline!B27="","",Baseline!B27)</f>
        <v>57</v>
      </c>
      <c r="C28" s="141">
        <f>IF(Baseline!C27="","",Baseline!C27)</f>
        <v>2</v>
      </c>
      <c r="D28" s="288">
        <f>IF(Baseline!D27="","",Baseline!D27)</f>
        <v>114</v>
      </c>
      <c r="E28" s="96">
        <f t="shared" si="0"/>
        <v>15.772818511407273</v>
      </c>
      <c r="F28" s="100">
        <f>'Be Lean'!F27</f>
        <v>15.77</v>
      </c>
      <c r="G28" s="147">
        <f>'Be Lean'!G27</f>
        <v>1301.0515021459228</v>
      </c>
      <c r="H28" s="100" t="s">
        <v>11</v>
      </c>
      <c r="I28" s="100">
        <f>'Be Lean'!I27</f>
        <v>1835.3540772532187</v>
      </c>
      <c r="J28" s="100" t="s">
        <v>11</v>
      </c>
      <c r="K28" s="100"/>
      <c r="L28" s="100"/>
      <c r="M28" s="100"/>
      <c r="N28" s="100">
        <f>'Be Lean'!K27</f>
        <v>260.29000000000002</v>
      </c>
      <c r="O28" s="100">
        <f>'Be Lean'!L27</f>
        <v>166.66</v>
      </c>
      <c r="P28" s="100">
        <f>'Be Lean'!M27</f>
        <v>0</v>
      </c>
      <c r="Q28" s="46">
        <f>IFERROR($G28*INDEX('Carbon factors'!$B$4:$B$10,MATCH($H28,Fuel_Type,0),1),"")</f>
        <v>281.02712446351933</v>
      </c>
      <c r="R28" s="47">
        <f>IFERROR($I28*INDEX('Carbon factors'!$B$4:$B$10,MATCH($J28,Fuel_Type,0),1),"")</f>
        <v>396.43648068669523</v>
      </c>
      <c r="S28" s="47" t="str">
        <f>IFERROR($K28*INDEX('Carbon factors'!$B$4:$B$10,MATCH($L28,Fuel_Type,0),1),"")</f>
        <v/>
      </c>
      <c r="T28" s="47" t="str">
        <f>IF(M28="","",M28*'Carbon factors'!$B$5)</f>
        <v/>
      </c>
      <c r="U28" s="47">
        <f>IF(N28="","",N28*'Carbon factors'!$B$5)</f>
        <v>135.09051000000002</v>
      </c>
      <c r="V28" s="47">
        <f>IF(O28="","",O28*'Carbon factors'!$B$5)</f>
        <v>86.496539999999996</v>
      </c>
      <c r="W28" s="47">
        <f>IF(P28="","",P28*'Carbon factors'!$B$5)</f>
        <v>0</v>
      </c>
      <c r="X28" s="267">
        <f t="shared" si="3"/>
        <v>899.05065515021454</v>
      </c>
      <c r="Y28" s="49">
        <f>IFERROR($G28*INDEX('Carbon factors'!$C$4:$C$10,MATCH($H28,Fuel_Type,0),1),"")</f>
        <v>273.22081545064378</v>
      </c>
      <c r="Z28" s="47">
        <f>IFERROR($I28*INDEX('Carbon factors'!$C$4:$C$10,MATCH($J28,Fuel_Type,0),1),"")</f>
        <v>385.42435622317595</v>
      </c>
      <c r="AA28" s="47" t="str">
        <f>IFERROR($K28*INDEX('Carbon factors'!$C$4:$C$10,MATCH($L28,Fuel_Type,0),1),"")</f>
        <v/>
      </c>
      <c r="AB28" s="47" t="str">
        <f>IF(M28="","",M28*'Carbon factors'!$C$5)</f>
        <v/>
      </c>
      <c r="AC28" s="47">
        <f>IF(N28="","",N28*'Carbon factors'!$C$5)</f>
        <v>60.647570000000009</v>
      </c>
      <c r="AD28" s="47">
        <f>IF(O28="","",O28*'Carbon factors'!$C$5)</f>
        <v>38.831780000000002</v>
      </c>
      <c r="AE28" s="47">
        <f>IF(P28="","",P28*'Carbon factors'!$C$5)</f>
        <v>0</v>
      </c>
      <c r="AF28" s="222">
        <f t="shared" si="1"/>
        <v>758.12452167381969</v>
      </c>
      <c r="AG28" s="61">
        <f t="shared" si="2"/>
        <v>13.300430204803854</v>
      </c>
    </row>
    <row r="29" spans="1:33" s="36" customFormat="1" ht="13.5" customHeight="1">
      <c r="A29" s="287" t="str">
        <f>IF(Baseline!A28="","",Baseline!A28)</f>
        <v>B5-A-13-05</v>
      </c>
      <c r="B29" s="141">
        <f>IF(Baseline!B28="","",Baseline!B28)</f>
        <v>53</v>
      </c>
      <c r="C29" s="141">
        <f>IF(Baseline!C28="","",Baseline!C28)</f>
        <v>2</v>
      </c>
      <c r="D29" s="288">
        <f>IF(Baseline!D28="","",Baseline!D28)</f>
        <v>106</v>
      </c>
      <c r="E29" s="96">
        <f t="shared" si="0"/>
        <v>18.829144535589926</v>
      </c>
      <c r="F29" s="100">
        <f>'Be Lean'!F28</f>
        <v>18.829999999999998</v>
      </c>
      <c r="G29" s="147">
        <f>'Be Lean'!G28</f>
        <v>1858.9914163090127</v>
      </c>
      <c r="H29" s="100" t="s">
        <v>11</v>
      </c>
      <c r="I29" s="100">
        <f>'Be Lean'!I28</f>
        <v>1786.0515021459228</v>
      </c>
      <c r="J29" s="100" t="s">
        <v>11</v>
      </c>
      <c r="K29" s="100"/>
      <c r="L29" s="100"/>
      <c r="M29" s="100"/>
      <c r="N29" s="100">
        <f>'Be Lean'!K28</f>
        <v>244.06</v>
      </c>
      <c r="O29" s="100">
        <f>'Be Lean'!L28</f>
        <v>161.75</v>
      </c>
      <c r="P29" s="100">
        <f>'Be Lean'!M28</f>
        <v>0</v>
      </c>
      <c r="Q29" s="46">
        <f>IFERROR($G29*INDEX('Carbon factors'!$B$4:$B$10,MATCH($H29,Fuel_Type,0),1),"")</f>
        <v>401.54214592274673</v>
      </c>
      <c r="R29" s="47">
        <f>IFERROR($I29*INDEX('Carbon factors'!$B$4:$B$10,MATCH($J29,Fuel_Type,0),1),"")</f>
        <v>385.78712446351932</v>
      </c>
      <c r="S29" s="47" t="str">
        <f>IFERROR($K29*INDEX('Carbon factors'!$B$4:$B$10,MATCH($L29,Fuel_Type,0),1),"")</f>
        <v/>
      </c>
      <c r="T29" s="47" t="str">
        <f>IF(M29="","",M29*'Carbon factors'!$B$5)</f>
        <v/>
      </c>
      <c r="U29" s="47">
        <f>IF(N29="","",N29*'Carbon factors'!$B$5)</f>
        <v>126.66714</v>
      </c>
      <c r="V29" s="47">
        <f>IF(O29="","",O29*'Carbon factors'!$B$5)</f>
        <v>83.948250000000002</v>
      </c>
      <c r="W29" s="47">
        <f>IF(P29="","",P29*'Carbon factors'!$B$5)</f>
        <v>0</v>
      </c>
      <c r="X29" s="267">
        <f t="shared" si="3"/>
        <v>997.94466038626604</v>
      </c>
      <c r="Y29" s="49">
        <f>IFERROR($G29*INDEX('Carbon factors'!$C$4:$C$10,MATCH($H29,Fuel_Type,0),1),"")</f>
        <v>390.38819742489267</v>
      </c>
      <c r="Z29" s="47">
        <f>IFERROR($I29*INDEX('Carbon factors'!$C$4:$C$10,MATCH($J29,Fuel_Type,0),1),"")</f>
        <v>375.07081545064375</v>
      </c>
      <c r="AA29" s="47" t="str">
        <f>IFERROR($K29*INDEX('Carbon factors'!$C$4:$C$10,MATCH($L29,Fuel_Type,0),1),"")</f>
        <v/>
      </c>
      <c r="AB29" s="47" t="str">
        <f>IF(M29="","",M29*'Carbon factors'!$C$5)</f>
        <v/>
      </c>
      <c r="AC29" s="47">
        <f>IF(N29="","",N29*'Carbon factors'!$C$5)</f>
        <v>56.86598</v>
      </c>
      <c r="AD29" s="47">
        <f>IF(O29="","",O29*'Carbon factors'!$C$5)</f>
        <v>37.687750000000001</v>
      </c>
      <c r="AE29" s="47">
        <f>IF(P29="","",P29*'Carbon factors'!$C$5)</f>
        <v>0</v>
      </c>
      <c r="AF29" s="222">
        <f t="shared" si="1"/>
        <v>860.01274287553656</v>
      </c>
      <c r="AG29" s="61">
        <f t="shared" si="2"/>
        <v>16.226655525953522</v>
      </c>
    </row>
    <row r="30" spans="1:33" s="36" customFormat="1" ht="13.5" customHeight="1">
      <c r="A30" s="287" t="str">
        <f>IF(Baseline!A29="","",Baseline!A29)</f>
        <v>B3-A-02-01</v>
      </c>
      <c r="B30" s="141">
        <f>IF(Baseline!B29="","",Baseline!B29)</f>
        <v>62</v>
      </c>
      <c r="C30" s="141">
        <f>IF(Baseline!C29="","",Baseline!C29)</f>
        <v>1</v>
      </c>
      <c r="D30" s="288">
        <f>IF(Baseline!D29="","",Baseline!D29)</f>
        <v>62</v>
      </c>
      <c r="E30" s="96">
        <f t="shared" si="0"/>
        <v>15.748165576630209</v>
      </c>
      <c r="F30" s="100">
        <f>'Be Lean'!F29</f>
        <v>15.75</v>
      </c>
      <c r="G30" s="147">
        <f>'Be Lean'!G29</f>
        <v>1349.4313304721029</v>
      </c>
      <c r="H30" s="100" t="s">
        <v>11</v>
      </c>
      <c r="I30" s="100">
        <f>'Be Lean'!I29</f>
        <v>1895.0965665236051</v>
      </c>
      <c r="J30" s="100" t="s">
        <v>11</v>
      </c>
      <c r="K30" s="100"/>
      <c r="L30" s="100"/>
      <c r="M30" s="100"/>
      <c r="N30" s="100">
        <f>'Be Lean'!K29</f>
        <v>280.19</v>
      </c>
      <c r="O30" s="100">
        <f>'Be Lean'!L29</f>
        <v>179.72</v>
      </c>
      <c r="P30" s="100">
        <f>'Be Lean'!M29</f>
        <v>71.05</v>
      </c>
      <c r="Q30" s="46">
        <f>IFERROR($G30*INDEX('Carbon factors'!$B$4:$B$10,MATCH($H30,Fuel_Type,0),1),"")</f>
        <v>291.4771673819742</v>
      </c>
      <c r="R30" s="47">
        <f>IFERROR($I30*INDEX('Carbon factors'!$B$4:$B$10,MATCH($J30,Fuel_Type,0),1),"")</f>
        <v>409.34085836909873</v>
      </c>
      <c r="S30" s="47" t="str">
        <f>IFERROR($K30*INDEX('Carbon factors'!$B$4:$B$10,MATCH($L30,Fuel_Type,0),1),"")</f>
        <v/>
      </c>
      <c r="T30" s="47" t="str">
        <f>IF(M30="","",M30*'Carbon factors'!$B$5)</f>
        <v/>
      </c>
      <c r="U30" s="47">
        <f>IF(N30="","",N30*'Carbon factors'!$B$5)</f>
        <v>145.41861</v>
      </c>
      <c r="V30" s="47">
        <f>IF(O30="","",O30*'Carbon factors'!$B$5)</f>
        <v>93.274680000000004</v>
      </c>
      <c r="W30" s="47">
        <f>IF(P30="","",P30*'Carbon factors'!$B$5)</f>
        <v>36.874949999999998</v>
      </c>
      <c r="X30" s="267">
        <f t="shared" si="3"/>
        <v>976.38626575107298</v>
      </c>
      <c r="Y30" s="49">
        <f>IFERROR($G30*INDEX('Carbon factors'!$C$4:$C$10,MATCH($H30,Fuel_Type,0),1),"")</f>
        <v>283.3805793991416</v>
      </c>
      <c r="Z30" s="47">
        <f>IFERROR($I30*INDEX('Carbon factors'!$C$4:$C$10,MATCH($J30,Fuel_Type,0),1),"")</f>
        <v>397.97027896995706</v>
      </c>
      <c r="AA30" s="47" t="str">
        <f>IFERROR($K30*INDEX('Carbon factors'!$C$4:$C$10,MATCH($L30,Fuel_Type,0),1),"")</f>
        <v/>
      </c>
      <c r="AB30" s="47" t="str">
        <f>IF(M30="","",M30*'Carbon factors'!$C$5)</f>
        <v/>
      </c>
      <c r="AC30" s="47">
        <f>IF(N30="","",N30*'Carbon factors'!$C$5)</f>
        <v>65.284270000000006</v>
      </c>
      <c r="AD30" s="47">
        <f>IF(O30="","",O30*'Carbon factors'!$C$5)</f>
        <v>41.874760000000002</v>
      </c>
      <c r="AE30" s="47">
        <f>IF(P30="","",P30*'Carbon factors'!$C$5)</f>
        <v>16.554649999999999</v>
      </c>
      <c r="AF30" s="222">
        <f t="shared" si="1"/>
        <v>805.06453836909873</v>
      </c>
      <c r="AG30" s="61">
        <f t="shared" si="2"/>
        <v>12.984911909179012</v>
      </c>
    </row>
    <row r="31" spans="1:33" s="36" customFormat="1" ht="13.5" customHeight="1">
      <c r="A31" s="287" t="str">
        <f>IF(Baseline!A30="","",Baseline!A30)</f>
        <v>B3-A-02-02</v>
      </c>
      <c r="B31" s="141">
        <f>IF(Baseline!B30="","",Baseline!B30)</f>
        <v>57</v>
      </c>
      <c r="C31" s="141">
        <f>IF(Baseline!C30="","",Baseline!C30)</f>
        <v>3</v>
      </c>
      <c r="D31" s="288">
        <f>IF(Baseline!D30="","",Baseline!D30)</f>
        <v>171</v>
      </c>
      <c r="E31" s="96">
        <f t="shared" si="0"/>
        <v>15.200823584820419</v>
      </c>
      <c r="F31" s="100">
        <f>'Be Lean'!F30</f>
        <v>15.2</v>
      </c>
      <c r="G31" s="147">
        <f>'Be Lean'!G30</f>
        <v>974.84978540772534</v>
      </c>
      <c r="H31" s="100" t="s">
        <v>11</v>
      </c>
      <c r="I31" s="100">
        <f>'Be Lean'!I30</f>
        <v>1835.3540772532187</v>
      </c>
      <c r="J31" s="100" t="s">
        <v>11</v>
      </c>
      <c r="K31" s="100"/>
      <c r="L31" s="100"/>
      <c r="M31" s="100"/>
      <c r="N31" s="100">
        <f>'Be Lean'!K30</f>
        <v>260.29000000000002</v>
      </c>
      <c r="O31" s="100">
        <f>'Be Lean'!L30</f>
        <v>163.62</v>
      </c>
      <c r="P31" s="100">
        <f>'Be Lean'!M30</f>
        <v>75.98</v>
      </c>
      <c r="Q31" s="46">
        <f>IFERROR($G31*INDEX('Carbon factors'!$B$4:$B$10,MATCH($H31,Fuel_Type,0),1),"")</f>
        <v>210.56755364806867</v>
      </c>
      <c r="R31" s="47">
        <f>IFERROR($I31*INDEX('Carbon factors'!$B$4:$B$10,MATCH($J31,Fuel_Type,0),1),"")</f>
        <v>396.43648068669523</v>
      </c>
      <c r="S31" s="47" t="str">
        <f>IFERROR($K31*INDEX('Carbon factors'!$B$4:$B$10,MATCH($L31,Fuel_Type,0),1),"")</f>
        <v/>
      </c>
      <c r="T31" s="47" t="str">
        <f>IF(M31="","",M31*'Carbon factors'!$B$5)</f>
        <v/>
      </c>
      <c r="U31" s="47">
        <f>IF(N31="","",N31*'Carbon factors'!$B$5)</f>
        <v>135.09051000000002</v>
      </c>
      <c r="V31" s="47">
        <f>IF(O31="","",O31*'Carbon factors'!$B$5)</f>
        <v>84.918779999999998</v>
      </c>
      <c r="W31" s="47">
        <f>IF(P31="","",P31*'Carbon factors'!$B$5)</f>
        <v>39.433620000000005</v>
      </c>
      <c r="X31" s="267">
        <f t="shared" si="3"/>
        <v>866.44694433476388</v>
      </c>
      <c r="Y31" s="49">
        <f>IFERROR($G31*INDEX('Carbon factors'!$C$4:$C$10,MATCH($H31,Fuel_Type,0),1),"")</f>
        <v>204.7184549356223</v>
      </c>
      <c r="Z31" s="47">
        <f>IFERROR($I31*INDEX('Carbon factors'!$C$4:$C$10,MATCH($J31,Fuel_Type,0),1),"")</f>
        <v>385.42435622317595</v>
      </c>
      <c r="AA31" s="47" t="str">
        <f>IFERROR($K31*INDEX('Carbon factors'!$C$4:$C$10,MATCH($L31,Fuel_Type,0),1),"")</f>
        <v/>
      </c>
      <c r="AB31" s="47" t="str">
        <f>IF(M31="","",M31*'Carbon factors'!$C$5)</f>
        <v/>
      </c>
      <c r="AC31" s="47">
        <f>IF(N31="","",N31*'Carbon factors'!$C$5)</f>
        <v>60.647570000000009</v>
      </c>
      <c r="AD31" s="47">
        <f>IF(O31="","",O31*'Carbon factors'!$C$5)</f>
        <v>38.123460000000001</v>
      </c>
      <c r="AE31" s="47">
        <f>IF(P31="","",P31*'Carbon factors'!$C$5)</f>
        <v>17.703340000000001</v>
      </c>
      <c r="AF31" s="222">
        <f t="shared" si="1"/>
        <v>706.6171811587983</v>
      </c>
      <c r="AG31" s="61">
        <f t="shared" si="2"/>
        <v>12.396792651908742</v>
      </c>
    </row>
    <row r="32" spans="1:33" s="36" customFormat="1" ht="13.5" customHeight="1">
      <c r="A32" s="287" t="str">
        <f>IF(Baseline!A31="","",Baseline!A31)</f>
        <v>B3-A-02-06</v>
      </c>
      <c r="B32" s="141">
        <f>IF(Baseline!B31="","",Baseline!B31)</f>
        <v>71</v>
      </c>
      <c r="C32" s="141">
        <f>IF(Baseline!C31="","",Baseline!C31)</f>
        <v>5</v>
      </c>
      <c r="D32" s="288">
        <f>IF(Baseline!D31="","",Baseline!D31)</f>
        <v>355</v>
      </c>
      <c r="E32" s="96">
        <f t="shared" si="0"/>
        <v>17.30946412198513</v>
      </c>
      <c r="F32" s="100">
        <f>'Be Lean'!F31</f>
        <v>17.309999999999999</v>
      </c>
      <c r="G32" s="147">
        <f>'Be Lean'!G31</f>
        <v>2281.1802575107295</v>
      </c>
      <c r="H32" s="100" t="s">
        <v>11</v>
      </c>
      <c r="I32" s="100">
        <f>'Be Lean'!I31</f>
        <v>1993.0042918454935</v>
      </c>
      <c r="J32" s="100" t="s">
        <v>11</v>
      </c>
      <c r="K32" s="100"/>
      <c r="L32" s="100"/>
      <c r="M32" s="100"/>
      <c r="N32" s="100">
        <f>'Be Lean'!K31</f>
        <v>314.29000000000002</v>
      </c>
      <c r="O32" s="100">
        <f>'Be Lean'!L31</f>
        <v>211.02</v>
      </c>
      <c r="P32" s="100">
        <f>'Be Lean'!M31</f>
        <v>63.8</v>
      </c>
      <c r="Q32" s="46">
        <f>IFERROR($G32*INDEX('Carbon factors'!$B$4:$B$10,MATCH($H32,Fuel_Type,0),1),"")</f>
        <v>492.73493562231755</v>
      </c>
      <c r="R32" s="47">
        <f>IFERROR($I32*INDEX('Carbon factors'!$B$4:$B$10,MATCH($J32,Fuel_Type,0),1),"")</f>
        <v>430.48892703862657</v>
      </c>
      <c r="S32" s="47" t="str">
        <f>IFERROR($K32*INDEX('Carbon factors'!$B$4:$B$10,MATCH($L32,Fuel_Type,0),1),"")</f>
        <v/>
      </c>
      <c r="T32" s="47" t="str">
        <f>IF(M32="","",M32*'Carbon factors'!$B$5)</f>
        <v/>
      </c>
      <c r="U32" s="47">
        <f>IF(N32="","",N32*'Carbon factors'!$B$5)</f>
        <v>163.11651000000001</v>
      </c>
      <c r="V32" s="47">
        <f>IF(O32="","",O32*'Carbon factors'!$B$5)</f>
        <v>109.51938000000001</v>
      </c>
      <c r="W32" s="47">
        <f>IF(P32="","",P32*'Carbon factors'!$B$5)</f>
        <v>33.112200000000001</v>
      </c>
      <c r="X32" s="267">
        <f t="shared" si="3"/>
        <v>1228.9719526609442</v>
      </c>
      <c r="Y32" s="49">
        <f>IFERROR($G32*INDEX('Carbon factors'!$C$4:$C$10,MATCH($H32,Fuel_Type,0),1),"")</f>
        <v>479.04785407725319</v>
      </c>
      <c r="Z32" s="47">
        <f>IFERROR($I32*INDEX('Carbon factors'!$C$4:$C$10,MATCH($J32,Fuel_Type,0),1),"")</f>
        <v>418.5309012875536</v>
      </c>
      <c r="AA32" s="47" t="str">
        <f>IFERROR($K32*INDEX('Carbon factors'!$C$4:$C$10,MATCH($L32,Fuel_Type,0),1),"")</f>
        <v/>
      </c>
      <c r="AB32" s="47" t="str">
        <f>IF(M32="","",M32*'Carbon factors'!$C$5)</f>
        <v/>
      </c>
      <c r="AC32" s="47">
        <f>IF(N32="","",N32*'Carbon factors'!$C$5)</f>
        <v>73.22957000000001</v>
      </c>
      <c r="AD32" s="47">
        <f>IF(O32="","",O32*'Carbon factors'!$C$5)</f>
        <v>49.167660000000005</v>
      </c>
      <c r="AE32" s="47">
        <f>IF(P32="","",P32*'Carbon factors'!$C$5)</f>
        <v>14.865399999999999</v>
      </c>
      <c r="AF32" s="222">
        <f t="shared" si="1"/>
        <v>1034.8413853648067</v>
      </c>
      <c r="AG32" s="61">
        <f t="shared" si="2"/>
        <v>14.575230779786009</v>
      </c>
    </row>
    <row r="33" spans="1:33" s="36" customFormat="1" ht="13.5" customHeight="1">
      <c r="A33" s="287" t="str">
        <f>IF(Baseline!A32="","",Baseline!A32)</f>
        <v>B3-A-02-08</v>
      </c>
      <c r="B33" s="141">
        <f>IF(Baseline!B32="","",Baseline!B32)</f>
        <v>83</v>
      </c>
      <c r="C33" s="141">
        <f>IF(Baseline!C32="","",Baseline!C32)</f>
        <v>1</v>
      </c>
      <c r="D33" s="288">
        <f>IF(Baseline!D32="","",Baseline!D32)</f>
        <v>83</v>
      </c>
      <c r="E33" s="96">
        <f t="shared" si="0"/>
        <v>16.018481831532135</v>
      </c>
      <c r="F33" s="100">
        <f>'Be Lean'!F32</f>
        <v>16.02</v>
      </c>
      <c r="G33" s="147">
        <f>'Be Lean'!G32</f>
        <v>2470.3862660944205</v>
      </c>
      <c r="H33" s="100" t="s">
        <v>11</v>
      </c>
      <c r="I33" s="100">
        <f>'Be Lean'!I32</f>
        <v>2097.0600858369098</v>
      </c>
      <c r="J33" s="100" t="s">
        <v>11</v>
      </c>
      <c r="K33" s="100"/>
      <c r="L33" s="100"/>
      <c r="M33" s="100"/>
      <c r="N33" s="100">
        <f>'Be Lean'!K32</f>
        <v>355.19</v>
      </c>
      <c r="O33" s="100">
        <f>'Be Lean'!L32</f>
        <v>242.69</v>
      </c>
      <c r="P33" s="100">
        <f>'Be Lean'!M32</f>
        <v>62.94</v>
      </c>
      <c r="Q33" s="46">
        <f>IFERROR($G33*INDEX('Carbon factors'!$B$4:$B$10,MATCH($H33,Fuel_Type,0),1),"")</f>
        <v>533.6034334763948</v>
      </c>
      <c r="R33" s="47">
        <f>IFERROR($I33*INDEX('Carbon factors'!$B$4:$B$10,MATCH($J33,Fuel_Type,0),1),"")</f>
        <v>452.96497854077251</v>
      </c>
      <c r="S33" s="47" t="str">
        <f>IFERROR($K33*INDEX('Carbon factors'!$B$4:$B$10,MATCH($L33,Fuel_Type,0),1),"")</f>
        <v/>
      </c>
      <c r="T33" s="47" t="str">
        <f>IF(M33="","",M33*'Carbon factors'!$B$5)</f>
        <v/>
      </c>
      <c r="U33" s="47">
        <f>IF(N33="","",N33*'Carbon factors'!$B$5)</f>
        <v>184.34361000000001</v>
      </c>
      <c r="V33" s="47">
        <f>IF(O33="","",O33*'Carbon factors'!$B$5)</f>
        <v>125.95611000000001</v>
      </c>
      <c r="W33" s="47">
        <f>IF(P33="","",P33*'Carbon factors'!$B$5)</f>
        <v>32.665860000000002</v>
      </c>
      <c r="X33" s="267">
        <f t="shared" si="3"/>
        <v>1329.5339920171673</v>
      </c>
      <c r="Y33" s="49">
        <f>IFERROR($G33*INDEX('Carbon factors'!$C$4:$C$10,MATCH($H33,Fuel_Type,0),1),"")</f>
        <v>518.78111587982835</v>
      </c>
      <c r="Z33" s="47">
        <f>IFERROR($I33*INDEX('Carbon factors'!$C$4:$C$10,MATCH($J33,Fuel_Type,0),1),"")</f>
        <v>440.38261802575107</v>
      </c>
      <c r="AA33" s="47" t="str">
        <f>IFERROR($K33*INDEX('Carbon factors'!$C$4:$C$10,MATCH($L33,Fuel_Type,0),1),"")</f>
        <v/>
      </c>
      <c r="AB33" s="47" t="str">
        <f>IF(M33="","",M33*'Carbon factors'!$C$5)</f>
        <v/>
      </c>
      <c r="AC33" s="47">
        <f>IF(N33="","",N33*'Carbon factors'!$C$5)</f>
        <v>82.759270000000001</v>
      </c>
      <c r="AD33" s="47">
        <f>IF(O33="","",O33*'Carbon factors'!$C$5)</f>
        <v>56.546770000000002</v>
      </c>
      <c r="AE33" s="47">
        <f>IF(P33="","",P33*'Carbon factors'!$C$5)</f>
        <v>14.66502</v>
      </c>
      <c r="AF33" s="222">
        <f t="shared" si="1"/>
        <v>1113.1347939055793</v>
      </c>
      <c r="AG33" s="61">
        <f t="shared" si="2"/>
        <v>13.411262577175654</v>
      </c>
    </row>
    <row r="34" spans="1:33" s="36" customFormat="1" ht="13.5" customHeight="1">
      <c r="A34" s="287" t="str">
        <f>IF(Baseline!A33="","",Baseline!A33)</f>
        <v>B3-A-03-01</v>
      </c>
      <c r="B34" s="141">
        <f>IF(Baseline!B33="","",Baseline!B33)</f>
        <v>62</v>
      </c>
      <c r="C34" s="141">
        <f>IF(Baseline!C33="","",Baseline!C33)</f>
        <v>16</v>
      </c>
      <c r="D34" s="288">
        <f>IF(Baseline!D33="","",Baseline!D33)</f>
        <v>992</v>
      </c>
      <c r="E34" s="96">
        <f t="shared" si="0"/>
        <v>12.726285764225391</v>
      </c>
      <c r="F34" s="100">
        <f>'Be Lean'!F33</f>
        <v>12.73</v>
      </c>
      <c r="G34" s="147">
        <f>'Be Lean'!G33</f>
        <v>456.83476394849782</v>
      </c>
      <c r="H34" s="100" t="s">
        <v>11</v>
      </c>
      <c r="I34" s="100">
        <f>'Be Lean'!I33</f>
        <v>1895.0965665236051</v>
      </c>
      <c r="J34" s="100" t="s">
        <v>11</v>
      </c>
      <c r="K34" s="100"/>
      <c r="L34" s="100"/>
      <c r="M34" s="100"/>
      <c r="N34" s="100">
        <f>'Be Lean'!K33</f>
        <v>280.19</v>
      </c>
      <c r="O34" s="100">
        <f>'Be Lean'!L33</f>
        <v>171.39999999999998</v>
      </c>
      <c r="P34" s="100">
        <f>'Be Lean'!M33</f>
        <v>89.86</v>
      </c>
      <c r="Q34" s="46">
        <f>IFERROR($G34*INDEX('Carbon factors'!$B$4:$B$10,MATCH($H34,Fuel_Type,0),1),"")</f>
        <v>98.676309012875535</v>
      </c>
      <c r="R34" s="47">
        <f>IFERROR($I34*INDEX('Carbon factors'!$B$4:$B$10,MATCH($J34,Fuel_Type,0),1),"")</f>
        <v>409.34085836909873</v>
      </c>
      <c r="S34" s="47" t="str">
        <f>IFERROR($K34*INDEX('Carbon factors'!$B$4:$B$10,MATCH($L34,Fuel_Type,0),1),"")</f>
        <v/>
      </c>
      <c r="T34" s="47" t="str">
        <f>IF(M34="","",M34*'Carbon factors'!$B$5)</f>
        <v/>
      </c>
      <c r="U34" s="47">
        <f>IF(N34="","",N34*'Carbon factors'!$B$5)</f>
        <v>145.41861</v>
      </c>
      <c r="V34" s="47">
        <f>IF(O34="","",O34*'Carbon factors'!$B$5)</f>
        <v>88.956599999999995</v>
      </c>
      <c r="W34" s="47">
        <f>IF(P34="","",P34*'Carbon factors'!$B$5)</f>
        <v>46.637340000000002</v>
      </c>
      <c r="X34" s="267">
        <f t="shared" si="3"/>
        <v>789.02971738197425</v>
      </c>
      <c r="Y34" s="49">
        <f>IFERROR($G34*INDEX('Carbon factors'!$C$4:$C$10,MATCH($H34,Fuel_Type,0),1),"")</f>
        <v>95.935300429184537</v>
      </c>
      <c r="Z34" s="47">
        <f>IFERROR($I34*INDEX('Carbon factors'!$C$4:$C$10,MATCH($J34,Fuel_Type,0),1),"")</f>
        <v>397.97027896995706</v>
      </c>
      <c r="AA34" s="47" t="str">
        <f>IFERROR($K34*INDEX('Carbon factors'!$C$4:$C$10,MATCH($L34,Fuel_Type,0),1),"")</f>
        <v/>
      </c>
      <c r="AB34" s="47" t="str">
        <f>IF(M34="","",M34*'Carbon factors'!$C$5)</f>
        <v/>
      </c>
      <c r="AC34" s="47">
        <f>IF(N34="","",N34*'Carbon factors'!$C$5)</f>
        <v>65.284270000000006</v>
      </c>
      <c r="AD34" s="47">
        <f>IF(O34="","",O34*'Carbon factors'!$C$5)</f>
        <v>39.936199999999999</v>
      </c>
      <c r="AE34" s="47">
        <f>IF(P34="","",P34*'Carbon factors'!$C$5)</f>
        <v>20.937380000000001</v>
      </c>
      <c r="AF34" s="222">
        <f t="shared" si="1"/>
        <v>620.06342939914157</v>
      </c>
      <c r="AG34" s="61">
        <f t="shared" si="2"/>
        <v>10.001023054824865</v>
      </c>
    </row>
    <row r="35" spans="1:33" s="36" customFormat="1" ht="13.5" customHeight="1">
      <c r="A35" s="287" t="str">
        <f>IF(Baseline!A34="","",Baseline!A34)</f>
        <v>B3-A-03-02</v>
      </c>
      <c r="B35" s="141">
        <f>IF(Baseline!B34="","",Baseline!B34)</f>
        <v>57</v>
      </c>
      <c r="C35" s="141">
        <f>IF(Baseline!C34="","",Baseline!C34)</f>
        <v>34</v>
      </c>
      <c r="D35" s="288">
        <f>IF(Baseline!D34="","",Baseline!D34)</f>
        <v>1938</v>
      </c>
      <c r="E35" s="96">
        <f t="shared" si="0"/>
        <v>12.235618617573978</v>
      </c>
      <c r="F35" s="100">
        <f>'Be Lean'!F34</f>
        <v>12.24</v>
      </c>
      <c r="G35" s="147">
        <f>'Be Lean'!G34</f>
        <v>210.89055793991415</v>
      </c>
      <c r="H35" s="100" t="s">
        <v>11</v>
      </c>
      <c r="I35" s="100">
        <f>'Be Lean'!I34</f>
        <v>1835.3540772532187</v>
      </c>
      <c r="J35" s="100" t="s">
        <v>11</v>
      </c>
      <c r="K35" s="100"/>
      <c r="L35" s="100"/>
      <c r="M35" s="100"/>
      <c r="N35" s="100">
        <f>'Be Lean'!K34</f>
        <v>260.83</v>
      </c>
      <c r="O35" s="100">
        <f>'Be Lean'!L34</f>
        <v>156.5</v>
      </c>
      <c r="P35" s="100">
        <f>'Be Lean'!M34</f>
        <v>74.849999999999994</v>
      </c>
      <c r="Q35" s="46">
        <f>IFERROR($G35*INDEX('Carbon factors'!$B$4:$B$10,MATCH($H35,Fuel_Type,0),1),"")</f>
        <v>45.552360515021455</v>
      </c>
      <c r="R35" s="47">
        <f>IFERROR($I35*INDEX('Carbon factors'!$B$4:$B$10,MATCH($J35,Fuel_Type,0),1),"")</f>
        <v>396.43648068669523</v>
      </c>
      <c r="S35" s="47" t="str">
        <f>IFERROR($K35*INDEX('Carbon factors'!$B$4:$B$10,MATCH($L35,Fuel_Type,0),1),"")</f>
        <v/>
      </c>
      <c r="T35" s="47" t="str">
        <f>IF(M35="","",M35*'Carbon factors'!$B$5)</f>
        <v/>
      </c>
      <c r="U35" s="47">
        <f>IF(N35="","",N35*'Carbon factors'!$B$5)</f>
        <v>135.37076999999999</v>
      </c>
      <c r="V35" s="47">
        <f>IF(O35="","",O35*'Carbon factors'!$B$5)</f>
        <v>81.223500000000001</v>
      </c>
      <c r="W35" s="47">
        <f>IF(P35="","",P35*'Carbon factors'!$B$5)</f>
        <v>38.847149999999999</v>
      </c>
      <c r="X35" s="267">
        <f t="shared" si="3"/>
        <v>697.4302612017168</v>
      </c>
      <c r="Y35" s="49">
        <f>IFERROR($G35*INDEX('Carbon factors'!$C$4:$C$10,MATCH($H35,Fuel_Type,0),1),"")</f>
        <v>44.287017167381968</v>
      </c>
      <c r="Z35" s="47">
        <f>IFERROR($I35*INDEX('Carbon factors'!$C$4:$C$10,MATCH($J35,Fuel_Type,0),1),"")</f>
        <v>385.42435622317595</v>
      </c>
      <c r="AA35" s="47" t="str">
        <f>IFERROR($K35*INDEX('Carbon factors'!$C$4:$C$10,MATCH($L35,Fuel_Type,0),1),"")</f>
        <v/>
      </c>
      <c r="AB35" s="47" t="str">
        <f>IF(M35="","",M35*'Carbon factors'!$C$5)</f>
        <v/>
      </c>
      <c r="AC35" s="47">
        <f>IF(N35="","",N35*'Carbon factors'!$C$5)</f>
        <v>60.773389999999999</v>
      </c>
      <c r="AD35" s="47">
        <f>IF(O35="","",O35*'Carbon factors'!$C$5)</f>
        <v>36.464500000000001</v>
      </c>
      <c r="AE35" s="47">
        <f>IF(P35="","",P35*'Carbon factors'!$C$5)</f>
        <v>17.440049999999999</v>
      </c>
      <c r="AF35" s="222">
        <f t="shared" si="1"/>
        <v>544.38931339055796</v>
      </c>
      <c r="AG35" s="61">
        <f t="shared" si="2"/>
        <v>9.5506897086062796</v>
      </c>
    </row>
    <row r="36" spans="1:33" s="36" customFormat="1" ht="13.5" customHeight="1">
      <c r="A36" s="287" t="str">
        <f>IF(Baseline!A35="","",Baseline!A35)</f>
        <v>B3-A-03-07</v>
      </c>
      <c r="B36" s="141">
        <f>IF(Baseline!B35="","",Baseline!B35)</f>
        <v>78</v>
      </c>
      <c r="C36" s="141">
        <f>IF(Baseline!C35="","",Baseline!C35)</f>
        <v>22</v>
      </c>
      <c r="D36" s="288">
        <f>IF(Baseline!D35="","",Baseline!D35)</f>
        <v>1716</v>
      </c>
      <c r="E36" s="96">
        <f t="shared" si="0"/>
        <v>14.091496954440409</v>
      </c>
      <c r="F36" s="100">
        <f>'Be Lean'!F35</f>
        <v>14.09</v>
      </c>
      <c r="G36" s="147">
        <f>'Be Lean'!G35</f>
        <v>1550.9120171673819</v>
      </c>
      <c r="H36" s="100" t="s">
        <v>11</v>
      </c>
      <c r="I36" s="100">
        <f>'Be Lean'!I35</f>
        <v>2057.6931330472103</v>
      </c>
      <c r="J36" s="100" t="s">
        <v>11</v>
      </c>
      <c r="K36" s="100"/>
      <c r="L36" s="100"/>
      <c r="M36" s="100"/>
      <c r="N36" s="100">
        <f>'Be Lean'!K35</f>
        <v>338.83</v>
      </c>
      <c r="O36" s="100">
        <f>'Be Lean'!L35</f>
        <v>221.69</v>
      </c>
      <c r="P36" s="100">
        <f>'Be Lean'!M35</f>
        <v>55.43</v>
      </c>
      <c r="Q36" s="46">
        <f>IFERROR($G36*INDEX('Carbon factors'!$B$4:$B$10,MATCH($H36,Fuel_Type,0),1),"")</f>
        <v>334.99699570815449</v>
      </c>
      <c r="R36" s="47">
        <f>IFERROR($I36*INDEX('Carbon factors'!$B$4:$B$10,MATCH($J36,Fuel_Type,0),1),"")</f>
        <v>444.46171673819742</v>
      </c>
      <c r="S36" s="47" t="str">
        <f>IFERROR($K36*INDEX('Carbon factors'!$B$4:$B$10,MATCH($L36,Fuel_Type,0),1),"")</f>
        <v/>
      </c>
      <c r="T36" s="47" t="str">
        <f>IF(M36="","",M36*'Carbon factors'!$B$5)</f>
        <v/>
      </c>
      <c r="U36" s="47">
        <f>IF(N36="","",N36*'Carbon factors'!$B$5)</f>
        <v>175.85276999999999</v>
      </c>
      <c r="V36" s="47">
        <f>IF(O36="","",O36*'Carbon factors'!$B$5)</f>
        <v>115.05711000000001</v>
      </c>
      <c r="W36" s="47">
        <f>IF(P36="","",P36*'Carbon factors'!$B$5)</f>
        <v>28.768170000000001</v>
      </c>
      <c r="X36" s="267">
        <f t="shared" si="3"/>
        <v>1099.1367624463519</v>
      </c>
      <c r="Y36" s="49">
        <f>IFERROR($G36*INDEX('Carbon factors'!$C$4:$C$10,MATCH($H36,Fuel_Type,0),1),"")</f>
        <v>325.69152360515017</v>
      </c>
      <c r="Z36" s="47">
        <f>IFERROR($I36*INDEX('Carbon factors'!$C$4:$C$10,MATCH($J36,Fuel_Type,0),1),"")</f>
        <v>432.11555793991414</v>
      </c>
      <c r="AA36" s="47" t="str">
        <f>IFERROR($K36*INDEX('Carbon factors'!$C$4:$C$10,MATCH($L36,Fuel_Type,0),1),"")</f>
        <v/>
      </c>
      <c r="AB36" s="47" t="str">
        <f>IF(M36="","",M36*'Carbon factors'!$C$5)</f>
        <v/>
      </c>
      <c r="AC36" s="47">
        <f>IF(N36="","",N36*'Carbon factors'!$C$5)</f>
        <v>78.947389999999999</v>
      </c>
      <c r="AD36" s="47">
        <f>IF(O36="","",O36*'Carbon factors'!$C$5)</f>
        <v>51.653770000000002</v>
      </c>
      <c r="AE36" s="47">
        <f>IF(P36="","",P36*'Carbon factors'!$C$5)</f>
        <v>12.915190000000001</v>
      </c>
      <c r="AF36" s="222">
        <f t="shared" si="1"/>
        <v>901.32343154506441</v>
      </c>
      <c r="AG36" s="61">
        <f t="shared" si="2"/>
        <v>11.555428609552107</v>
      </c>
    </row>
    <row r="37" spans="1:33" s="36" customFormat="1" ht="13.5" customHeight="1">
      <c r="A37" s="287" t="str">
        <f>IF(Baseline!A36="","",Baseline!A36)</f>
        <v>B3-A-03-08</v>
      </c>
      <c r="B37" s="141">
        <f>IF(Baseline!B36="","",Baseline!B36)</f>
        <v>77</v>
      </c>
      <c r="C37" s="141">
        <f>IF(Baseline!C36="","",Baseline!C36)</f>
        <v>16</v>
      </c>
      <c r="D37" s="288">
        <f>IF(Baseline!D36="","",Baseline!D36)</f>
        <v>1232</v>
      </c>
      <c r="E37" s="96">
        <f t="shared" si="0"/>
        <v>12.952834091745165</v>
      </c>
      <c r="F37" s="100">
        <f>'Be Lean'!F36</f>
        <v>12.95</v>
      </c>
      <c r="G37" s="147">
        <f>'Be Lean'!G36</f>
        <v>1060.0429184549355</v>
      </c>
      <c r="H37" s="100" t="s">
        <v>11</v>
      </c>
      <c r="I37" s="100">
        <f>'Be Lean'!I36</f>
        <v>2049.1309012875536</v>
      </c>
      <c r="J37" s="100" t="s">
        <v>11</v>
      </c>
      <c r="K37" s="100"/>
      <c r="L37" s="100"/>
      <c r="M37" s="100"/>
      <c r="N37" s="100">
        <f>'Be Lean'!K36</f>
        <v>335.44</v>
      </c>
      <c r="O37" s="100">
        <f>'Be Lean'!L36</f>
        <v>214.63</v>
      </c>
      <c r="P37" s="100">
        <f>'Be Lean'!M36</f>
        <v>77.650000000000006</v>
      </c>
      <c r="Q37" s="46">
        <f>IFERROR($G37*INDEX('Carbon factors'!$B$4:$B$10,MATCH($H37,Fuel_Type,0),1),"")</f>
        <v>228.96927038626606</v>
      </c>
      <c r="R37" s="47">
        <f>IFERROR($I37*INDEX('Carbon factors'!$B$4:$B$10,MATCH($J37,Fuel_Type,0),1),"")</f>
        <v>442.61227467811159</v>
      </c>
      <c r="S37" s="47" t="str">
        <f>IFERROR($K37*INDEX('Carbon factors'!$B$4:$B$10,MATCH($L37,Fuel_Type,0),1),"")</f>
        <v/>
      </c>
      <c r="T37" s="47" t="str">
        <f>IF(M37="","",M37*'Carbon factors'!$B$5)</f>
        <v/>
      </c>
      <c r="U37" s="47">
        <f>IF(N37="","",N37*'Carbon factors'!$B$5)</f>
        <v>174.09336000000002</v>
      </c>
      <c r="V37" s="47">
        <f>IF(O37="","",O37*'Carbon factors'!$B$5)</f>
        <v>111.39297000000001</v>
      </c>
      <c r="W37" s="47">
        <f>IF(P37="","",P37*'Carbon factors'!$B$5)</f>
        <v>40.300350000000002</v>
      </c>
      <c r="X37" s="267">
        <f t="shared" si="3"/>
        <v>997.36822506437773</v>
      </c>
      <c r="Y37" s="49">
        <f>IFERROR($G37*INDEX('Carbon factors'!$C$4:$C$10,MATCH($H37,Fuel_Type,0),1),"")</f>
        <v>222.60901287553645</v>
      </c>
      <c r="Z37" s="47">
        <f>IFERROR($I37*INDEX('Carbon factors'!$C$4:$C$10,MATCH($J37,Fuel_Type,0),1),"")</f>
        <v>430.31748927038626</v>
      </c>
      <c r="AA37" s="47" t="str">
        <f>IFERROR($K37*INDEX('Carbon factors'!$C$4:$C$10,MATCH($L37,Fuel_Type,0),1),"")</f>
        <v/>
      </c>
      <c r="AB37" s="47" t="str">
        <f>IF(M37="","",M37*'Carbon factors'!$C$5)</f>
        <v/>
      </c>
      <c r="AC37" s="47">
        <f>IF(N37="","",N37*'Carbon factors'!$C$5)</f>
        <v>78.157520000000005</v>
      </c>
      <c r="AD37" s="47">
        <f>IF(O37="","",O37*'Carbon factors'!$C$5)</f>
        <v>50.008790000000005</v>
      </c>
      <c r="AE37" s="47">
        <f>IF(P37="","",P37*'Carbon factors'!$C$5)</f>
        <v>18.092450000000003</v>
      </c>
      <c r="AF37" s="222">
        <f t="shared" si="1"/>
        <v>799.18526214592271</v>
      </c>
      <c r="AG37" s="61">
        <f t="shared" si="2"/>
        <v>10.379029378518476</v>
      </c>
    </row>
    <row r="38" spans="1:33" s="36" customFormat="1" ht="13.5" customHeight="1">
      <c r="A38" s="287" t="str">
        <f>IF(Baseline!A37="","",Baseline!A37)</f>
        <v>B3-A-09-05</v>
      </c>
      <c r="B38" s="141">
        <f>IF(Baseline!B37="","",Baseline!B37)</f>
        <v>97</v>
      </c>
      <c r="C38" s="141">
        <f>IF(Baseline!C37="","",Baseline!C37)</f>
        <v>3</v>
      </c>
      <c r="D38" s="288">
        <f>IF(Baseline!D37="","",Baseline!D37)</f>
        <v>291</v>
      </c>
      <c r="E38" s="96">
        <f t="shared" si="0"/>
        <v>14.274470703066235</v>
      </c>
      <c r="F38" s="100">
        <f>'Be Lean'!F37</f>
        <v>14.28</v>
      </c>
      <c r="G38" s="147">
        <f>'Be Lean'!G37</f>
        <v>2389.9785407725321</v>
      </c>
      <c r="H38" s="100" t="s">
        <v>11</v>
      </c>
      <c r="I38" s="100">
        <f>'Be Lean'!I37</f>
        <v>2178.1545064377683</v>
      </c>
      <c r="J38" s="100" t="s">
        <v>11</v>
      </c>
      <c r="K38" s="100"/>
      <c r="L38" s="100"/>
      <c r="M38" s="100"/>
      <c r="N38" s="100">
        <f>'Be Lean'!K37</f>
        <v>395.79</v>
      </c>
      <c r="O38" s="100">
        <f>'Be Lean'!L37</f>
        <v>276.45</v>
      </c>
      <c r="P38" s="100">
        <f>'Be Lean'!M37</f>
        <v>94.44</v>
      </c>
      <c r="Q38" s="46">
        <f>IFERROR($G38*INDEX('Carbon factors'!$B$4:$B$10,MATCH($H38,Fuel_Type,0),1),"")</f>
        <v>516.23536480686698</v>
      </c>
      <c r="R38" s="47">
        <f>IFERROR($I38*INDEX('Carbon factors'!$B$4:$B$10,MATCH($J38,Fuel_Type,0),1),"")</f>
        <v>470.48137339055796</v>
      </c>
      <c r="S38" s="47" t="str">
        <f>IFERROR($K38*INDEX('Carbon factors'!$B$4:$B$10,MATCH($L38,Fuel_Type,0),1),"")</f>
        <v/>
      </c>
      <c r="T38" s="47" t="str">
        <f>IF(M38="","",M38*'Carbon factors'!$B$5)</f>
        <v/>
      </c>
      <c r="U38" s="47">
        <f>IF(N38="","",N38*'Carbon factors'!$B$5)</f>
        <v>205.41501000000002</v>
      </c>
      <c r="V38" s="47">
        <f>IF(O38="","",O38*'Carbon factors'!$B$5)</f>
        <v>143.47755000000001</v>
      </c>
      <c r="W38" s="47">
        <f>IF(P38="","",P38*'Carbon factors'!$B$5)</f>
        <v>49.014360000000003</v>
      </c>
      <c r="X38" s="267">
        <f t="shared" si="3"/>
        <v>1384.6236581974249</v>
      </c>
      <c r="Y38" s="49">
        <f>IFERROR($G38*INDEX('Carbon factors'!$C$4:$C$10,MATCH($H38,Fuel_Type,0),1),"")</f>
        <v>501.89549356223171</v>
      </c>
      <c r="Z38" s="47">
        <f>IFERROR($I38*INDEX('Carbon factors'!$C$4:$C$10,MATCH($J38,Fuel_Type,0),1),"")</f>
        <v>457.41244635193135</v>
      </c>
      <c r="AA38" s="47" t="str">
        <f>IFERROR($K38*INDEX('Carbon factors'!$C$4:$C$10,MATCH($L38,Fuel_Type,0),1),"")</f>
        <v/>
      </c>
      <c r="AB38" s="47" t="str">
        <f>IF(M38="","",M38*'Carbon factors'!$C$5)</f>
        <v/>
      </c>
      <c r="AC38" s="47">
        <f>IF(N38="","",N38*'Carbon factors'!$C$5)</f>
        <v>92.219070000000016</v>
      </c>
      <c r="AD38" s="47">
        <f>IF(O38="","",O38*'Carbon factors'!$C$5)</f>
        <v>64.412850000000006</v>
      </c>
      <c r="AE38" s="47">
        <f>IF(P38="","",P38*'Carbon factors'!$C$5)</f>
        <v>22.004519999999999</v>
      </c>
      <c r="AF38" s="222">
        <f t="shared" si="1"/>
        <v>1137.9443799141629</v>
      </c>
      <c r="AG38" s="61">
        <f t="shared" si="2"/>
        <v>11.731385359939823</v>
      </c>
    </row>
    <row r="39" spans="1:33" s="36" customFormat="1" ht="13.5" customHeight="1">
      <c r="A39" s="287" t="str">
        <f>IF(Baseline!A38="","",Baseline!A38)</f>
        <v>B3-A-09-06</v>
      </c>
      <c r="B39" s="141">
        <f>IF(Baseline!B38="","",Baseline!B38)</f>
        <v>78</v>
      </c>
      <c r="C39" s="141">
        <f>IF(Baseline!C38="","",Baseline!C38)</f>
        <v>3</v>
      </c>
      <c r="D39" s="288">
        <f>IF(Baseline!D38="","",Baseline!D38)</f>
        <v>234</v>
      </c>
      <c r="E39" s="96">
        <f t="shared" ref="E39:E57" si="4">IFERROR(X39/$B39,"")</f>
        <v>13.533568200726313</v>
      </c>
      <c r="F39" s="100">
        <f>'Be Lean'!F38</f>
        <v>13.53</v>
      </c>
      <c r="G39" s="147">
        <f>'Be Lean'!G38</f>
        <v>1295.8798283261801</v>
      </c>
      <c r="H39" s="100" t="s">
        <v>11</v>
      </c>
      <c r="I39" s="100">
        <f>'Be Lean'!I38</f>
        <v>2057.6931330472103</v>
      </c>
      <c r="J39" s="100" t="s">
        <v>11</v>
      </c>
      <c r="K39" s="100"/>
      <c r="L39" s="100"/>
      <c r="M39" s="100"/>
      <c r="N39" s="100">
        <f>'Be Lean'!K38</f>
        <v>338.83</v>
      </c>
      <c r="O39" s="100">
        <f>'Be Lean'!L38</f>
        <v>219.32</v>
      </c>
      <c r="P39" s="100">
        <f>'Be Lean'!M38</f>
        <v>80.09</v>
      </c>
      <c r="Q39" s="46">
        <f>IFERROR($G39*INDEX('Carbon factors'!$B$4:$B$10,MATCH($H39,Fuel_Type,0),1),"")</f>
        <v>279.91004291845491</v>
      </c>
      <c r="R39" s="47">
        <f>IFERROR($I39*INDEX('Carbon factors'!$B$4:$B$10,MATCH($J39,Fuel_Type,0),1),"")</f>
        <v>444.46171673819742</v>
      </c>
      <c r="S39" s="47" t="str">
        <f>IFERROR($K39*INDEX('Carbon factors'!$B$4:$B$10,MATCH($L39,Fuel_Type,0),1),"")</f>
        <v/>
      </c>
      <c r="T39" s="47" t="str">
        <f>IF(M39="","",M39*'Carbon factors'!$B$5)</f>
        <v/>
      </c>
      <c r="U39" s="47">
        <f>IF(N39="","",N39*'Carbon factors'!$B$5)</f>
        <v>175.85276999999999</v>
      </c>
      <c r="V39" s="47">
        <f>IF(O39="","",O39*'Carbon factors'!$B$5)</f>
        <v>113.82708</v>
      </c>
      <c r="W39" s="47">
        <f>IF(P39="","",P39*'Carbon factors'!$B$5)</f>
        <v>41.56671</v>
      </c>
      <c r="X39" s="267">
        <f t="shared" si="3"/>
        <v>1055.6183196566524</v>
      </c>
      <c r="Y39" s="49">
        <f>IFERROR($G39*INDEX('Carbon factors'!$C$4:$C$10,MATCH($H39,Fuel_Type,0),1),"")</f>
        <v>272.13476394849783</v>
      </c>
      <c r="Z39" s="47">
        <f>IFERROR($I39*INDEX('Carbon factors'!$C$4:$C$10,MATCH($J39,Fuel_Type,0),1),"")</f>
        <v>432.11555793991414</v>
      </c>
      <c r="AA39" s="47" t="str">
        <f>IFERROR($K39*INDEX('Carbon factors'!$C$4:$C$10,MATCH($L39,Fuel_Type,0),1),"")</f>
        <v/>
      </c>
      <c r="AB39" s="47" t="str">
        <f>IF(M39="","",M39*'Carbon factors'!$C$5)</f>
        <v/>
      </c>
      <c r="AC39" s="47">
        <f>IF(N39="","",N39*'Carbon factors'!$C$5)</f>
        <v>78.947389999999999</v>
      </c>
      <c r="AD39" s="47">
        <f>IF(O39="","",O39*'Carbon factors'!$C$5)</f>
        <v>51.101559999999999</v>
      </c>
      <c r="AE39" s="47">
        <f>IF(P39="","",P39*'Carbon factors'!$C$5)</f>
        <v>18.660970000000002</v>
      </c>
      <c r="AF39" s="222">
        <f t="shared" si="1"/>
        <v>852.96024188841193</v>
      </c>
      <c r="AG39" s="61">
        <f t="shared" si="2"/>
        <v>10.935387716518102</v>
      </c>
    </row>
    <row r="40" spans="1:33" s="36" customFormat="1" ht="13.5" customHeight="1">
      <c r="A40" s="287" t="str">
        <f>IF(Baseline!A39="","",Baseline!A39)</f>
        <v>B3-A-12-B3-01</v>
      </c>
      <c r="B40" s="141">
        <f>IF(Baseline!B39="","",Baseline!B39)</f>
        <v>149</v>
      </c>
      <c r="C40" s="141">
        <f>IF(Baseline!C39="","",Baseline!C39)</f>
        <v>2</v>
      </c>
      <c r="D40" s="288">
        <f>IF(Baseline!D39="","",Baseline!D39)</f>
        <v>298</v>
      </c>
      <c r="E40" s="96">
        <f t="shared" si="4"/>
        <v>13.896525982947836</v>
      </c>
      <c r="F40" s="100">
        <f>'Be Lean'!F39</f>
        <v>13.9</v>
      </c>
      <c r="G40" s="147">
        <f>'Be Lean'!G39</f>
        <v>4693.5407725321884</v>
      </c>
      <c r="H40" s="100" t="s">
        <v>11</v>
      </c>
      <c r="I40" s="100">
        <f>'Be Lean'!I39</f>
        <v>2271.8991416309013</v>
      </c>
      <c r="J40" s="100" t="s">
        <v>11</v>
      </c>
      <c r="K40" s="100"/>
      <c r="L40" s="100"/>
      <c r="M40" s="100"/>
      <c r="N40" s="100">
        <f>'Be Lean'!K39</f>
        <v>502.92</v>
      </c>
      <c r="O40" s="100">
        <f>'Be Lean'!L39</f>
        <v>447.34000000000003</v>
      </c>
      <c r="P40" s="100">
        <f>'Be Lean'!M39</f>
        <v>140.38999999999999</v>
      </c>
      <c r="Q40" s="46">
        <f>IFERROR($G40*INDEX('Carbon factors'!$B$4:$B$10,MATCH($H40,Fuel_Type,0),1),"")</f>
        <v>1013.8048068669527</v>
      </c>
      <c r="R40" s="47">
        <f>IFERROR($I40*INDEX('Carbon factors'!$B$4:$B$10,MATCH($J40,Fuel_Type,0),1),"")</f>
        <v>490.73021459227471</v>
      </c>
      <c r="S40" s="47" t="str">
        <f>IFERROR($K40*INDEX('Carbon factors'!$B$4:$B$10,MATCH($L40,Fuel_Type,0),1),"")</f>
        <v/>
      </c>
      <c r="T40" s="47" t="str">
        <f>IF(M40="","",M40*'Carbon factors'!$B$5)</f>
        <v/>
      </c>
      <c r="U40" s="47">
        <f>IF(N40="","",N40*'Carbon factors'!$B$5)</f>
        <v>261.01548000000003</v>
      </c>
      <c r="V40" s="47">
        <f>IF(O40="","",O40*'Carbon factors'!$B$5)</f>
        <v>232.16946000000002</v>
      </c>
      <c r="W40" s="47">
        <f>IF(P40="","",P40*'Carbon factors'!$B$5)</f>
        <v>72.862409999999997</v>
      </c>
      <c r="X40" s="267">
        <f t="shared" si="3"/>
        <v>2070.5823714592275</v>
      </c>
      <c r="Y40" s="49">
        <f>IFERROR($G40*INDEX('Carbon factors'!$C$4:$C$10,MATCH($H40,Fuel_Type,0),1),"")</f>
        <v>985.64356223175957</v>
      </c>
      <c r="Z40" s="47">
        <f>IFERROR($I40*INDEX('Carbon factors'!$C$4:$C$10,MATCH($J40,Fuel_Type,0),1),"")</f>
        <v>477.09881974248924</v>
      </c>
      <c r="AA40" s="47" t="str">
        <f>IFERROR($K40*INDEX('Carbon factors'!$C$4:$C$10,MATCH($L40,Fuel_Type,0),1),"")</f>
        <v/>
      </c>
      <c r="AB40" s="47" t="str">
        <f>IF(M40="","",M40*'Carbon factors'!$C$5)</f>
        <v/>
      </c>
      <c r="AC40" s="47">
        <f>IF(N40="","",N40*'Carbon factors'!$C$5)</f>
        <v>117.18036000000001</v>
      </c>
      <c r="AD40" s="47">
        <f>IF(O40="","",O40*'Carbon factors'!$C$5)</f>
        <v>104.23022000000002</v>
      </c>
      <c r="AE40" s="47">
        <f>IF(P40="","",P40*'Carbon factors'!$C$5)</f>
        <v>32.71087</v>
      </c>
      <c r="AF40" s="222">
        <f t="shared" si="1"/>
        <v>1716.863831974249</v>
      </c>
      <c r="AG40" s="61">
        <f t="shared" si="2"/>
        <v>11.522576053518449</v>
      </c>
    </row>
    <row r="41" spans="1:33" s="36" customFormat="1" ht="13.5" customHeight="1">
      <c r="A41" s="287" t="str">
        <f>IF(Baseline!A40="","",Baseline!A40)</f>
        <v>B2-A-03-01</v>
      </c>
      <c r="B41" s="141">
        <f>IF(Baseline!B40="","",Baseline!B40)</f>
        <v>81</v>
      </c>
      <c r="C41" s="141">
        <f>IF(Baseline!C40="","",Baseline!C40)</f>
        <v>1</v>
      </c>
      <c r="D41" s="288">
        <f>IF(Baseline!D40="","",Baseline!D40)</f>
        <v>81</v>
      </c>
      <c r="E41" s="96">
        <f t="shared" si="4"/>
        <v>12.134303379430932</v>
      </c>
      <c r="F41" s="100">
        <f>'Be Lean'!F40</f>
        <v>12.14</v>
      </c>
      <c r="G41" s="147">
        <f>'Be Lean'!G40</f>
        <v>767.57510729613728</v>
      </c>
      <c r="H41" s="100" t="s">
        <v>11</v>
      </c>
      <c r="I41" s="100">
        <f>'Be Lean'!I40</f>
        <v>2082.0064377682402</v>
      </c>
      <c r="J41" s="100" t="s">
        <v>11</v>
      </c>
      <c r="K41" s="100"/>
      <c r="L41" s="100"/>
      <c r="M41" s="100"/>
      <c r="N41" s="100">
        <f>'Be Lean'!K40</f>
        <v>348.76</v>
      </c>
      <c r="O41" s="100">
        <f>'Be Lean'!L40</f>
        <v>221.85</v>
      </c>
      <c r="P41" s="100">
        <f>'Be Lean'!M40</f>
        <v>137.22999999999999</v>
      </c>
      <c r="Q41" s="46">
        <f>IFERROR($G41*INDEX('Carbon factors'!$B$4:$B$10,MATCH($H41,Fuel_Type,0),1),"")</f>
        <v>165.79622317596565</v>
      </c>
      <c r="R41" s="47">
        <f>IFERROR($I41*INDEX('Carbon factors'!$B$4:$B$10,MATCH($J41,Fuel_Type,0),1),"")</f>
        <v>449.71339055793987</v>
      </c>
      <c r="S41" s="47" t="str">
        <f>IFERROR($K41*INDEX('Carbon factors'!$B$4:$B$10,MATCH($L41,Fuel_Type,0),1),"")</f>
        <v/>
      </c>
      <c r="T41" s="47" t="str">
        <f>IF(M41="","",M41*'Carbon factors'!$B$5)</f>
        <v/>
      </c>
      <c r="U41" s="47">
        <f>IF(N41="","",N41*'Carbon factors'!$B$5)</f>
        <v>181.00644</v>
      </c>
      <c r="V41" s="47">
        <f>IF(O41="","",O41*'Carbon factors'!$B$5)</f>
        <v>115.14015000000001</v>
      </c>
      <c r="W41" s="47">
        <f>IF(P41="","",P41*'Carbon factors'!$B$5)</f>
        <v>71.222369999999998</v>
      </c>
      <c r="X41" s="267">
        <f t="shared" si="3"/>
        <v>982.87857373390557</v>
      </c>
      <c r="Y41" s="49">
        <f>IFERROR($G41*INDEX('Carbon factors'!$C$4:$C$10,MATCH($H41,Fuel_Type,0),1),"")</f>
        <v>161.19077253218882</v>
      </c>
      <c r="Z41" s="47">
        <f>IFERROR($I41*INDEX('Carbon factors'!$C$4:$C$10,MATCH($J41,Fuel_Type,0),1),"")</f>
        <v>437.22135193133045</v>
      </c>
      <c r="AA41" s="47" t="str">
        <f>IFERROR($K41*INDEX('Carbon factors'!$C$4:$C$10,MATCH($L41,Fuel_Type,0),1),"")</f>
        <v/>
      </c>
      <c r="AB41" s="47" t="str">
        <f>IF(M41="","",M41*'Carbon factors'!$C$5)</f>
        <v/>
      </c>
      <c r="AC41" s="47">
        <f>IF(N41="","",N41*'Carbon factors'!$C$5)</f>
        <v>81.261080000000007</v>
      </c>
      <c r="AD41" s="47">
        <f>IF(O41="","",O41*'Carbon factors'!$C$5)</f>
        <v>51.691050000000004</v>
      </c>
      <c r="AE41" s="47">
        <f>IF(P41="","",P41*'Carbon factors'!$C$5)</f>
        <v>31.974589999999999</v>
      </c>
      <c r="AF41" s="222">
        <f t="shared" si="1"/>
        <v>763.33884446351931</v>
      </c>
      <c r="AG41" s="61">
        <f t="shared" si="2"/>
        <v>9.4239363514014727</v>
      </c>
    </row>
    <row r="42" spans="1:33" s="36" customFormat="1" ht="13.5" customHeight="1">
      <c r="A42" s="287" t="str">
        <f>IF(Baseline!A41="","",Baseline!A41)</f>
        <v>B2-A-03-02</v>
      </c>
      <c r="B42" s="141">
        <f>IF(Baseline!B41="","",Baseline!B41)</f>
        <v>41</v>
      </c>
      <c r="C42" s="141">
        <f>IF(Baseline!C41="","",Baseline!C41)</f>
        <v>1</v>
      </c>
      <c r="D42" s="288">
        <f>IF(Baseline!D41="","",Baseline!D41)</f>
        <v>41</v>
      </c>
      <c r="E42" s="96">
        <f t="shared" si="4"/>
        <v>14.621286597927353</v>
      </c>
      <c r="F42" s="100">
        <f>'Be Lean'!F41</f>
        <v>14.62</v>
      </c>
      <c r="G42" s="147">
        <f>'Be Lean'!G41</f>
        <v>267.75751072961373</v>
      </c>
      <c r="H42" s="100" t="s">
        <v>11</v>
      </c>
      <c r="I42" s="100">
        <f>'Be Lean'!I41</f>
        <v>1640.6330472103004</v>
      </c>
      <c r="J42" s="100" t="s">
        <v>11</v>
      </c>
      <c r="K42" s="100"/>
      <c r="L42" s="100"/>
      <c r="M42" s="100"/>
      <c r="N42" s="100">
        <f>'Be Lean'!K41</f>
        <v>196.04</v>
      </c>
      <c r="O42" s="100">
        <f>'Be Lean'!L41</f>
        <v>116.63999999999999</v>
      </c>
      <c r="P42" s="100">
        <f>'Be Lean'!M41</f>
        <v>48.13</v>
      </c>
      <c r="Q42" s="46">
        <f>IFERROR($G42*INDEX('Carbon factors'!$B$4:$B$10,MATCH($H42,Fuel_Type,0),1),"")</f>
        <v>57.835622317596567</v>
      </c>
      <c r="R42" s="47">
        <f>IFERROR($I42*INDEX('Carbon factors'!$B$4:$B$10,MATCH($J42,Fuel_Type,0),1),"")</f>
        <v>354.37673819742491</v>
      </c>
      <c r="S42" s="47" t="str">
        <f>IFERROR($K42*INDEX('Carbon factors'!$B$4:$B$10,MATCH($L42,Fuel_Type,0),1),"")</f>
        <v/>
      </c>
      <c r="T42" s="47" t="str">
        <f>IF(M42="","",M42*'Carbon factors'!$B$5)</f>
        <v/>
      </c>
      <c r="U42" s="47">
        <f>IF(N42="","",N42*'Carbon factors'!$B$5)</f>
        <v>101.74476</v>
      </c>
      <c r="V42" s="47">
        <f>IF(O42="","",O42*'Carbon factors'!$B$5)</f>
        <v>60.536159999999995</v>
      </c>
      <c r="W42" s="47">
        <f>IF(P42="","",P42*'Carbon factors'!$B$5)</f>
        <v>24.979470000000003</v>
      </c>
      <c r="X42" s="267">
        <f t="shared" si="3"/>
        <v>599.47275051502152</v>
      </c>
      <c r="Y42" s="49">
        <f>IFERROR($G42*INDEX('Carbon factors'!$C$4:$C$10,MATCH($H42,Fuel_Type,0),1),"")</f>
        <v>56.229077253218883</v>
      </c>
      <c r="Z42" s="47">
        <f>IFERROR($I42*INDEX('Carbon factors'!$C$4:$C$10,MATCH($J42,Fuel_Type,0),1),"")</f>
        <v>344.53293991416308</v>
      </c>
      <c r="AA42" s="47" t="str">
        <f>IFERROR($K42*INDEX('Carbon factors'!$C$4:$C$10,MATCH($L42,Fuel_Type,0),1),"")</f>
        <v/>
      </c>
      <c r="AB42" s="47" t="str">
        <f>IF(M42="","",M42*'Carbon factors'!$C$5)</f>
        <v/>
      </c>
      <c r="AC42" s="47">
        <f>IF(N42="","",N42*'Carbon factors'!$C$5)</f>
        <v>45.677320000000002</v>
      </c>
      <c r="AD42" s="47">
        <f>IF(O42="","",O42*'Carbon factors'!$C$5)</f>
        <v>27.177119999999999</v>
      </c>
      <c r="AE42" s="47">
        <f>IF(P42="","",P42*'Carbon factors'!$C$5)</f>
        <v>11.214290000000002</v>
      </c>
      <c r="AF42" s="222">
        <f t="shared" si="1"/>
        <v>484.83074716738196</v>
      </c>
      <c r="AG42" s="61">
        <f t="shared" si="2"/>
        <v>11.825140174814194</v>
      </c>
    </row>
    <row r="43" spans="1:33" s="36" customFormat="1" ht="13.5" customHeight="1">
      <c r="A43" s="287" t="str">
        <f>IF(Baseline!A42="","",Baseline!A42)</f>
        <v>B2-A-03-03</v>
      </c>
      <c r="B43" s="141">
        <f>IF(Baseline!B42="","",Baseline!B42)</f>
        <v>77</v>
      </c>
      <c r="C43" s="141">
        <f>IF(Baseline!C42="","",Baseline!C42)</f>
        <v>2</v>
      </c>
      <c r="D43" s="288">
        <f>IF(Baseline!D42="","",Baseline!D42)</f>
        <v>154</v>
      </c>
      <c r="E43" s="96">
        <f t="shared" si="4"/>
        <v>18.455177706370886</v>
      </c>
      <c r="F43" s="100">
        <f>'Be Lean'!F42</f>
        <v>18.46</v>
      </c>
      <c r="G43" s="147">
        <f>'Be Lean'!G42</f>
        <v>2974.0236051502143</v>
      </c>
      <c r="H43" s="100" t="s">
        <v>11</v>
      </c>
      <c r="I43" s="100">
        <f>'Be Lean'!I42</f>
        <v>2049.1309012875536</v>
      </c>
      <c r="J43" s="100" t="s">
        <v>11</v>
      </c>
      <c r="K43" s="100"/>
      <c r="L43" s="100"/>
      <c r="M43" s="100"/>
      <c r="N43" s="100">
        <f>'Be Lean'!K42</f>
        <v>335.44</v>
      </c>
      <c r="O43" s="100">
        <f>'Be Lean'!L42</f>
        <v>232.47</v>
      </c>
      <c r="P43" s="100">
        <f>'Be Lean'!M42</f>
        <v>79.58</v>
      </c>
      <c r="Q43" s="46">
        <f>IFERROR($G43*INDEX('Carbon factors'!$B$4:$B$10,MATCH($H43,Fuel_Type,0),1),"")</f>
        <v>642.3890987124463</v>
      </c>
      <c r="R43" s="47">
        <f>IFERROR($I43*INDEX('Carbon factors'!$B$4:$B$10,MATCH($J43,Fuel_Type,0),1),"")</f>
        <v>442.61227467811159</v>
      </c>
      <c r="S43" s="47" t="str">
        <f>IFERROR($K43*INDEX('Carbon factors'!$B$4:$B$10,MATCH($L43,Fuel_Type,0),1),"")</f>
        <v/>
      </c>
      <c r="T43" s="47" t="str">
        <f>IF(M43="","",M43*'Carbon factors'!$B$5)</f>
        <v/>
      </c>
      <c r="U43" s="47">
        <f>IF(N43="","",N43*'Carbon factors'!$B$5)</f>
        <v>174.09336000000002</v>
      </c>
      <c r="V43" s="47">
        <f>IF(O43="","",O43*'Carbon factors'!$B$5)</f>
        <v>120.65193000000001</v>
      </c>
      <c r="W43" s="47">
        <f>IF(P43="","",P43*'Carbon factors'!$B$5)</f>
        <v>41.302019999999999</v>
      </c>
      <c r="X43" s="267">
        <f t="shared" si="3"/>
        <v>1421.0486833905582</v>
      </c>
      <c r="Y43" s="49">
        <f>IFERROR($G43*INDEX('Carbon factors'!$C$4:$C$10,MATCH($H43,Fuel_Type,0),1),"")</f>
        <v>624.54495708154502</v>
      </c>
      <c r="Z43" s="47">
        <f>IFERROR($I43*INDEX('Carbon factors'!$C$4:$C$10,MATCH($J43,Fuel_Type,0),1),"")</f>
        <v>430.31748927038626</v>
      </c>
      <c r="AA43" s="47" t="str">
        <f>IFERROR($K43*INDEX('Carbon factors'!$C$4:$C$10,MATCH($L43,Fuel_Type,0),1),"")</f>
        <v/>
      </c>
      <c r="AB43" s="47" t="str">
        <f>IF(M43="","",M43*'Carbon factors'!$C$5)</f>
        <v/>
      </c>
      <c r="AC43" s="47">
        <f>IF(N43="","",N43*'Carbon factors'!$C$5)</f>
        <v>78.157520000000005</v>
      </c>
      <c r="AD43" s="47">
        <f>IF(O43="","",O43*'Carbon factors'!$C$5)</f>
        <v>54.165510000000005</v>
      </c>
      <c r="AE43" s="47">
        <f>IF(P43="","",P43*'Carbon factors'!$C$5)</f>
        <v>18.54214</v>
      </c>
      <c r="AF43" s="222">
        <f t="shared" si="1"/>
        <v>1205.7276163519314</v>
      </c>
      <c r="AG43" s="61">
        <f t="shared" si="2"/>
        <v>15.658800212362745</v>
      </c>
    </row>
    <row r="44" spans="1:33" s="36" customFormat="1" ht="13.5" customHeight="1">
      <c r="A44" s="287" t="str">
        <f>IF(Baseline!A43="","",Baseline!A43)</f>
        <v>B2-A-04-01</v>
      </c>
      <c r="B44" s="141">
        <f>IF(Baseline!B43="","",Baseline!B43)</f>
        <v>77</v>
      </c>
      <c r="C44" s="141">
        <f>IF(Baseline!C43="","",Baseline!C43)</f>
        <v>18</v>
      </c>
      <c r="D44" s="288">
        <f>IF(Baseline!D43="","",Baseline!D43)</f>
        <v>1386</v>
      </c>
      <c r="E44" s="96">
        <f t="shared" si="4"/>
        <v>12.806865178083719</v>
      </c>
      <c r="F44" s="100">
        <f>'Be Lean'!F43</f>
        <v>12.81</v>
      </c>
      <c r="G44" s="147">
        <f>'Be Lean'!G43</f>
        <v>877.39270386266094</v>
      </c>
      <c r="H44" s="100" t="s">
        <v>11</v>
      </c>
      <c r="I44" s="100">
        <f>'Be Lean'!I43</f>
        <v>2049.1309012875536</v>
      </c>
      <c r="J44" s="100" t="s">
        <v>11</v>
      </c>
      <c r="K44" s="100"/>
      <c r="L44" s="100"/>
      <c r="M44" s="100"/>
      <c r="N44" s="100">
        <f>'Be Lean'!K43</f>
        <v>335.44</v>
      </c>
      <c r="O44" s="100">
        <f>'Be Lean'!L43</f>
        <v>212.93</v>
      </c>
      <c r="P44" s="100">
        <f>'Be Lean'!M43</f>
        <v>133.71</v>
      </c>
      <c r="Q44" s="46">
        <f>IFERROR($G44*INDEX('Carbon factors'!$B$4:$B$10,MATCH($H44,Fuel_Type,0),1),"")</f>
        <v>189.51682403433475</v>
      </c>
      <c r="R44" s="47">
        <f>IFERROR($I44*INDEX('Carbon factors'!$B$4:$B$10,MATCH($J44,Fuel_Type,0),1),"")</f>
        <v>442.61227467811159</v>
      </c>
      <c r="S44" s="47" t="str">
        <f>IFERROR($K44*INDEX('Carbon factors'!$B$4:$B$10,MATCH($L44,Fuel_Type,0),1),"")</f>
        <v/>
      </c>
      <c r="T44" s="47" t="str">
        <f>IF(M44="","",M44*'Carbon factors'!$B$5)</f>
        <v/>
      </c>
      <c r="U44" s="47">
        <f>IF(N44="","",N44*'Carbon factors'!$B$5)</f>
        <v>174.09336000000002</v>
      </c>
      <c r="V44" s="47">
        <f>IF(O44="","",O44*'Carbon factors'!$B$5)</f>
        <v>110.51067</v>
      </c>
      <c r="W44" s="47">
        <f>IF(P44="","",P44*'Carbon factors'!$B$5)</f>
        <v>69.395490000000009</v>
      </c>
      <c r="X44" s="267">
        <f t="shared" si="3"/>
        <v>986.12861871244627</v>
      </c>
      <c r="Y44" s="49">
        <f>IFERROR($G44*INDEX('Carbon factors'!$C$4:$C$10,MATCH($H44,Fuel_Type,0),1),"")</f>
        <v>184.25246781115879</v>
      </c>
      <c r="Z44" s="47">
        <f>IFERROR($I44*INDEX('Carbon factors'!$C$4:$C$10,MATCH($J44,Fuel_Type,0),1),"")</f>
        <v>430.31748927038626</v>
      </c>
      <c r="AA44" s="47" t="str">
        <f>IFERROR($K44*INDEX('Carbon factors'!$C$4:$C$10,MATCH($L44,Fuel_Type,0),1),"")</f>
        <v/>
      </c>
      <c r="AB44" s="47" t="str">
        <f>IF(M44="","",M44*'Carbon factors'!$C$5)</f>
        <v/>
      </c>
      <c r="AC44" s="47">
        <f>IF(N44="","",N44*'Carbon factors'!$C$5)</f>
        <v>78.157520000000005</v>
      </c>
      <c r="AD44" s="47">
        <f>IF(O44="","",O44*'Carbon factors'!$C$5)</f>
        <v>49.612690000000008</v>
      </c>
      <c r="AE44" s="47">
        <f>IF(P44="","",P44*'Carbon factors'!$C$5)</f>
        <v>31.154430000000005</v>
      </c>
      <c r="AF44" s="222">
        <f t="shared" si="1"/>
        <v>773.49459708154507</v>
      </c>
      <c r="AG44" s="61">
        <f t="shared" si="2"/>
        <v>10.045384377682403</v>
      </c>
    </row>
    <row r="45" spans="1:33" s="36" customFormat="1" ht="13.5" customHeight="1">
      <c r="A45" s="287" t="str">
        <f>IF(Baseline!A44="","",Baseline!A44)</f>
        <v>B2-A-04-04</v>
      </c>
      <c r="B45" s="141">
        <f>IF(Baseline!B44="","",Baseline!B44)</f>
        <v>77</v>
      </c>
      <c r="C45" s="141">
        <f>IF(Baseline!C44="","",Baseline!C44)</f>
        <v>34</v>
      </c>
      <c r="D45" s="288">
        <f>IF(Baseline!D44="","",Baseline!D44)</f>
        <v>2618</v>
      </c>
      <c r="E45" s="96">
        <f t="shared" si="4"/>
        <v>14.708507704698734</v>
      </c>
      <c r="F45" s="100">
        <f>'Be Lean'!F44</f>
        <v>14.71</v>
      </c>
      <c r="G45" s="147">
        <f>'Be Lean'!G44</f>
        <v>1613.1759656652359</v>
      </c>
      <c r="H45" s="100" t="s">
        <v>11</v>
      </c>
      <c r="I45" s="100">
        <f>'Be Lean'!I44</f>
        <v>2049.1309012875536</v>
      </c>
      <c r="J45" s="100" t="s">
        <v>11</v>
      </c>
      <c r="K45" s="100"/>
      <c r="L45" s="100"/>
      <c r="M45" s="100"/>
      <c r="N45" s="100">
        <f>'Be Lean'!K44</f>
        <v>335.44</v>
      </c>
      <c r="O45" s="100">
        <f>'Be Lean'!L44</f>
        <v>219.78</v>
      </c>
      <c r="P45" s="100">
        <f>'Be Lean'!M44</f>
        <v>102.77</v>
      </c>
      <c r="Q45" s="46">
        <f>IFERROR($G45*INDEX('Carbon factors'!$B$4:$B$10,MATCH($H45,Fuel_Type,0),1),"")</f>
        <v>348.44600858369097</v>
      </c>
      <c r="R45" s="47">
        <f>IFERROR($I45*INDEX('Carbon factors'!$B$4:$B$10,MATCH($J45,Fuel_Type,0),1),"")</f>
        <v>442.61227467811159</v>
      </c>
      <c r="S45" s="47" t="str">
        <f>IFERROR($K45*INDEX('Carbon factors'!$B$4:$B$10,MATCH($L45,Fuel_Type,0),1),"")</f>
        <v/>
      </c>
      <c r="T45" s="47" t="str">
        <f>IF(M45="","",M45*'Carbon factors'!$B$5)</f>
        <v/>
      </c>
      <c r="U45" s="47">
        <f>IF(N45="","",N45*'Carbon factors'!$B$5)</f>
        <v>174.09336000000002</v>
      </c>
      <c r="V45" s="47">
        <f>IF(O45="","",O45*'Carbon factors'!$B$5)</f>
        <v>114.06582</v>
      </c>
      <c r="W45" s="47">
        <f>IF(P45="","",P45*'Carbon factors'!$B$5)</f>
        <v>53.337629999999997</v>
      </c>
      <c r="X45" s="267">
        <f t="shared" si="3"/>
        <v>1132.5550932618025</v>
      </c>
      <c r="Y45" s="49">
        <f>IFERROR($G45*INDEX('Carbon factors'!$C$4:$C$10,MATCH($H45,Fuel_Type,0),1),"")</f>
        <v>338.76695278969953</v>
      </c>
      <c r="Z45" s="47">
        <f>IFERROR($I45*INDEX('Carbon factors'!$C$4:$C$10,MATCH($J45,Fuel_Type,0),1),"")</f>
        <v>430.31748927038626</v>
      </c>
      <c r="AA45" s="47" t="str">
        <f>IFERROR($K45*INDEX('Carbon factors'!$C$4:$C$10,MATCH($L45,Fuel_Type,0),1),"")</f>
        <v/>
      </c>
      <c r="AB45" s="47" t="str">
        <f>IF(M45="","",M45*'Carbon factors'!$C$5)</f>
        <v/>
      </c>
      <c r="AC45" s="47">
        <f>IF(N45="","",N45*'Carbon factors'!$C$5)</f>
        <v>78.157520000000005</v>
      </c>
      <c r="AD45" s="47">
        <f>IF(O45="","",O45*'Carbon factors'!$C$5)</f>
        <v>51.208740000000006</v>
      </c>
      <c r="AE45" s="47">
        <f>IF(P45="","",P45*'Carbon factors'!$C$5)</f>
        <v>23.945409999999999</v>
      </c>
      <c r="AF45" s="222">
        <f t="shared" si="1"/>
        <v>922.3961120600859</v>
      </c>
      <c r="AG45" s="61">
        <f t="shared" si="2"/>
        <v>11.979170286494622</v>
      </c>
    </row>
    <row r="46" spans="1:33" s="36" customFormat="1" ht="13.5" customHeight="1">
      <c r="A46" s="287" t="str">
        <f>IF(Baseline!A45="","",Baseline!A45)</f>
        <v>B2-A-08-02</v>
      </c>
      <c r="B46" s="141">
        <f>IF(Baseline!B45="","",Baseline!B45)</f>
        <v>51</v>
      </c>
      <c r="C46" s="141">
        <f>IF(Baseline!C45="","",Baseline!C45)</f>
        <v>16</v>
      </c>
      <c r="D46" s="288">
        <f>IF(Baseline!D45="","",Baseline!D45)</f>
        <v>816</v>
      </c>
      <c r="E46" s="96">
        <f t="shared" si="4"/>
        <v>14.695700787679879</v>
      </c>
      <c r="F46" s="100">
        <f>'Be Lean'!F45</f>
        <v>14.7</v>
      </c>
      <c r="G46" s="147">
        <f>'Be Lean'!G45</f>
        <v>668.25107296137332</v>
      </c>
      <c r="H46" s="100" t="s">
        <v>11</v>
      </c>
      <c r="I46" s="100">
        <f>'Be Lean'!I45</f>
        <v>1761.2124463519312</v>
      </c>
      <c r="J46" s="100" t="s">
        <v>11</v>
      </c>
      <c r="K46" s="100"/>
      <c r="L46" s="100"/>
      <c r="M46" s="100"/>
      <c r="N46" s="100">
        <f>'Be Lean'!K45</f>
        <v>235.9</v>
      </c>
      <c r="O46" s="100">
        <f>'Be Lean'!L45</f>
        <v>145.6</v>
      </c>
      <c r="P46" s="100">
        <f>'Be Lean'!M45</f>
        <v>51.48</v>
      </c>
      <c r="Q46" s="46">
        <f>IFERROR($G46*INDEX('Carbon factors'!$B$4:$B$10,MATCH($H46,Fuel_Type,0),1),"")</f>
        <v>144.34223175965664</v>
      </c>
      <c r="R46" s="47">
        <f>IFERROR($I46*INDEX('Carbon factors'!$B$4:$B$10,MATCH($J46,Fuel_Type,0),1),"")</f>
        <v>380.42188841201715</v>
      </c>
      <c r="S46" s="47" t="str">
        <f>IFERROR($K46*INDEX('Carbon factors'!$B$4:$B$10,MATCH($L46,Fuel_Type,0),1),"")</f>
        <v/>
      </c>
      <c r="T46" s="47" t="str">
        <f>IF(M46="","",M46*'Carbon factors'!$B$5)</f>
        <v/>
      </c>
      <c r="U46" s="47">
        <f>IF(N46="","",N46*'Carbon factors'!$B$5)</f>
        <v>122.43210000000001</v>
      </c>
      <c r="V46" s="47">
        <f>IF(O46="","",O46*'Carbon factors'!$B$5)</f>
        <v>75.566400000000002</v>
      </c>
      <c r="W46" s="47">
        <f>IF(P46="","",P46*'Carbon factors'!$B$5)</f>
        <v>26.718119999999999</v>
      </c>
      <c r="X46" s="267">
        <f t="shared" si="3"/>
        <v>749.4807401716738</v>
      </c>
      <c r="Y46" s="49">
        <f>IFERROR($G46*INDEX('Carbon factors'!$C$4:$C$10,MATCH($H46,Fuel_Type,0),1),"")</f>
        <v>140.3327253218884</v>
      </c>
      <c r="Z46" s="47">
        <f>IFERROR($I46*INDEX('Carbon factors'!$C$4:$C$10,MATCH($J46,Fuel_Type,0),1),"")</f>
        <v>369.85461373390552</v>
      </c>
      <c r="AA46" s="47" t="str">
        <f>IFERROR($K46*INDEX('Carbon factors'!$C$4:$C$10,MATCH($L46,Fuel_Type,0),1),"")</f>
        <v/>
      </c>
      <c r="AB46" s="47" t="str">
        <f>IF(M46="","",M46*'Carbon factors'!$C$5)</f>
        <v/>
      </c>
      <c r="AC46" s="47">
        <f>IF(N46="","",N46*'Carbon factors'!$C$5)</f>
        <v>54.964700000000008</v>
      </c>
      <c r="AD46" s="47">
        <f>IF(O46="","",O46*'Carbon factors'!$C$5)</f>
        <v>33.924799999999998</v>
      </c>
      <c r="AE46" s="47">
        <f>IF(P46="","",P46*'Carbon factors'!$C$5)</f>
        <v>11.99484</v>
      </c>
      <c r="AF46" s="222">
        <f t="shared" si="1"/>
        <v>611.07167905579388</v>
      </c>
      <c r="AG46" s="61">
        <f t="shared" si="2"/>
        <v>11.981797628544978</v>
      </c>
    </row>
    <row r="47" spans="1:33" s="36" customFormat="1" ht="13.5" customHeight="1">
      <c r="A47" s="287" t="str">
        <f>IF(Baseline!A46="","",Baseline!A46)</f>
        <v>B2-A-12-03</v>
      </c>
      <c r="B47" s="141">
        <f>IF(Baseline!B46="","",Baseline!B46)</f>
        <v>74</v>
      </c>
      <c r="C47" s="141">
        <f>IF(Baseline!C46="","",Baseline!C46)</f>
        <v>16</v>
      </c>
      <c r="D47" s="288">
        <f>IF(Baseline!D46="","",Baseline!D46)</f>
        <v>1184</v>
      </c>
      <c r="E47" s="96">
        <f t="shared" si="4"/>
        <v>13.741350214012295</v>
      </c>
      <c r="F47" s="100">
        <f>'Be Lean'!F46</f>
        <v>13.74</v>
      </c>
      <c r="G47" s="147">
        <f>'Be Lean'!G46</f>
        <v>1252.1888412017167</v>
      </c>
      <c r="H47" s="100" t="s">
        <v>11</v>
      </c>
      <c r="I47" s="100">
        <f>'Be Lean'!I46</f>
        <v>2022.0708154506437</v>
      </c>
      <c r="J47" s="100" t="s">
        <v>11</v>
      </c>
      <c r="K47" s="100"/>
      <c r="L47" s="100"/>
      <c r="M47" s="100"/>
      <c r="N47" s="100">
        <f>'Be Lean'!K46</f>
        <v>325.04000000000002</v>
      </c>
      <c r="O47" s="100">
        <f>'Be Lean'!L46</f>
        <v>208.94</v>
      </c>
      <c r="P47" s="100">
        <f>'Be Lean'!M46</f>
        <v>62.59</v>
      </c>
      <c r="Q47" s="46">
        <f>IFERROR($G47*INDEX('Carbon factors'!$B$4:$B$10,MATCH($H47,Fuel_Type,0),1),"")</f>
        <v>270.4727896995708</v>
      </c>
      <c r="R47" s="47">
        <f>IFERROR($I47*INDEX('Carbon factors'!$B$4:$B$10,MATCH($J47,Fuel_Type,0),1),"")</f>
        <v>436.76729613733903</v>
      </c>
      <c r="S47" s="47" t="str">
        <f>IFERROR($K47*INDEX('Carbon factors'!$B$4:$B$10,MATCH($L47,Fuel_Type,0),1),"")</f>
        <v/>
      </c>
      <c r="T47" s="47" t="str">
        <f>IF(M47="","",M47*'Carbon factors'!$B$5)</f>
        <v/>
      </c>
      <c r="U47" s="47">
        <f>IF(N47="","",N47*'Carbon factors'!$B$5)</f>
        <v>168.69576000000001</v>
      </c>
      <c r="V47" s="47">
        <f>IF(O47="","",O47*'Carbon factors'!$B$5)</f>
        <v>108.43986</v>
      </c>
      <c r="W47" s="47">
        <f>IF(P47="","",P47*'Carbon factors'!$B$5)</f>
        <v>32.484210000000004</v>
      </c>
      <c r="X47" s="267">
        <f t="shared" si="3"/>
        <v>1016.8599158369099</v>
      </c>
      <c r="Y47" s="49">
        <f>IFERROR($G47*INDEX('Carbon factors'!$C$4:$C$10,MATCH($H47,Fuel_Type,0),1),"")</f>
        <v>262.95965665236048</v>
      </c>
      <c r="Z47" s="47">
        <f>IFERROR($I47*INDEX('Carbon factors'!$C$4:$C$10,MATCH($J47,Fuel_Type,0),1),"")</f>
        <v>424.63487124463518</v>
      </c>
      <c r="AA47" s="47" t="str">
        <f>IFERROR($K47*INDEX('Carbon factors'!$C$4:$C$10,MATCH($L47,Fuel_Type,0),1),"")</f>
        <v/>
      </c>
      <c r="AB47" s="47" t="str">
        <f>IF(M47="","",M47*'Carbon factors'!$C$5)</f>
        <v/>
      </c>
      <c r="AC47" s="47">
        <f>IF(N47="","",N47*'Carbon factors'!$C$5)</f>
        <v>75.734320000000011</v>
      </c>
      <c r="AD47" s="47">
        <f>IF(O47="","",O47*'Carbon factors'!$C$5)</f>
        <v>48.683019999999999</v>
      </c>
      <c r="AE47" s="47">
        <f>IF(P47="","",P47*'Carbon factors'!$C$5)</f>
        <v>14.583470000000002</v>
      </c>
      <c r="AF47" s="222">
        <f t="shared" si="1"/>
        <v>826.59533789699572</v>
      </c>
      <c r="AG47" s="61">
        <f t="shared" si="2"/>
        <v>11.17020726887832</v>
      </c>
    </row>
    <row r="48" spans="1:33" s="36" customFormat="1" ht="13.5" customHeight="1">
      <c r="A48" s="287" t="str">
        <f>IF(Baseline!A47="","",Baseline!A47)</f>
        <v>B4-A-02-02</v>
      </c>
      <c r="B48" s="141">
        <f>IF(Baseline!B47="","",Baseline!B47)</f>
        <v>57</v>
      </c>
      <c r="C48" s="141">
        <f>IF(Baseline!C47="","",Baseline!C47)</f>
        <v>2</v>
      </c>
      <c r="D48" s="288">
        <f>IF(Baseline!D47="","",Baseline!D47)</f>
        <v>114</v>
      </c>
      <c r="E48" s="96">
        <f t="shared" si="4"/>
        <v>15.200823584820419</v>
      </c>
      <c r="F48" s="100">
        <f>'Be Lean'!F47</f>
        <v>15.2</v>
      </c>
      <c r="G48" s="147">
        <f>'Be Lean'!G47</f>
        <v>974.84978540772534</v>
      </c>
      <c r="H48" s="100" t="s">
        <v>11</v>
      </c>
      <c r="I48" s="100">
        <f>'Be Lean'!I47</f>
        <v>1835.3540772532187</v>
      </c>
      <c r="J48" s="100" t="s">
        <v>11</v>
      </c>
      <c r="K48" s="100"/>
      <c r="L48" s="100"/>
      <c r="M48" s="100"/>
      <c r="N48" s="100">
        <f>'Be Lean'!K47</f>
        <v>260.29000000000002</v>
      </c>
      <c r="O48" s="100">
        <f>'Be Lean'!L47</f>
        <v>163.62</v>
      </c>
      <c r="P48" s="100">
        <f>'Be Lean'!M47</f>
        <v>75.98</v>
      </c>
      <c r="Q48" s="46">
        <f>IFERROR($G48*INDEX('Carbon factors'!$B$4:$B$10,MATCH($H48,Fuel_Type,0),1),"")</f>
        <v>210.56755364806867</v>
      </c>
      <c r="R48" s="47">
        <f>IFERROR($I48*INDEX('Carbon factors'!$B$4:$B$10,MATCH($J48,Fuel_Type,0),1),"")</f>
        <v>396.43648068669523</v>
      </c>
      <c r="S48" s="47" t="str">
        <f>IFERROR($K48*INDEX('Carbon factors'!$B$4:$B$10,MATCH($L48,Fuel_Type,0),1),"")</f>
        <v/>
      </c>
      <c r="T48" s="47" t="str">
        <f>IF(M48="","",M48*'Carbon factors'!$B$5)</f>
        <v/>
      </c>
      <c r="U48" s="47">
        <f>IF(N48="","",N48*'Carbon factors'!$B$5)</f>
        <v>135.09051000000002</v>
      </c>
      <c r="V48" s="47">
        <f>IF(O48="","",O48*'Carbon factors'!$B$5)</f>
        <v>84.918779999999998</v>
      </c>
      <c r="W48" s="47">
        <f>IF(P48="","",P48*'Carbon factors'!$B$5)</f>
        <v>39.433620000000005</v>
      </c>
      <c r="X48" s="267">
        <f t="shared" si="3"/>
        <v>866.44694433476388</v>
      </c>
      <c r="Y48" s="49">
        <f>IFERROR($G48*INDEX('Carbon factors'!$C$4:$C$10,MATCH($H48,Fuel_Type,0),1),"")</f>
        <v>204.7184549356223</v>
      </c>
      <c r="Z48" s="47">
        <f>IFERROR($I48*INDEX('Carbon factors'!$C$4:$C$10,MATCH($J48,Fuel_Type,0),1),"")</f>
        <v>385.42435622317595</v>
      </c>
      <c r="AA48" s="47" t="str">
        <f>IFERROR($K48*INDEX('Carbon factors'!$C$4:$C$10,MATCH($L48,Fuel_Type,0),1),"")</f>
        <v/>
      </c>
      <c r="AB48" s="47" t="str">
        <f>IF(M48="","",M48*'Carbon factors'!$C$5)</f>
        <v/>
      </c>
      <c r="AC48" s="47">
        <f>IF(N48="","",N48*'Carbon factors'!$C$5)</f>
        <v>60.647570000000009</v>
      </c>
      <c r="AD48" s="47">
        <f>IF(O48="","",O48*'Carbon factors'!$C$5)</f>
        <v>38.123460000000001</v>
      </c>
      <c r="AE48" s="47">
        <f>IF(P48="","",P48*'Carbon factors'!$C$5)</f>
        <v>17.703340000000001</v>
      </c>
      <c r="AF48" s="222">
        <f t="shared" si="1"/>
        <v>706.6171811587983</v>
      </c>
      <c r="AG48" s="61">
        <f t="shared" si="2"/>
        <v>12.396792651908742</v>
      </c>
    </row>
    <row r="49" spans="1:34" s="36" customFormat="1" ht="13.5" customHeight="1">
      <c r="A49" s="287" t="str">
        <f>IF(Baseline!A48="","",Baseline!A48)</f>
        <v>B4-A-03-07</v>
      </c>
      <c r="B49" s="141">
        <f>IF(Baseline!B48="","",Baseline!B48)</f>
        <v>78</v>
      </c>
      <c r="C49" s="141">
        <f>IF(Baseline!C48="","",Baseline!C48)</f>
        <v>42</v>
      </c>
      <c r="D49" s="288">
        <f>IF(Baseline!D48="","",Baseline!D48)</f>
        <v>3276</v>
      </c>
      <c r="E49" s="96">
        <f t="shared" si="4"/>
        <v>14.091496954440409</v>
      </c>
      <c r="F49" s="100">
        <f>'Be Lean'!F48</f>
        <v>14.09</v>
      </c>
      <c r="G49" s="147">
        <f>'Be Lean'!G48</f>
        <v>1550.9120171673819</v>
      </c>
      <c r="H49" s="100" t="s">
        <v>11</v>
      </c>
      <c r="I49" s="100">
        <f>'Be Lean'!I48</f>
        <v>2057.6931330472103</v>
      </c>
      <c r="J49" s="100" t="s">
        <v>11</v>
      </c>
      <c r="K49" s="100"/>
      <c r="L49" s="100"/>
      <c r="M49" s="100"/>
      <c r="N49" s="100">
        <f>'Be Lean'!K48</f>
        <v>338.83</v>
      </c>
      <c r="O49" s="100">
        <f>'Be Lean'!L48</f>
        <v>221.69</v>
      </c>
      <c r="P49" s="100">
        <f>'Be Lean'!M48</f>
        <v>55.43</v>
      </c>
      <c r="Q49" s="46">
        <f>IFERROR($G49*INDEX('Carbon factors'!$B$4:$B$10,MATCH($H49,Fuel_Type,0),1),"")</f>
        <v>334.99699570815449</v>
      </c>
      <c r="R49" s="47">
        <f>IFERROR($I49*INDEX('Carbon factors'!$B$4:$B$10,MATCH($J49,Fuel_Type,0),1),"")</f>
        <v>444.46171673819742</v>
      </c>
      <c r="S49" s="47" t="str">
        <f>IFERROR($K49*INDEX('Carbon factors'!$B$4:$B$10,MATCH($L49,Fuel_Type,0),1),"")</f>
        <v/>
      </c>
      <c r="T49" s="47" t="str">
        <f>IF(M49="","",M49*'Carbon factors'!$B$5)</f>
        <v/>
      </c>
      <c r="U49" s="47">
        <f>IF(N49="","",N49*'Carbon factors'!$B$5)</f>
        <v>175.85276999999999</v>
      </c>
      <c r="V49" s="47">
        <f>IF(O49="","",O49*'Carbon factors'!$B$5)</f>
        <v>115.05711000000001</v>
      </c>
      <c r="W49" s="47">
        <f>IF(P49="","",P49*'Carbon factors'!$B$5)</f>
        <v>28.768170000000001</v>
      </c>
      <c r="X49" s="267">
        <f t="shared" si="3"/>
        <v>1099.1367624463519</v>
      </c>
      <c r="Y49" s="49">
        <f>IFERROR($G49*INDEX('Carbon factors'!$C$4:$C$10,MATCH($H49,Fuel_Type,0),1),"")</f>
        <v>325.69152360515017</v>
      </c>
      <c r="Z49" s="47">
        <f>IFERROR($I49*INDEX('Carbon factors'!$C$4:$C$10,MATCH($J49,Fuel_Type,0),1),"")</f>
        <v>432.11555793991414</v>
      </c>
      <c r="AA49" s="47" t="str">
        <f>IFERROR($K49*INDEX('Carbon factors'!$C$4:$C$10,MATCH($L49,Fuel_Type,0),1),"")</f>
        <v/>
      </c>
      <c r="AB49" s="47" t="str">
        <f>IF(M49="","",M49*'Carbon factors'!$C$5)</f>
        <v/>
      </c>
      <c r="AC49" s="47">
        <f>IF(N49="","",N49*'Carbon factors'!$C$5)</f>
        <v>78.947389999999999</v>
      </c>
      <c r="AD49" s="47">
        <f>IF(O49="","",O49*'Carbon factors'!$C$5)</f>
        <v>51.653770000000002</v>
      </c>
      <c r="AE49" s="47">
        <f>IF(P49="","",P49*'Carbon factors'!$C$5)</f>
        <v>12.915190000000001</v>
      </c>
      <c r="AF49" s="222">
        <f t="shared" si="1"/>
        <v>901.32343154506441</v>
      </c>
      <c r="AG49" s="61">
        <f t="shared" si="2"/>
        <v>11.555428609552107</v>
      </c>
    </row>
    <row r="50" spans="1:34" s="36" customFormat="1" ht="13.5" customHeight="1">
      <c r="A50" s="287" t="str">
        <f>IF(Baseline!A49="","",Baseline!A49)</f>
        <v>B4-A-09-06</v>
      </c>
      <c r="B50" s="141">
        <f>IF(Baseline!B49="","",Baseline!B49)</f>
        <v>78</v>
      </c>
      <c r="C50" s="141">
        <f>IF(Baseline!C49="","",Baseline!C49)</f>
        <v>10</v>
      </c>
      <c r="D50" s="288">
        <f>IF(Baseline!D49="","",Baseline!D49)</f>
        <v>780</v>
      </c>
      <c r="E50" s="96">
        <f t="shared" si="4"/>
        <v>13.533568200726313</v>
      </c>
      <c r="F50" s="100">
        <f>'Be Lean'!F49</f>
        <v>13.53</v>
      </c>
      <c r="G50" s="147">
        <f>'Be Lean'!G49</f>
        <v>1295.8798283261801</v>
      </c>
      <c r="H50" s="100" t="s">
        <v>11</v>
      </c>
      <c r="I50" s="100">
        <f>'Be Lean'!I49</f>
        <v>2057.6931330472103</v>
      </c>
      <c r="J50" s="100" t="s">
        <v>11</v>
      </c>
      <c r="K50" s="100"/>
      <c r="L50" s="100"/>
      <c r="M50" s="100"/>
      <c r="N50" s="100">
        <f>'Be Lean'!K49</f>
        <v>338.83</v>
      </c>
      <c r="O50" s="100">
        <f>'Be Lean'!L49</f>
        <v>219.32</v>
      </c>
      <c r="P50" s="100">
        <f>'Be Lean'!M49</f>
        <v>80.09</v>
      </c>
      <c r="Q50" s="46">
        <f>IFERROR($G50*INDEX('Carbon factors'!$B$4:$B$10,MATCH($H50,Fuel_Type,0),1),"")</f>
        <v>279.91004291845491</v>
      </c>
      <c r="R50" s="47">
        <f>IFERROR($I50*INDEX('Carbon factors'!$B$4:$B$10,MATCH($J50,Fuel_Type,0),1),"")</f>
        <v>444.46171673819742</v>
      </c>
      <c r="S50" s="47" t="str">
        <f>IFERROR($K50*INDEX('Carbon factors'!$B$4:$B$10,MATCH($L50,Fuel_Type,0),1),"")</f>
        <v/>
      </c>
      <c r="T50" s="47" t="str">
        <f>IF(M50="","",M50*'Carbon factors'!$B$5)</f>
        <v/>
      </c>
      <c r="U50" s="47">
        <f>IF(N50="","",N50*'Carbon factors'!$B$5)</f>
        <v>175.85276999999999</v>
      </c>
      <c r="V50" s="47">
        <f>IF(O50="","",O50*'Carbon factors'!$B$5)</f>
        <v>113.82708</v>
      </c>
      <c r="W50" s="47">
        <f>IF(P50="","",P50*'Carbon factors'!$B$5)</f>
        <v>41.56671</v>
      </c>
      <c r="X50" s="267">
        <f t="shared" si="3"/>
        <v>1055.6183196566524</v>
      </c>
      <c r="Y50" s="49">
        <f>IFERROR($G50*INDEX('Carbon factors'!$C$4:$C$10,MATCH($H50,Fuel_Type,0),1),"")</f>
        <v>272.13476394849783</v>
      </c>
      <c r="Z50" s="47">
        <f>IFERROR($I50*INDEX('Carbon factors'!$C$4:$C$10,MATCH($J50,Fuel_Type,0),1),"")</f>
        <v>432.11555793991414</v>
      </c>
      <c r="AA50" s="47" t="str">
        <f>IFERROR($K50*INDEX('Carbon factors'!$C$4:$C$10,MATCH($L50,Fuel_Type,0),1),"")</f>
        <v/>
      </c>
      <c r="AB50" s="47" t="str">
        <f>IF(M50="","",M50*'Carbon factors'!$C$5)</f>
        <v/>
      </c>
      <c r="AC50" s="47">
        <f>IF(N50="","",N50*'Carbon factors'!$C$5)</f>
        <v>78.947389999999999</v>
      </c>
      <c r="AD50" s="47">
        <f>IF(O50="","",O50*'Carbon factors'!$C$5)</f>
        <v>51.101559999999999</v>
      </c>
      <c r="AE50" s="47">
        <f>IF(P50="","",P50*'Carbon factors'!$C$5)</f>
        <v>18.660970000000002</v>
      </c>
      <c r="AF50" s="222">
        <f t="shared" si="1"/>
        <v>852.96024188841193</v>
      </c>
      <c r="AG50" s="61">
        <f t="shared" si="2"/>
        <v>10.935387716518102</v>
      </c>
      <c r="AH50" s="98"/>
    </row>
    <row r="51" spans="1:34" s="36" customFormat="1" ht="13.5" customHeight="1">
      <c r="A51" s="287" t="str">
        <f>IF(Baseline!A50="","",Baseline!A50)</f>
        <v/>
      </c>
      <c r="B51" s="141" t="str">
        <f>IF(Baseline!B50="","",Baseline!B50)</f>
        <v/>
      </c>
      <c r="C51" s="141" t="str">
        <f>IF(Baseline!C50="","",Baseline!C50)</f>
        <v/>
      </c>
      <c r="D51" s="288" t="str">
        <f>IF(Baseline!D50="","",Baseline!D50)</f>
        <v/>
      </c>
      <c r="E51" s="96" t="str">
        <f t="shared" si="4"/>
        <v/>
      </c>
      <c r="F51" s="100">
        <f>'Be Lean'!F50</f>
        <v>0</v>
      </c>
      <c r="G51" s="147">
        <f>'Be Lean'!G50</f>
        <v>0</v>
      </c>
      <c r="H51" s="100"/>
      <c r="I51" s="100">
        <f>'Be Lean'!I50</f>
        <v>0</v>
      </c>
      <c r="J51" s="100"/>
      <c r="K51" s="100"/>
      <c r="L51" s="100"/>
      <c r="M51" s="100"/>
      <c r="N51" s="100">
        <f>'Be Lean'!K50</f>
        <v>0</v>
      </c>
      <c r="O51" s="100">
        <f>'Be Lean'!L50</f>
        <v>0</v>
      </c>
      <c r="P51" s="100">
        <f>'Be Lean'!M50</f>
        <v>0</v>
      </c>
      <c r="Q51" s="46" t="str">
        <f>IFERROR($G51*INDEX('Carbon factors'!$B$4:$B$10,MATCH($H51,Fuel_Type,0),1),"")</f>
        <v/>
      </c>
      <c r="R51" s="47" t="str">
        <f>IFERROR($I51*INDEX('Carbon factors'!$B$4:$B$10,MATCH($J51,Fuel_Type,0),1),"")</f>
        <v/>
      </c>
      <c r="S51" s="47" t="str">
        <f>IFERROR($K51*INDEX('Carbon factors'!$B$4:$B$10,MATCH($L51,Fuel_Type,0),1),"")</f>
        <v/>
      </c>
      <c r="T51" s="47" t="str">
        <f>IF(M51="","",M51*'Carbon factors'!$B$5)</f>
        <v/>
      </c>
      <c r="U51" s="47">
        <f>IF(N51="","",N51*'Carbon factors'!$B$5)</f>
        <v>0</v>
      </c>
      <c r="V51" s="47">
        <f>IF(O51="","",O51*'Carbon factors'!$B$5)</f>
        <v>0</v>
      </c>
      <c r="W51" s="47">
        <f>IF(P51="","",P51*'Carbon factors'!$B$5)</f>
        <v>0</v>
      </c>
      <c r="X51" s="267" t="str">
        <f t="shared" si="3"/>
        <v/>
      </c>
      <c r="Y51" s="49" t="str">
        <f>IFERROR($G51*INDEX('Carbon factors'!$C$4:$C$10,MATCH($H51,Fuel_Type,0),1),"")</f>
        <v/>
      </c>
      <c r="Z51" s="47" t="str">
        <f>IFERROR($I51*INDEX('Carbon factors'!$C$4:$C$10,MATCH($J51,Fuel_Type,0),1),"")</f>
        <v/>
      </c>
      <c r="AA51" s="47" t="str">
        <f>IFERROR($K51*INDEX('Carbon factors'!$C$4:$C$10,MATCH($L51,Fuel_Type,0),1),"")</f>
        <v/>
      </c>
      <c r="AB51" s="47" t="str">
        <f>IF(M51="","",M51*'Carbon factors'!$C$5)</f>
        <v/>
      </c>
      <c r="AC51" s="47">
        <f>IF(N51="","",N51*'Carbon factors'!$C$5)</f>
        <v>0</v>
      </c>
      <c r="AD51" s="47">
        <f>IF(O51="","",O51*'Carbon factors'!$C$5)</f>
        <v>0</v>
      </c>
      <c r="AE51" s="47">
        <f>IF(P51="","",P51*'Carbon factors'!$C$5)</f>
        <v>0</v>
      </c>
      <c r="AF51" s="222" t="str">
        <f t="shared" si="1"/>
        <v/>
      </c>
      <c r="AG51" s="61" t="str">
        <f t="shared" si="2"/>
        <v/>
      </c>
    </row>
    <row r="52" spans="1:34" s="36" customFormat="1" ht="13.5" customHeight="1">
      <c r="A52" s="287" t="str">
        <f>IF(Baseline!A51="","",Baseline!A51)</f>
        <v/>
      </c>
      <c r="B52" s="141" t="str">
        <f>IF(Baseline!B51="","",Baseline!B51)</f>
        <v/>
      </c>
      <c r="C52" s="141" t="str">
        <f>IF(Baseline!C51="","",Baseline!C51)</f>
        <v/>
      </c>
      <c r="D52" s="288" t="str">
        <f>IF(Baseline!D51="","",Baseline!D51)</f>
        <v/>
      </c>
      <c r="E52" s="96" t="str">
        <f t="shared" si="4"/>
        <v/>
      </c>
      <c r="F52" s="100">
        <f>'Be Lean'!F51</f>
        <v>0</v>
      </c>
      <c r="G52" s="147">
        <f>'Be Lean'!G51</f>
        <v>0</v>
      </c>
      <c r="H52" s="100"/>
      <c r="I52" s="100">
        <f>'Be Lean'!I51</f>
        <v>0</v>
      </c>
      <c r="J52" s="100"/>
      <c r="K52" s="100"/>
      <c r="L52" s="100"/>
      <c r="M52" s="100"/>
      <c r="N52" s="100">
        <f>'Be Lean'!K51</f>
        <v>0</v>
      </c>
      <c r="O52" s="100">
        <f>'Be Lean'!L51</f>
        <v>0</v>
      </c>
      <c r="P52" s="100">
        <f>'Be Lean'!M51</f>
        <v>0</v>
      </c>
      <c r="Q52" s="46" t="str">
        <f>IFERROR($G52*INDEX('Carbon factors'!$B$4:$B$10,MATCH($H52,Fuel_Type,0),1),"")</f>
        <v/>
      </c>
      <c r="R52" s="47" t="str">
        <f>IFERROR($I52*INDEX('Carbon factors'!$B$4:$B$10,MATCH($J52,Fuel_Type,0),1),"")</f>
        <v/>
      </c>
      <c r="S52" s="47" t="str">
        <f>IFERROR($K52*INDEX('Carbon factors'!$B$4:$B$10,MATCH($L52,Fuel_Type,0),1),"")</f>
        <v/>
      </c>
      <c r="T52" s="47" t="str">
        <f>IF(M52="","",M52*'Carbon factors'!$B$5)</f>
        <v/>
      </c>
      <c r="U52" s="47">
        <f>IF(N52="","",N52*'Carbon factors'!$B$5)</f>
        <v>0</v>
      </c>
      <c r="V52" s="47">
        <f>IF(O52="","",O52*'Carbon factors'!$B$5)</f>
        <v>0</v>
      </c>
      <c r="W52" s="47">
        <f>IF(P52="","",P52*'Carbon factors'!$B$5)</f>
        <v>0</v>
      </c>
      <c r="X52" s="267" t="str">
        <f t="shared" si="3"/>
        <v/>
      </c>
      <c r="Y52" s="49" t="str">
        <f>IFERROR($G52*INDEX('Carbon factors'!$C$4:$C$10,MATCH($H52,Fuel_Type,0),1),"")</f>
        <v/>
      </c>
      <c r="Z52" s="47" t="str">
        <f>IFERROR($I52*INDEX('Carbon factors'!$C$4:$C$10,MATCH($J52,Fuel_Type,0),1),"")</f>
        <v/>
      </c>
      <c r="AA52" s="47" t="str">
        <f>IFERROR($K52*INDEX('Carbon factors'!$C$4:$C$10,MATCH($L52,Fuel_Type,0),1),"")</f>
        <v/>
      </c>
      <c r="AB52" s="47" t="str">
        <f>IF(M52="","",M52*'Carbon factors'!$C$5)</f>
        <v/>
      </c>
      <c r="AC52" s="47">
        <f>IF(N52="","",N52*'Carbon factors'!$C$5)</f>
        <v>0</v>
      </c>
      <c r="AD52" s="47">
        <f>IF(O52="","",O52*'Carbon factors'!$C$5)</f>
        <v>0</v>
      </c>
      <c r="AE52" s="47">
        <f>IF(P52="","",P52*'Carbon factors'!$C$5)</f>
        <v>0</v>
      </c>
      <c r="AF52" s="222" t="str">
        <f t="shared" si="1"/>
        <v/>
      </c>
      <c r="AG52" s="61" t="str">
        <f t="shared" si="2"/>
        <v/>
      </c>
    </row>
    <row r="53" spans="1:34" s="36" customFormat="1" ht="13.5" customHeight="1">
      <c r="A53" s="287" t="str">
        <f>IF(Baseline!A52="","",Baseline!A52)</f>
        <v/>
      </c>
      <c r="B53" s="141" t="str">
        <f>IF(Baseline!B52="","",Baseline!B52)</f>
        <v/>
      </c>
      <c r="C53" s="141" t="str">
        <f>IF(Baseline!C52="","",Baseline!C52)</f>
        <v/>
      </c>
      <c r="D53" s="288" t="str">
        <f>IF(Baseline!D52="","",Baseline!D52)</f>
        <v/>
      </c>
      <c r="E53" s="96" t="str">
        <f t="shared" si="4"/>
        <v/>
      </c>
      <c r="F53" s="109"/>
      <c r="G53" s="147"/>
      <c r="H53" s="100"/>
      <c r="I53" s="100"/>
      <c r="J53" s="100"/>
      <c r="K53" s="100"/>
      <c r="L53" s="100"/>
      <c r="M53" s="100"/>
      <c r="N53" s="100"/>
      <c r="O53" s="100"/>
      <c r="P53" s="100"/>
      <c r="Q53" s="46" t="str">
        <f>IFERROR($G53*INDEX('Carbon factors'!$B$4:$B$10,MATCH($H53,Fuel_Type,0),1),"")</f>
        <v/>
      </c>
      <c r="R53" s="47" t="str">
        <f>IFERROR($I53*INDEX('Carbon factors'!$B$4:$B$10,MATCH($J53,Fuel_Type,0),1),"")</f>
        <v/>
      </c>
      <c r="S53" s="47" t="str">
        <f>IFERROR($K53*INDEX('Carbon factors'!$B$4:$B$10,MATCH($L53,Fuel_Type,0),1),"")</f>
        <v/>
      </c>
      <c r="T53" s="47" t="str">
        <f>IF(M53="","",M53*'Carbon factors'!$B$5)</f>
        <v/>
      </c>
      <c r="U53" s="47" t="str">
        <f>IF(N53="","",N53*'Carbon factors'!$B$5)</f>
        <v/>
      </c>
      <c r="V53" s="47" t="str">
        <f>IF(O53="","",O53*'Carbon factors'!$B$5)</f>
        <v/>
      </c>
      <c r="W53" s="47" t="str">
        <f>IF(P53="","",P53*'Carbon factors'!$B$5)</f>
        <v/>
      </c>
      <c r="X53" s="267" t="str">
        <f t="shared" si="3"/>
        <v/>
      </c>
      <c r="Y53" s="49" t="str">
        <f>IFERROR($G53*INDEX('Carbon factors'!$C$4:$C$10,MATCH($H53,Fuel_Type,0),1),"")</f>
        <v/>
      </c>
      <c r="Z53" s="47" t="str">
        <f>IFERROR($I53*INDEX('Carbon factors'!$C$4:$C$10,MATCH($J53,Fuel_Type,0),1),"")</f>
        <v/>
      </c>
      <c r="AA53" s="47" t="str">
        <f>IFERROR($K53*INDEX('Carbon factors'!$C$4:$C$10,MATCH($L53,Fuel_Type,0),1),"")</f>
        <v/>
      </c>
      <c r="AB53" s="47" t="str">
        <f>IF(M53="","",M53*'Carbon factors'!$C$5)</f>
        <v/>
      </c>
      <c r="AC53" s="47" t="str">
        <f>IF(N53="","",N53*'Carbon factors'!$C$5)</f>
        <v/>
      </c>
      <c r="AD53" s="47" t="str">
        <f>IF(O53="","",O53*'Carbon factors'!$C$5)</f>
        <v/>
      </c>
      <c r="AE53" s="47" t="str">
        <f>IF(P53="","",P53*'Carbon factors'!$C$5)</f>
        <v/>
      </c>
      <c r="AF53" s="222" t="str">
        <f t="shared" si="1"/>
        <v/>
      </c>
      <c r="AG53" s="61" t="str">
        <f t="shared" si="2"/>
        <v/>
      </c>
    </row>
    <row r="54" spans="1:34" s="36" customFormat="1" ht="13.5" customHeight="1">
      <c r="A54" s="287" t="str">
        <f>IF(Baseline!A53="","",Baseline!A53)</f>
        <v/>
      </c>
      <c r="B54" s="141" t="str">
        <f>IF(Baseline!B53="","",Baseline!B53)</f>
        <v/>
      </c>
      <c r="C54" s="141" t="str">
        <f>IF(Baseline!C53="","",Baseline!C53)</f>
        <v/>
      </c>
      <c r="D54" s="288" t="str">
        <f>IF(Baseline!D53="","",Baseline!D53)</f>
        <v/>
      </c>
      <c r="E54" s="96" t="str">
        <f t="shared" si="4"/>
        <v/>
      </c>
      <c r="F54" s="109"/>
      <c r="G54" s="147"/>
      <c r="H54" s="100"/>
      <c r="I54" s="100"/>
      <c r="J54" s="100"/>
      <c r="K54" s="100"/>
      <c r="L54" s="100"/>
      <c r="M54" s="100"/>
      <c r="N54" s="100"/>
      <c r="O54" s="100"/>
      <c r="P54" s="100"/>
      <c r="Q54" s="46" t="str">
        <f>IFERROR($G54*INDEX('Carbon factors'!$B$4:$B$10,MATCH($H54,Fuel_Type,0),1),"")</f>
        <v/>
      </c>
      <c r="R54" s="47" t="str">
        <f>IFERROR($I54*INDEX('Carbon factors'!$B$4:$B$10,MATCH($J54,Fuel_Type,0),1),"")</f>
        <v/>
      </c>
      <c r="S54" s="47" t="str">
        <f>IFERROR($K54*INDEX('Carbon factors'!$B$4:$B$10,MATCH($L54,Fuel_Type,0),1),"")</f>
        <v/>
      </c>
      <c r="T54" s="47" t="str">
        <f>IF(M54="","",M54*'Carbon factors'!$B$5)</f>
        <v/>
      </c>
      <c r="U54" s="47" t="str">
        <f>IF(N54="","",N54*'Carbon factors'!$B$5)</f>
        <v/>
      </c>
      <c r="V54" s="47" t="str">
        <f>IF(O54="","",O54*'Carbon factors'!$B$5)</f>
        <v/>
      </c>
      <c r="W54" s="47" t="str">
        <f>IF(P54="","",P54*'Carbon factors'!$B$5)</f>
        <v/>
      </c>
      <c r="X54" s="267" t="str">
        <f t="shared" si="3"/>
        <v/>
      </c>
      <c r="Y54" s="49" t="str">
        <f>IFERROR($G54*INDEX('Carbon factors'!$C$4:$C$10,MATCH($H54,Fuel_Type,0),1),"")</f>
        <v/>
      </c>
      <c r="Z54" s="47" t="str">
        <f>IFERROR($I54*INDEX('Carbon factors'!$C$4:$C$10,MATCH($J54,Fuel_Type,0),1),"")</f>
        <v/>
      </c>
      <c r="AA54" s="47" t="str">
        <f>IFERROR($K54*INDEX('Carbon factors'!$C$4:$C$10,MATCH($L54,Fuel_Type,0),1),"")</f>
        <v/>
      </c>
      <c r="AB54" s="47" t="str">
        <f>IF(M54="","",M54*'Carbon factors'!$C$5)</f>
        <v/>
      </c>
      <c r="AC54" s="47" t="str">
        <f>IF(N54="","",N54*'Carbon factors'!$C$5)</f>
        <v/>
      </c>
      <c r="AD54" s="47" t="str">
        <f>IF(O54="","",O54*'Carbon factors'!$C$5)</f>
        <v/>
      </c>
      <c r="AE54" s="47" t="str">
        <f>IF(P54="","",P54*'Carbon factors'!$C$5)</f>
        <v/>
      </c>
      <c r="AF54" s="222" t="str">
        <f t="shared" si="1"/>
        <v/>
      </c>
      <c r="AG54" s="61" t="str">
        <f t="shared" si="2"/>
        <v/>
      </c>
    </row>
    <row r="55" spans="1:34" s="36" customFormat="1" ht="13.5" customHeight="1">
      <c r="A55" s="287" t="str">
        <f>IF(Baseline!A54="","",Baseline!A54)</f>
        <v/>
      </c>
      <c r="B55" s="141" t="str">
        <f>IF(Baseline!B54="","",Baseline!B54)</f>
        <v/>
      </c>
      <c r="C55" s="141" t="str">
        <f>IF(Baseline!C54="","",Baseline!C54)</f>
        <v/>
      </c>
      <c r="D55" s="288" t="str">
        <f>IF(Baseline!D54="","",Baseline!D54)</f>
        <v/>
      </c>
      <c r="E55" s="96" t="str">
        <f t="shared" si="4"/>
        <v/>
      </c>
      <c r="F55" s="109"/>
      <c r="G55" s="147"/>
      <c r="H55" s="100"/>
      <c r="I55" s="100"/>
      <c r="J55" s="100"/>
      <c r="K55" s="100"/>
      <c r="L55" s="100"/>
      <c r="M55" s="100"/>
      <c r="N55" s="100"/>
      <c r="O55" s="100"/>
      <c r="P55" s="100"/>
      <c r="Q55" s="46" t="str">
        <f>IFERROR($G55*INDEX('Carbon factors'!$B$4:$B$10,MATCH($H55,Fuel_Type,0),1),"")</f>
        <v/>
      </c>
      <c r="R55" s="47" t="str">
        <f>IFERROR($I55*INDEX('Carbon factors'!$B$4:$B$10,MATCH($J55,Fuel_Type,0),1),"")</f>
        <v/>
      </c>
      <c r="S55" s="47" t="str">
        <f>IFERROR($K55*INDEX('Carbon factors'!$B$4:$B$10,MATCH($L55,Fuel_Type,0),1),"")</f>
        <v/>
      </c>
      <c r="T55" s="47" t="str">
        <f>IF(M55="","",M55*'Carbon factors'!$B$5)</f>
        <v/>
      </c>
      <c r="U55" s="47" t="str">
        <f>IF(N55="","",N55*'Carbon factors'!$B$5)</f>
        <v/>
      </c>
      <c r="V55" s="47" t="str">
        <f>IF(O55="","",O55*'Carbon factors'!$B$5)</f>
        <v/>
      </c>
      <c r="W55" s="47" t="str">
        <f>IF(P55="","",P55*'Carbon factors'!$B$5)</f>
        <v/>
      </c>
      <c r="X55" s="267" t="str">
        <f t="shared" si="3"/>
        <v/>
      </c>
      <c r="Y55" s="49" t="str">
        <f>IFERROR($G55*INDEX('Carbon factors'!$C$4:$C$10,MATCH($H55,Fuel_Type,0),1),"")</f>
        <v/>
      </c>
      <c r="Z55" s="47" t="str">
        <f>IFERROR($I55*INDEX('Carbon factors'!$C$4:$C$10,MATCH($J55,Fuel_Type,0),1),"")</f>
        <v/>
      </c>
      <c r="AA55" s="47" t="str">
        <f>IFERROR($K55*INDEX('Carbon factors'!$C$4:$C$10,MATCH($L55,Fuel_Type,0),1),"")</f>
        <v/>
      </c>
      <c r="AB55" s="47" t="str">
        <f>IF(M55="","",M55*'Carbon factors'!$C$5)</f>
        <v/>
      </c>
      <c r="AC55" s="47" t="str">
        <f>IF(N55="","",N55*'Carbon factors'!$C$5)</f>
        <v/>
      </c>
      <c r="AD55" s="47" t="str">
        <f>IF(O55="","",O55*'Carbon factors'!$C$5)</f>
        <v/>
      </c>
      <c r="AE55" s="47" t="str">
        <f>IF(P55="","",P55*'Carbon factors'!$C$5)</f>
        <v/>
      </c>
      <c r="AF55" s="222" t="str">
        <f t="shared" si="1"/>
        <v/>
      </c>
      <c r="AG55" s="61" t="str">
        <f t="shared" si="2"/>
        <v/>
      </c>
    </row>
    <row r="56" spans="1:34" s="36" customFormat="1" ht="13.5" customHeight="1">
      <c r="A56" s="287" t="str">
        <f>IF(Baseline!A55="","",Baseline!A55)</f>
        <v/>
      </c>
      <c r="B56" s="141" t="str">
        <f>IF(Baseline!B55="","",Baseline!B55)</f>
        <v/>
      </c>
      <c r="C56" s="141" t="str">
        <f>IF(Baseline!C55="","",Baseline!C55)</f>
        <v/>
      </c>
      <c r="D56" s="288" t="str">
        <f>IF(Baseline!D55="","",Baseline!D55)</f>
        <v/>
      </c>
      <c r="E56" s="96" t="str">
        <f t="shared" si="4"/>
        <v/>
      </c>
      <c r="F56" s="109"/>
      <c r="G56" s="147"/>
      <c r="H56" s="100"/>
      <c r="I56" s="100"/>
      <c r="J56" s="100"/>
      <c r="K56" s="100"/>
      <c r="L56" s="100"/>
      <c r="M56" s="100"/>
      <c r="N56" s="100"/>
      <c r="O56" s="100"/>
      <c r="P56" s="100"/>
      <c r="Q56" s="46" t="str">
        <f>IFERROR($G56*INDEX('Carbon factors'!$B$4:$B$10,MATCH($H56,Fuel_Type,0),1),"")</f>
        <v/>
      </c>
      <c r="R56" s="47" t="str">
        <f>IFERROR($I56*INDEX('Carbon factors'!$B$4:$B$10,MATCH($J56,Fuel_Type,0),1),"")</f>
        <v/>
      </c>
      <c r="S56" s="47" t="str">
        <f>IFERROR($K56*INDEX('Carbon factors'!$B$4:$B$10,MATCH($L56,Fuel_Type,0),1),"")</f>
        <v/>
      </c>
      <c r="T56" s="47" t="str">
        <f>IF(M56="","",M56*'Carbon factors'!$B$5)</f>
        <v/>
      </c>
      <c r="U56" s="47" t="str">
        <f>IF(N56="","",N56*'Carbon factors'!$B$5)</f>
        <v/>
      </c>
      <c r="V56" s="47" t="str">
        <f>IF(O56="","",O56*'Carbon factors'!$B$5)</f>
        <v/>
      </c>
      <c r="W56" s="47" t="str">
        <f>IF(P56="","",P56*'Carbon factors'!$B$5)</f>
        <v/>
      </c>
      <c r="X56" s="267" t="str">
        <f t="shared" si="3"/>
        <v/>
      </c>
      <c r="Y56" s="49" t="str">
        <f>IFERROR($G56*INDEX('Carbon factors'!$C$4:$C$10,MATCH($H56,Fuel_Type,0),1),"")</f>
        <v/>
      </c>
      <c r="Z56" s="47" t="str">
        <f>IFERROR($I56*INDEX('Carbon factors'!$C$4:$C$10,MATCH($J56,Fuel_Type,0),1),"")</f>
        <v/>
      </c>
      <c r="AA56" s="47" t="str">
        <f>IFERROR($K56*INDEX('Carbon factors'!$C$4:$C$10,MATCH($L56,Fuel_Type,0),1),"")</f>
        <v/>
      </c>
      <c r="AB56" s="47" t="str">
        <f>IF(M56="","",M56*'Carbon factors'!$C$5)</f>
        <v/>
      </c>
      <c r="AC56" s="47" t="str">
        <f>IF(N56="","",N56*'Carbon factors'!$C$5)</f>
        <v/>
      </c>
      <c r="AD56" s="47" t="str">
        <f>IF(O56="","",O56*'Carbon factors'!$C$5)</f>
        <v/>
      </c>
      <c r="AE56" s="47" t="str">
        <f>IF(P56="","",P56*'Carbon factors'!$C$5)</f>
        <v/>
      </c>
      <c r="AF56" s="222" t="str">
        <f t="shared" si="1"/>
        <v/>
      </c>
      <c r="AG56" s="61" t="str">
        <f t="shared" si="2"/>
        <v/>
      </c>
    </row>
    <row r="57" spans="1:34" s="36" customFormat="1" ht="13.5" customHeight="1">
      <c r="A57" s="289" t="str">
        <f>IF(Baseline!A56="","",Baseline!A56)</f>
        <v/>
      </c>
      <c r="B57" s="290" t="str">
        <f>IF(Baseline!B56="","",Baseline!B56)</f>
        <v/>
      </c>
      <c r="C57" s="290" t="str">
        <f>IF(Baseline!C56="","",Baseline!C56)</f>
        <v/>
      </c>
      <c r="D57" s="291" t="str">
        <f>IF(Baseline!D56="","",Baseline!D56)</f>
        <v/>
      </c>
      <c r="E57" s="89" t="str">
        <f t="shared" si="4"/>
        <v/>
      </c>
      <c r="F57" s="110"/>
      <c r="G57" s="347"/>
      <c r="H57" s="104"/>
      <c r="I57" s="104"/>
      <c r="J57" s="104"/>
      <c r="K57" s="104"/>
      <c r="L57" s="104"/>
      <c r="M57" s="104"/>
      <c r="N57" s="104"/>
      <c r="O57" s="104"/>
      <c r="P57" s="105"/>
      <c r="Q57" s="50" t="str">
        <f>IFERROR($G57*INDEX('Carbon factors'!$B$4:$B$10,MATCH($H57,Fuel_Type,0),1),"")</f>
        <v/>
      </c>
      <c r="R57" s="47" t="str">
        <f>IFERROR($I57*INDEX('Carbon factors'!$B$4:$B$10,MATCH($J57,Fuel_Type,0),1),"")</f>
        <v/>
      </c>
      <c r="S57" s="51" t="str">
        <f>IFERROR($K57*INDEX('Carbon factors'!$B$4:$B$10,MATCH($L57,Fuel_Type,0),1),"")</f>
        <v/>
      </c>
      <c r="T57" s="51" t="str">
        <f>IF(M57="","",M57*'Carbon factors'!$B$5)</f>
        <v/>
      </c>
      <c r="U57" s="47" t="str">
        <f>IF(N57="","",N57*'Carbon factors'!$B$5)</f>
        <v/>
      </c>
      <c r="V57" s="51" t="str">
        <f>IF(O57="","",O57*'Carbon factors'!$B$5)</f>
        <v/>
      </c>
      <c r="W57" s="51" t="str">
        <f>IF(P57="","",P57*'Carbon factors'!$B$5)</f>
        <v/>
      </c>
      <c r="X57" s="268" t="str">
        <f t="shared" si="3"/>
        <v/>
      </c>
      <c r="Y57" s="53" t="str">
        <f>IFERROR($G57*INDEX('Carbon factors'!$C$4:$C$10,MATCH($H57,Fuel_Type,0),1),"")</f>
        <v/>
      </c>
      <c r="Z57" s="51" t="str">
        <f>IFERROR($I57*INDEX('Carbon factors'!$C$4:$C$10,MATCH($J57,Fuel_Type,0),1),"")</f>
        <v/>
      </c>
      <c r="AA57" s="51" t="str">
        <f>IFERROR($K57*INDEX('Carbon factors'!$C$4:$C$10,MATCH($L57,Fuel_Type,0),1),"")</f>
        <v/>
      </c>
      <c r="AB57" s="51" t="str">
        <f>IF(M57="","",M57*'Carbon factors'!$C$5)</f>
        <v/>
      </c>
      <c r="AC57" s="51" t="str">
        <f>IF(N57="","",N57*'Carbon factors'!$C$5)</f>
        <v/>
      </c>
      <c r="AD57" s="51" t="str">
        <f>IF(O57="","",O57*'Carbon factors'!$C$5)</f>
        <v/>
      </c>
      <c r="AE57" s="51" t="str">
        <f>IF(P57="","",P57*'Carbon factors'!$C$5)</f>
        <v/>
      </c>
      <c r="AF57" s="223" t="str">
        <f t="shared" si="1"/>
        <v/>
      </c>
      <c r="AG57" s="62" t="str">
        <f t="shared" si="2"/>
        <v/>
      </c>
    </row>
    <row r="58" spans="1:34" s="36" customFormat="1" ht="24.75" customHeight="1">
      <c r="A58" s="54" t="s">
        <v>2</v>
      </c>
      <c r="B58" s="55">
        <f>SUMPRODUCT(B7:B57,C7:C57)</f>
        <v>26745</v>
      </c>
      <c r="C58" s="55">
        <f>SUM(C7:C57)</f>
        <v>375</v>
      </c>
      <c r="D58" s="55">
        <f>SUM(D7:D57)</f>
        <v>26745</v>
      </c>
      <c r="E58" s="200">
        <f>X58/B58</f>
        <v>13.991136244238024</v>
      </c>
      <c r="F58" s="201" t="s">
        <v>3</v>
      </c>
      <c r="G58" s="55">
        <f>SUMPRODUCT(G7:G57,C7:C57)</f>
        <v>485327.16738197423</v>
      </c>
      <c r="H58" s="83" t="s">
        <v>12</v>
      </c>
      <c r="I58" s="55">
        <f>SUMPRODUCT(I7:I57,$C7:$C57)</f>
        <v>738113.62660944194</v>
      </c>
      <c r="J58" s="83" t="s">
        <v>12</v>
      </c>
      <c r="K58" s="55">
        <f>SUMPRODUCT(K7:K57,$C7:$C57)</f>
        <v>0</v>
      </c>
      <c r="L58" s="83" t="s">
        <v>12</v>
      </c>
      <c r="M58" s="55">
        <f>SUMPRODUCT(M7:M57,B7:B57)</f>
        <v>0</v>
      </c>
      <c r="N58" s="55">
        <f>SUMPRODUCT(N7:N57,C7:C57)</f>
        <v>116765.69</v>
      </c>
      <c r="O58" s="55">
        <f>SUMPRODUCT(O7:O57,C7:C57)</f>
        <v>74212.14</v>
      </c>
      <c r="P58" s="56">
        <f>SUMPRODUCT(P7:P57,C7:C57)</f>
        <v>20832.82</v>
      </c>
      <c r="Q58" s="198">
        <f t="shared" ref="Q58:W58" si="5">SUMPRODUCT(Q7:Q57,$C$7:$C$57)</f>
        <v>104830.66815450642</v>
      </c>
      <c r="R58" s="199">
        <f t="shared" si="5"/>
        <v>159432.5433476395</v>
      </c>
      <c r="S58" s="55">
        <f t="shared" si="5"/>
        <v>0</v>
      </c>
      <c r="T58" s="55">
        <f>SUMPRODUCT(T7:T57,$C$7:$C$57)</f>
        <v>0</v>
      </c>
      <c r="U58" s="199">
        <f t="shared" si="5"/>
        <v>60601.393109999997</v>
      </c>
      <c r="V58" s="55">
        <f t="shared" si="5"/>
        <v>38516.100659999996</v>
      </c>
      <c r="W58" s="55">
        <f t="shared" si="5"/>
        <v>10812.233580000002</v>
      </c>
      <c r="X58" s="277">
        <f>SUMPRODUCT(E7:E57,D7:D57)</f>
        <v>374192.93885214598</v>
      </c>
      <c r="Y58" s="58">
        <f t="shared" ref="Y58:AE58" si="6">SUMPRODUCT(Y7:Y57,$C$7:$C$57)</f>
        <v>101918.70515021458</v>
      </c>
      <c r="Z58" s="55">
        <f t="shared" si="6"/>
        <v>155003.86158798283</v>
      </c>
      <c r="AA58" s="55">
        <f t="shared" si="6"/>
        <v>0</v>
      </c>
      <c r="AB58" s="55">
        <f t="shared" si="6"/>
        <v>0</v>
      </c>
      <c r="AC58" s="55">
        <f t="shared" si="6"/>
        <v>27206.405769999998</v>
      </c>
      <c r="AD58" s="55">
        <f t="shared" si="6"/>
        <v>17291.428619999999</v>
      </c>
      <c r="AE58" s="55">
        <f t="shared" si="6"/>
        <v>4854.047059999999</v>
      </c>
      <c r="AF58" s="224">
        <f>SUMPRODUCT(AG7:AG57,D7:D57)</f>
        <v>306274.44818819739</v>
      </c>
      <c r="AG58" s="68">
        <f>AF58/B58</f>
        <v>11.451652577610671</v>
      </c>
    </row>
    <row r="59" spans="1:34" s="80" customFormat="1" ht="27" customHeight="1">
      <c r="A59" s="478" t="s">
        <v>186</v>
      </c>
      <c r="B59" s="479"/>
      <c r="C59" s="479"/>
      <c r="D59" s="479"/>
      <c r="E59" s="479"/>
      <c r="F59" s="479"/>
      <c r="G59" s="479"/>
      <c r="H59" s="479"/>
      <c r="I59" s="479"/>
      <c r="J59" s="479"/>
      <c r="K59" s="479"/>
      <c r="L59" s="479"/>
      <c r="M59" s="479"/>
      <c r="N59" s="479"/>
      <c r="O59" s="479"/>
      <c r="P59" s="479"/>
      <c r="Q59" s="479"/>
      <c r="R59" s="479"/>
      <c r="S59" s="479"/>
      <c r="T59" s="479"/>
      <c r="U59" s="479"/>
      <c r="V59" s="479"/>
      <c r="W59" s="479"/>
      <c r="X59" s="479"/>
      <c r="Y59" s="479"/>
      <c r="Z59" s="479"/>
      <c r="AA59" s="479"/>
      <c r="AB59" s="479"/>
      <c r="AC59" s="479"/>
      <c r="AD59" s="479"/>
      <c r="AE59" s="479"/>
      <c r="AF59" s="479"/>
      <c r="AG59" s="480"/>
    </row>
    <row r="60" spans="1:34" s="36" customFormat="1" ht="26.25" customHeight="1">
      <c r="A60" s="394" t="str">
        <f>'Be Lean'!A59</f>
        <v>Building Use</v>
      </c>
      <c r="B60" s="385" t="str">
        <f>'Be Lean'!B59</f>
        <v>Area per unit (m²)</v>
      </c>
      <c r="C60" s="384" t="str">
        <f>'Be Lean'!C59</f>
        <v>Number of units</v>
      </c>
      <c r="D60" s="430" t="str">
        <f>'Be Lean'!D59</f>
        <v>Total area represented by model  (m²)</v>
      </c>
      <c r="E60" s="371" t="str">
        <f>Baseline!E3</f>
        <v>VALIDATION CHECK</v>
      </c>
      <c r="F60" s="439"/>
      <c r="G60" s="371" t="s">
        <v>251</v>
      </c>
      <c r="H60" s="372"/>
      <c r="I60" s="372"/>
      <c r="J60" s="372"/>
      <c r="K60" s="372"/>
      <c r="L60" s="372"/>
      <c r="M60" s="435"/>
      <c r="N60" s="372"/>
      <c r="O60" s="372"/>
      <c r="P60" s="373"/>
      <c r="Q60" s="371" t="s">
        <v>254</v>
      </c>
      <c r="R60" s="372"/>
      <c r="S60" s="372"/>
      <c r="T60" s="372"/>
      <c r="U60" s="372"/>
      <c r="V60" s="372"/>
      <c r="W60" s="372"/>
      <c r="X60" s="372"/>
      <c r="Y60" s="448" t="s">
        <v>18</v>
      </c>
      <c r="Z60" s="449"/>
      <c r="AA60" s="449"/>
      <c r="AB60" s="449"/>
      <c r="AC60" s="449"/>
      <c r="AD60" s="449"/>
      <c r="AE60" s="449"/>
      <c r="AF60" s="449"/>
      <c r="AG60" s="280"/>
    </row>
    <row r="61" spans="1:34" s="36" customFormat="1" ht="63.75">
      <c r="A61" s="394"/>
      <c r="B61" s="385"/>
      <c r="C61" s="385"/>
      <c r="D61" s="430"/>
      <c r="E61" s="407" t="s">
        <v>29</v>
      </c>
      <c r="F61" s="374" t="s">
        <v>28</v>
      </c>
      <c r="G61" s="407" t="s">
        <v>130</v>
      </c>
      <c r="H61" s="389" t="s">
        <v>20</v>
      </c>
      <c r="I61" s="389" t="s">
        <v>131</v>
      </c>
      <c r="J61" s="389" t="s">
        <v>21</v>
      </c>
      <c r="K61" s="474" t="s">
        <v>12</v>
      </c>
      <c r="L61" s="476" t="s">
        <v>12</v>
      </c>
      <c r="M61" s="225" t="str">
        <f>M4</f>
        <v xml:space="preserve">Total Electricity generated by CHP (-) 
</v>
      </c>
      <c r="N61" s="389" t="s">
        <v>132</v>
      </c>
      <c r="O61" s="389" t="s">
        <v>133</v>
      </c>
      <c r="P61" s="387" t="s">
        <v>134</v>
      </c>
      <c r="Q61" s="239" t="str">
        <f>'Carbon factors'!A4</f>
        <v>Natural Gas</v>
      </c>
      <c r="R61" s="240" t="str">
        <f>'Carbon factors'!A5</f>
        <v xml:space="preserve">Grid Electricity </v>
      </c>
      <c r="S61" s="226" t="str">
        <f>'Carbon factors'!A10</f>
        <v xml:space="preserve">Bespoke DH Factor </v>
      </c>
      <c r="T61" s="157" t="s">
        <v>191</v>
      </c>
      <c r="U61" s="474"/>
      <c r="V61" s="474"/>
      <c r="W61" s="474"/>
      <c r="X61" s="472" t="s">
        <v>96</v>
      </c>
      <c r="Y61" s="227" t="str">
        <f>Q61</f>
        <v>Natural Gas</v>
      </c>
      <c r="Z61" s="157" t="str">
        <f>R61</f>
        <v xml:space="preserve">Grid Electricity </v>
      </c>
      <c r="AA61" s="157" t="str">
        <f>S61</f>
        <v xml:space="preserve">Bespoke DH Factor </v>
      </c>
      <c r="AB61" s="157" t="str">
        <f>T61</f>
        <v>Electricity generated by CHP
(-)
if applicable</v>
      </c>
      <c r="AC61" s="474"/>
      <c r="AD61" s="474"/>
      <c r="AE61" s="474"/>
      <c r="AF61" s="157" t="s">
        <v>120</v>
      </c>
      <c r="AG61" s="158" t="s">
        <v>116</v>
      </c>
    </row>
    <row r="62" spans="1:34" s="36" customFormat="1">
      <c r="A62" s="395"/>
      <c r="B62" s="386"/>
      <c r="C62" s="386"/>
      <c r="D62" s="383"/>
      <c r="E62" s="408"/>
      <c r="F62" s="375"/>
      <c r="G62" s="408"/>
      <c r="H62" s="390"/>
      <c r="I62" s="390"/>
      <c r="J62" s="390"/>
      <c r="K62" s="475"/>
      <c r="L62" s="477"/>
      <c r="M62" s="230" t="s">
        <v>168</v>
      </c>
      <c r="N62" s="390"/>
      <c r="O62" s="390"/>
      <c r="P62" s="388"/>
      <c r="Q62" s="252">
        <f>VLOOKUP(Q61,'Carbon factors'!$A$4:$C$10,2,FALSE)</f>
        <v>0.216</v>
      </c>
      <c r="R62" s="253">
        <f>VLOOKUP(R61,'Carbon factors'!$A$4:$C$10,2,FALSE)</f>
        <v>0.51900000000000002</v>
      </c>
      <c r="S62" s="253">
        <f>VLOOKUP(S61,'Carbon factors'!$A$4:$C$10,2,FALSE)</f>
        <v>0</v>
      </c>
      <c r="T62" s="253">
        <f>VLOOKUP(R61,'Carbon factors'!$A$4:$C$10,2,FALSE)</f>
        <v>0.51900000000000002</v>
      </c>
      <c r="U62" s="475"/>
      <c r="V62" s="475"/>
      <c r="W62" s="475"/>
      <c r="X62" s="473"/>
      <c r="Y62" s="252">
        <f>VLOOKUP(Y61,'Carbon factors'!$A$4:$C$10,3,FALSE)</f>
        <v>0.21</v>
      </c>
      <c r="Z62" s="253">
        <f>VLOOKUP(Z61,'Carbon factors'!$A$4:$C$10,3,FALSE)</f>
        <v>0.23300000000000001</v>
      </c>
      <c r="AA62" s="253">
        <f>VLOOKUP(AA61,'Carbon factors'!$A$4:$C$10,3,FALSE)</f>
        <v>0</v>
      </c>
      <c r="AB62" s="253">
        <f>VLOOKUP(Z61,'Carbon factors'!$A$4:$C$10,3,FALSE)</f>
        <v>0.23300000000000001</v>
      </c>
      <c r="AC62" s="475"/>
      <c r="AD62" s="475"/>
      <c r="AE62" s="475"/>
      <c r="AF62" s="143"/>
      <c r="AG62" s="144"/>
    </row>
    <row r="63" spans="1:34" s="36" customFormat="1" ht="13.5" customHeight="1">
      <c r="A63" s="287" t="str">
        <f>IF(Baseline!A62="","",Baseline!A62)</f>
        <v>Commercial Space</v>
      </c>
      <c r="B63" s="141">
        <f>IF(Baseline!B62="","",Baseline!B62)</f>
        <v>2918.75</v>
      </c>
      <c r="C63" s="304">
        <f>IF(Baseline!C62="","",Baseline!C62)</f>
        <v>1</v>
      </c>
      <c r="D63" s="304">
        <f>IF(Baseline!D62="","",Baseline!D62)</f>
        <v>2918.75</v>
      </c>
      <c r="E63" s="134">
        <f t="shared" ref="E63:E93" si="7">IFERROR(X63/$B63,"")</f>
        <v>33.537000000000006</v>
      </c>
      <c r="F63" s="133">
        <v>33.5</v>
      </c>
      <c r="G63" s="111"/>
      <c r="H63" s="100"/>
      <c r="I63" s="100"/>
      <c r="J63" s="102"/>
      <c r="K63" s="475"/>
      <c r="L63" s="477"/>
      <c r="M63" s="100"/>
      <c r="N63" s="102"/>
      <c r="O63" s="102"/>
      <c r="P63" s="102"/>
      <c r="Q63" s="333">
        <v>100</v>
      </c>
      <c r="R63" s="206">
        <v>23</v>
      </c>
      <c r="S63" s="335"/>
      <c r="T63" s="100"/>
      <c r="U63" s="475" t="str">
        <f>IF(N63="","",N63*'Carbon factors'!$B$5*$B63)</f>
        <v/>
      </c>
      <c r="V63" s="475" t="str">
        <f>IF(O63="","",O63*'Carbon factors'!$B$5*$B63)</f>
        <v/>
      </c>
      <c r="W63" s="475" t="str">
        <f>IF(P63="","",P63*'Carbon factors'!$B$5*$B63)</f>
        <v/>
      </c>
      <c r="X63" s="263">
        <f t="shared" ref="X63:X93" si="8">IF(SUM(Q63:T63)=0,"",SUMPRODUCT($Q$62:$T$62,Q63:T63)*$B63*$C63)</f>
        <v>97886.118750000023</v>
      </c>
      <c r="Y63" s="45">
        <f t="shared" ref="Y63:Y93" si="9">IF(Q63=0,"",Q63)</f>
        <v>100</v>
      </c>
      <c r="Z63" s="43">
        <f t="shared" ref="Z63:Z93" si="10">IF(R63=0,"",R63)</f>
        <v>23</v>
      </c>
      <c r="AA63" s="43" t="str">
        <f t="shared" ref="AA63:AA93" si="11">IF(S63=0,"",S63)</f>
        <v/>
      </c>
      <c r="AB63" s="43" t="str">
        <f t="shared" ref="AB63:AB93" si="12">IF(T63=0,"",T63)</f>
        <v/>
      </c>
      <c r="AC63" s="475"/>
      <c r="AD63" s="475"/>
      <c r="AE63" s="475"/>
      <c r="AF63" s="121">
        <f t="shared" ref="AF63:AF93" si="13">IF(SUM(Y63:AC63)=0,"",SUMPRODUCT($Y$62:$AC$62,Y63:AC63)*$B63*$C63)</f>
        <v>76935.331250000003</v>
      </c>
      <c r="AG63" s="60">
        <f>IFERROR(AF63/$B63,"")</f>
        <v>26.359000000000002</v>
      </c>
    </row>
    <row r="64" spans="1:34" s="36" customFormat="1" ht="13.5" customHeight="1">
      <c r="A64" s="287" t="str">
        <f>IF(Baseline!A63="","",Baseline!A63)</f>
        <v/>
      </c>
      <c r="B64" s="141" t="str">
        <f>IF(Baseline!B63="","",Baseline!B63)</f>
        <v/>
      </c>
      <c r="C64" s="141" t="str">
        <f>IF(Baseline!C63="","",Baseline!C63)</f>
        <v/>
      </c>
      <c r="D64" s="141" t="str">
        <f>IF(Baseline!D63="","",Baseline!D63)</f>
        <v/>
      </c>
      <c r="E64" s="134" t="str">
        <f t="shared" si="7"/>
        <v/>
      </c>
      <c r="F64" s="133"/>
      <c r="G64" s="100"/>
      <c r="H64" s="100"/>
      <c r="I64" s="100"/>
      <c r="J64" s="100"/>
      <c r="K64" s="475"/>
      <c r="L64" s="477"/>
      <c r="M64" s="100"/>
      <c r="N64" s="100"/>
      <c r="O64" s="100"/>
      <c r="P64" s="100"/>
      <c r="Q64" s="334"/>
      <c r="R64" s="206"/>
      <c r="S64" s="211"/>
      <c r="T64" s="100"/>
      <c r="U64" s="475" t="str">
        <f>IF(N64="","",N64*'Carbon factors'!$B$5*$B64)</f>
        <v/>
      </c>
      <c r="V64" s="475" t="str">
        <f>IF(O64="","",O64*'Carbon factors'!$B$5*$B64)</f>
        <v/>
      </c>
      <c r="W64" s="475" t="str">
        <f>IF(P64="","",P64*'Carbon factors'!$B$5*$B64)</f>
        <v/>
      </c>
      <c r="X64" s="263" t="str">
        <f t="shared" si="8"/>
        <v/>
      </c>
      <c r="Y64" s="49" t="str">
        <f t="shared" si="9"/>
        <v/>
      </c>
      <c r="Z64" s="47" t="str">
        <f t="shared" si="10"/>
        <v/>
      </c>
      <c r="AA64" s="47" t="str">
        <f t="shared" si="11"/>
        <v/>
      </c>
      <c r="AB64" s="47" t="str">
        <f t="shared" si="12"/>
        <v/>
      </c>
      <c r="AC64" s="475"/>
      <c r="AD64" s="475"/>
      <c r="AE64" s="475"/>
      <c r="AF64" s="48" t="str">
        <f t="shared" si="13"/>
        <v/>
      </c>
      <c r="AG64" s="61" t="str">
        <f t="shared" ref="AG64:AG93" si="14">IFERROR(AF64/$B64,"")</f>
        <v/>
      </c>
    </row>
    <row r="65" spans="1:33" s="36" customFormat="1" ht="13.5" customHeight="1">
      <c r="A65" s="287" t="str">
        <f>IF(Baseline!A64="","",Baseline!A64)</f>
        <v/>
      </c>
      <c r="B65" s="141" t="str">
        <f>IF(Baseline!B64="","",Baseline!B64)</f>
        <v/>
      </c>
      <c r="C65" s="141" t="str">
        <f>IF(Baseline!C64="","",Baseline!C64)</f>
        <v/>
      </c>
      <c r="D65" s="141" t="str">
        <f>IF(Baseline!D64="","",Baseline!D64)</f>
        <v/>
      </c>
      <c r="E65" s="134" t="str">
        <f t="shared" si="7"/>
        <v/>
      </c>
      <c r="F65" s="133"/>
      <c r="G65" s="100"/>
      <c r="H65" s="100"/>
      <c r="I65" s="100"/>
      <c r="J65" s="100"/>
      <c r="K65" s="475"/>
      <c r="L65" s="477"/>
      <c r="M65" s="100"/>
      <c r="N65" s="100"/>
      <c r="O65" s="100"/>
      <c r="P65" s="100"/>
      <c r="Q65" s="334"/>
      <c r="R65" s="206"/>
      <c r="S65" s="211"/>
      <c r="T65" s="100"/>
      <c r="U65" s="475" t="str">
        <f>IF(N65="","",N65*'Carbon factors'!$B$5*$B65)</f>
        <v/>
      </c>
      <c r="V65" s="475" t="str">
        <f>IF(O65="","",O65*'Carbon factors'!$B$5*$B65)</f>
        <v/>
      </c>
      <c r="W65" s="475" t="str">
        <f>IF(P65="","",P65*'Carbon factors'!$B$5*$B65)</f>
        <v/>
      </c>
      <c r="X65" s="263" t="str">
        <f t="shared" si="8"/>
        <v/>
      </c>
      <c r="Y65" s="49" t="str">
        <f t="shared" si="9"/>
        <v/>
      </c>
      <c r="Z65" s="47" t="str">
        <f t="shared" si="10"/>
        <v/>
      </c>
      <c r="AA65" s="47" t="str">
        <f t="shared" si="11"/>
        <v/>
      </c>
      <c r="AB65" s="47" t="str">
        <f t="shared" si="12"/>
        <v/>
      </c>
      <c r="AC65" s="475"/>
      <c r="AD65" s="475"/>
      <c r="AE65" s="475"/>
      <c r="AF65" s="48" t="str">
        <f t="shared" si="13"/>
        <v/>
      </c>
      <c r="AG65" s="61" t="str">
        <f t="shared" si="14"/>
        <v/>
      </c>
    </row>
    <row r="66" spans="1:33" s="36" customFormat="1" ht="13.5" customHeight="1">
      <c r="A66" s="287" t="str">
        <f>IF(Baseline!A65="","",Baseline!A65)</f>
        <v/>
      </c>
      <c r="B66" s="141" t="str">
        <f>IF(Baseline!B65="","",Baseline!B65)</f>
        <v/>
      </c>
      <c r="C66" s="141" t="str">
        <f>IF(Baseline!C65="","",Baseline!C65)</f>
        <v/>
      </c>
      <c r="D66" s="141" t="str">
        <f>IF(Baseline!D65="","",Baseline!D65)</f>
        <v/>
      </c>
      <c r="E66" s="134" t="str">
        <f t="shared" si="7"/>
        <v/>
      </c>
      <c r="F66" s="133"/>
      <c r="G66" s="100"/>
      <c r="H66" s="100"/>
      <c r="I66" s="100"/>
      <c r="J66" s="100"/>
      <c r="K66" s="475"/>
      <c r="L66" s="477"/>
      <c r="M66" s="100"/>
      <c r="N66" s="100"/>
      <c r="O66" s="100"/>
      <c r="P66" s="100"/>
      <c r="Q66" s="334"/>
      <c r="R66" s="206"/>
      <c r="S66" s="211"/>
      <c r="T66" s="100"/>
      <c r="U66" s="475" t="str">
        <f>IF(N66="","",N66*'Carbon factors'!$B$5*$B66)</f>
        <v/>
      </c>
      <c r="V66" s="475" t="str">
        <f>IF(O66="","",O66*'Carbon factors'!$B$5*$B66)</f>
        <v/>
      </c>
      <c r="W66" s="475" t="str">
        <f>IF(P66="","",P66*'Carbon factors'!$B$5*$B66)</f>
        <v/>
      </c>
      <c r="X66" s="263" t="str">
        <f t="shared" si="8"/>
        <v/>
      </c>
      <c r="Y66" s="49" t="str">
        <f t="shared" si="9"/>
        <v/>
      </c>
      <c r="Z66" s="47" t="str">
        <f t="shared" si="10"/>
        <v/>
      </c>
      <c r="AA66" s="47" t="str">
        <f t="shared" si="11"/>
        <v/>
      </c>
      <c r="AB66" s="47" t="str">
        <f t="shared" si="12"/>
        <v/>
      </c>
      <c r="AC66" s="475"/>
      <c r="AD66" s="475"/>
      <c r="AE66" s="475"/>
      <c r="AF66" s="48" t="str">
        <f t="shared" si="13"/>
        <v/>
      </c>
      <c r="AG66" s="61" t="str">
        <f t="shared" si="14"/>
        <v/>
      </c>
    </row>
    <row r="67" spans="1:33" s="36" customFormat="1" ht="13.5" customHeight="1">
      <c r="A67" s="287" t="str">
        <f>IF(Baseline!A66="","",Baseline!A66)</f>
        <v/>
      </c>
      <c r="B67" s="141" t="str">
        <f>IF(Baseline!B66="","",Baseline!B66)</f>
        <v/>
      </c>
      <c r="C67" s="141" t="str">
        <f>IF(Baseline!C66="","",Baseline!C66)</f>
        <v/>
      </c>
      <c r="D67" s="141" t="str">
        <f>IF(Baseline!D66="","",Baseline!D66)</f>
        <v/>
      </c>
      <c r="E67" s="134" t="str">
        <f t="shared" si="7"/>
        <v/>
      </c>
      <c r="F67" s="133"/>
      <c r="G67" s="100"/>
      <c r="H67" s="100"/>
      <c r="I67" s="100"/>
      <c r="J67" s="100"/>
      <c r="K67" s="475"/>
      <c r="L67" s="477"/>
      <c r="M67" s="100"/>
      <c r="N67" s="100"/>
      <c r="O67" s="100"/>
      <c r="P67" s="100"/>
      <c r="Q67" s="334"/>
      <c r="R67" s="206"/>
      <c r="S67" s="211"/>
      <c r="T67" s="100"/>
      <c r="U67" s="475" t="str">
        <f>IF(N67="","",N67*'Carbon factors'!$B$5*$B67)</f>
        <v/>
      </c>
      <c r="V67" s="475" t="str">
        <f>IF(O67="","",O67*'Carbon factors'!$B$5*$B67)</f>
        <v/>
      </c>
      <c r="W67" s="475" t="str">
        <f>IF(P67="","",P67*'Carbon factors'!$B$5*$B67)</f>
        <v/>
      </c>
      <c r="X67" s="263" t="str">
        <f t="shared" si="8"/>
        <v/>
      </c>
      <c r="Y67" s="49" t="str">
        <f t="shared" si="9"/>
        <v/>
      </c>
      <c r="Z67" s="47" t="str">
        <f t="shared" si="10"/>
        <v/>
      </c>
      <c r="AA67" s="47" t="str">
        <f t="shared" si="11"/>
        <v/>
      </c>
      <c r="AB67" s="47" t="str">
        <f t="shared" si="12"/>
        <v/>
      </c>
      <c r="AC67" s="475"/>
      <c r="AD67" s="475"/>
      <c r="AE67" s="475"/>
      <c r="AF67" s="48" t="str">
        <f t="shared" si="13"/>
        <v/>
      </c>
      <c r="AG67" s="61" t="str">
        <f t="shared" si="14"/>
        <v/>
      </c>
    </row>
    <row r="68" spans="1:33" s="36" customFormat="1" ht="13.5" customHeight="1">
      <c r="A68" s="287" t="str">
        <f>IF(Baseline!A67="","",Baseline!A67)</f>
        <v/>
      </c>
      <c r="B68" s="141" t="str">
        <f>IF(Baseline!B67="","",Baseline!B67)</f>
        <v/>
      </c>
      <c r="C68" s="141" t="str">
        <f>IF(Baseline!C67="","",Baseline!C67)</f>
        <v/>
      </c>
      <c r="D68" s="141" t="str">
        <f>IF(Baseline!D67="","",Baseline!D67)</f>
        <v/>
      </c>
      <c r="E68" s="134" t="str">
        <f t="shared" si="7"/>
        <v/>
      </c>
      <c r="F68" s="133"/>
      <c r="G68" s="100"/>
      <c r="H68" s="100"/>
      <c r="I68" s="100"/>
      <c r="J68" s="100"/>
      <c r="K68" s="475"/>
      <c r="L68" s="477"/>
      <c r="M68" s="100"/>
      <c r="N68" s="100"/>
      <c r="O68" s="100"/>
      <c r="P68" s="100"/>
      <c r="Q68" s="334"/>
      <c r="R68" s="206"/>
      <c r="S68" s="211"/>
      <c r="T68" s="100"/>
      <c r="U68" s="475" t="str">
        <f>IF(N68="","",N68*'Carbon factors'!$B$5*$B68)</f>
        <v/>
      </c>
      <c r="V68" s="475" t="str">
        <f>IF(O68="","",O68*'Carbon factors'!$B$5*$B68)</f>
        <v/>
      </c>
      <c r="W68" s="475" t="str">
        <f>IF(P68="","",P68*'Carbon factors'!$B$5*$B68)</f>
        <v/>
      </c>
      <c r="X68" s="263" t="str">
        <f t="shared" si="8"/>
        <v/>
      </c>
      <c r="Y68" s="49" t="str">
        <f t="shared" si="9"/>
        <v/>
      </c>
      <c r="Z68" s="47" t="str">
        <f t="shared" si="10"/>
        <v/>
      </c>
      <c r="AA68" s="47" t="str">
        <f t="shared" si="11"/>
        <v/>
      </c>
      <c r="AB68" s="47" t="str">
        <f t="shared" si="12"/>
        <v/>
      </c>
      <c r="AC68" s="475"/>
      <c r="AD68" s="475"/>
      <c r="AE68" s="475"/>
      <c r="AF68" s="48" t="str">
        <f t="shared" si="13"/>
        <v/>
      </c>
      <c r="AG68" s="61" t="str">
        <f t="shared" si="14"/>
        <v/>
      </c>
    </row>
    <row r="69" spans="1:33" s="36" customFormat="1" ht="13.5" customHeight="1">
      <c r="A69" s="287" t="str">
        <f>IF(Baseline!A68="","",Baseline!A68)</f>
        <v/>
      </c>
      <c r="B69" s="141" t="str">
        <f>IF(Baseline!B68="","",Baseline!B68)</f>
        <v/>
      </c>
      <c r="C69" s="141" t="str">
        <f>IF(Baseline!C68="","",Baseline!C68)</f>
        <v/>
      </c>
      <c r="D69" s="141" t="str">
        <f>IF(Baseline!D68="","",Baseline!D68)</f>
        <v/>
      </c>
      <c r="E69" s="134" t="str">
        <f t="shared" si="7"/>
        <v/>
      </c>
      <c r="F69" s="133"/>
      <c r="G69" s="100"/>
      <c r="H69" s="100"/>
      <c r="I69" s="100"/>
      <c r="J69" s="100"/>
      <c r="K69" s="475"/>
      <c r="L69" s="477"/>
      <c r="M69" s="100"/>
      <c r="N69" s="100"/>
      <c r="O69" s="100"/>
      <c r="P69" s="100"/>
      <c r="Q69" s="334"/>
      <c r="R69" s="206"/>
      <c r="S69" s="211"/>
      <c r="T69" s="100"/>
      <c r="U69" s="475" t="str">
        <f>IF(N69="","",N69*'Carbon factors'!$B$5*$B69)</f>
        <v/>
      </c>
      <c r="V69" s="475" t="str">
        <f>IF(O69="","",O69*'Carbon factors'!$B$5*$B69)</f>
        <v/>
      </c>
      <c r="W69" s="475" t="str">
        <f>IF(P69="","",P69*'Carbon factors'!$B$5*$B69)</f>
        <v/>
      </c>
      <c r="X69" s="263" t="str">
        <f t="shared" si="8"/>
        <v/>
      </c>
      <c r="Y69" s="49" t="str">
        <f t="shared" si="9"/>
        <v/>
      </c>
      <c r="Z69" s="47" t="str">
        <f t="shared" si="10"/>
        <v/>
      </c>
      <c r="AA69" s="47" t="str">
        <f t="shared" si="11"/>
        <v/>
      </c>
      <c r="AB69" s="47" t="str">
        <f t="shared" si="12"/>
        <v/>
      </c>
      <c r="AC69" s="475"/>
      <c r="AD69" s="475"/>
      <c r="AE69" s="475"/>
      <c r="AF69" s="48" t="str">
        <f t="shared" si="13"/>
        <v/>
      </c>
      <c r="AG69" s="61" t="str">
        <f t="shared" si="14"/>
        <v/>
      </c>
    </row>
    <row r="70" spans="1:33" s="36" customFormat="1" ht="13.5" customHeight="1">
      <c r="A70" s="287" t="str">
        <f>IF(Baseline!A69="","",Baseline!A69)</f>
        <v/>
      </c>
      <c r="B70" s="141" t="str">
        <f>IF(Baseline!B69="","",Baseline!B69)</f>
        <v/>
      </c>
      <c r="C70" s="141" t="str">
        <f>IF(Baseline!C69="","",Baseline!C69)</f>
        <v/>
      </c>
      <c r="D70" s="141" t="str">
        <f>IF(Baseline!D69="","",Baseline!D69)</f>
        <v/>
      </c>
      <c r="E70" s="134" t="str">
        <f t="shared" si="7"/>
        <v/>
      </c>
      <c r="F70" s="133"/>
      <c r="G70" s="100"/>
      <c r="H70" s="100"/>
      <c r="I70" s="100"/>
      <c r="J70" s="100"/>
      <c r="K70" s="475"/>
      <c r="L70" s="477"/>
      <c r="M70" s="100"/>
      <c r="N70" s="100"/>
      <c r="O70" s="100"/>
      <c r="P70" s="100"/>
      <c r="Q70" s="334"/>
      <c r="R70" s="206"/>
      <c r="S70" s="211"/>
      <c r="T70" s="100"/>
      <c r="U70" s="475" t="str">
        <f>IF(N70="","",N70*'Carbon factors'!$B$5*$B70)</f>
        <v/>
      </c>
      <c r="V70" s="475" t="str">
        <f>IF(O70="","",O70*'Carbon factors'!$B$5*$B70)</f>
        <v/>
      </c>
      <c r="W70" s="475" t="str">
        <f>IF(P70="","",P70*'Carbon factors'!$B$5*$B70)</f>
        <v/>
      </c>
      <c r="X70" s="263" t="str">
        <f t="shared" si="8"/>
        <v/>
      </c>
      <c r="Y70" s="49" t="str">
        <f t="shared" si="9"/>
        <v/>
      </c>
      <c r="Z70" s="47" t="str">
        <f t="shared" si="10"/>
        <v/>
      </c>
      <c r="AA70" s="47" t="str">
        <f t="shared" si="11"/>
        <v/>
      </c>
      <c r="AB70" s="47" t="str">
        <f t="shared" si="12"/>
        <v/>
      </c>
      <c r="AC70" s="475"/>
      <c r="AD70" s="475"/>
      <c r="AE70" s="475"/>
      <c r="AF70" s="48" t="str">
        <f t="shared" si="13"/>
        <v/>
      </c>
      <c r="AG70" s="61" t="str">
        <f t="shared" si="14"/>
        <v/>
      </c>
    </row>
    <row r="71" spans="1:33" s="36" customFormat="1" ht="13.5" customHeight="1">
      <c r="A71" s="287" t="str">
        <f>IF(Baseline!A70="","",Baseline!A70)</f>
        <v/>
      </c>
      <c r="B71" s="141" t="str">
        <f>IF(Baseline!B70="","",Baseline!B70)</f>
        <v/>
      </c>
      <c r="C71" s="141" t="str">
        <f>IF(Baseline!C70="","",Baseline!C70)</f>
        <v/>
      </c>
      <c r="D71" s="141" t="str">
        <f>IF(Baseline!D70="","",Baseline!D70)</f>
        <v/>
      </c>
      <c r="E71" s="134" t="str">
        <f t="shared" si="7"/>
        <v/>
      </c>
      <c r="F71" s="133"/>
      <c r="G71" s="100"/>
      <c r="H71" s="100"/>
      <c r="I71" s="100"/>
      <c r="J71" s="100"/>
      <c r="K71" s="475"/>
      <c r="L71" s="477"/>
      <c r="M71" s="100"/>
      <c r="N71" s="100"/>
      <c r="O71" s="100"/>
      <c r="P71" s="100"/>
      <c r="Q71" s="334"/>
      <c r="R71" s="206"/>
      <c r="S71" s="211"/>
      <c r="T71" s="100"/>
      <c r="U71" s="475" t="str">
        <f>IF(N71="","",N71*'Carbon factors'!$B$5*$B71)</f>
        <v/>
      </c>
      <c r="V71" s="475" t="str">
        <f>IF(O71="","",O71*'Carbon factors'!$B$5*$B71)</f>
        <v/>
      </c>
      <c r="W71" s="475" t="str">
        <f>IF(P71="","",P71*'Carbon factors'!$B$5*$B71)</f>
        <v/>
      </c>
      <c r="X71" s="263" t="str">
        <f t="shared" si="8"/>
        <v/>
      </c>
      <c r="Y71" s="49" t="str">
        <f t="shared" si="9"/>
        <v/>
      </c>
      <c r="Z71" s="47" t="str">
        <f t="shared" si="10"/>
        <v/>
      </c>
      <c r="AA71" s="47" t="str">
        <f t="shared" si="11"/>
        <v/>
      </c>
      <c r="AB71" s="47" t="str">
        <f t="shared" si="12"/>
        <v/>
      </c>
      <c r="AC71" s="475"/>
      <c r="AD71" s="475"/>
      <c r="AE71" s="475"/>
      <c r="AF71" s="48" t="str">
        <f t="shared" si="13"/>
        <v/>
      </c>
      <c r="AG71" s="61" t="str">
        <f t="shared" si="14"/>
        <v/>
      </c>
    </row>
    <row r="72" spans="1:33" s="36" customFormat="1" ht="13.5" customHeight="1">
      <c r="A72" s="287" t="str">
        <f>IF(Baseline!A71="","",Baseline!A71)</f>
        <v/>
      </c>
      <c r="B72" s="141" t="str">
        <f>IF(Baseline!B71="","",Baseline!B71)</f>
        <v/>
      </c>
      <c r="C72" s="141" t="str">
        <f>IF(Baseline!C71="","",Baseline!C71)</f>
        <v/>
      </c>
      <c r="D72" s="141" t="str">
        <f>IF(Baseline!D71="","",Baseline!D71)</f>
        <v/>
      </c>
      <c r="E72" s="134" t="str">
        <f t="shared" si="7"/>
        <v/>
      </c>
      <c r="F72" s="133"/>
      <c r="G72" s="100"/>
      <c r="H72" s="100"/>
      <c r="I72" s="100"/>
      <c r="J72" s="100"/>
      <c r="K72" s="475"/>
      <c r="L72" s="477"/>
      <c r="M72" s="100"/>
      <c r="N72" s="100"/>
      <c r="O72" s="100"/>
      <c r="P72" s="100"/>
      <c r="Q72" s="334"/>
      <c r="R72" s="206"/>
      <c r="S72" s="211"/>
      <c r="T72" s="100"/>
      <c r="U72" s="475" t="str">
        <f>IF(N72="","",N72*'Carbon factors'!$B$5*$B72)</f>
        <v/>
      </c>
      <c r="V72" s="475" t="str">
        <f>IF(O72="","",O72*'Carbon factors'!$B$5*$B72)</f>
        <v/>
      </c>
      <c r="W72" s="475" t="str">
        <f>IF(P72="","",P72*'Carbon factors'!$B$5*$B72)</f>
        <v/>
      </c>
      <c r="X72" s="263" t="str">
        <f t="shared" si="8"/>
        <v/>
      </c>
      <c r="Y72" s="49" t="str">
        <f t="shared" si="9"/>
        <v/>
      </c>
      <c r="Z72" s="47" t="str">
        <f t="shared" si="10"/>
        <v/>
      </c>
      <c r="AA72" s="47" t="str">
        <f t="shared" si="11"/>
        <v/>
      </c>
      <c r="AB72" s="47" t="str">
        <f t="shared" si="12"/>
        <v/>
      </c>
      <c r="AC72" s="475"/>
      <c r="AD72" s="475"/>
      <c r="AE72" s="475"/>
      <c r="AF72" s="48" t="str">
        <f t="shared" si="13"/>
        <v/>
      </c>
      <c r="AG72" s="61" t="str">
        <f t="shared" si="14"/>
        <v/>
      </c>
    </row>
    <row r="73" spans="1:33" s="36" customFormat="1" ht="13.5" customHeight="1">
      <c r="A73" s="287" t="str">
        <f>IF(Baseline!A72="","",Baseline!A72)</f>
        <v/>
      </c>
      <c r="B73" s="141" t="str">
        <f>IF(Baseline!B72="","",Baseline!B72)</f>
        <v/>
      </c>
      <c r="C73" s="141" t="str">
        <f>IF(Baseline!C72="","",Baseline!C72)</f>
        <v/>
      </c>
      <c r="D73" s="141" t="str">
        <f>IF(Baseline!D72="","",Baseline!D72)</f>
        <v/>
      </c>
      <c r="E73" s="134" t="str">
        <f t="shared" si="7"/>
        <v/>
      </c>
      <c r="F73" s="133"/>
      <c r="G73" s="100"/>
      <c r="H73" s="100"/>
      <c r="I73" s="100"/>
      <c r="J73" s="100"/>
      <c r="K73" s="475"/>
      <c r="L73" s="477"/>
      <c r="M73" s="100"/>
      <c r="N73" s="100"/>
      <c r="O73" s="100"/>
      <c r="P73" s="100"/>
      <c r="Q73" s="334"/>
      <c r="R73" s="206"/>
      <c r="S73" s="211"/>
      <c r="T73" s="100"/>
      <c r="U73" s="475" t="str">
        <f>IF(N73="","",N73*'Carbon factors'!$B$5*$B73)</f>
        <v/>
      </c>
      <c r="V73" s="475" t="str">
        <f>IF(O73="","",O73*'Carbon factors'!$B$5*$B73)</f>
        <v/>
      </c>
      <c r="W73" s="475" t="str">
        <f>IF(P73="","",P73*'Carbon factors'!$B$5*$B73)</f>
        <v/>
      </c>
      <c r="X73" s="263" t="str">
        <f t="shared" si="8"/>
        <v/>
      </c>
      <c r="Y73" s="49" t="str">
        <f t="shared" si="9"/>
        <v/>
      </c>
      <c r="Z73" s="47" t="str">
        <f t="shared" si="10"/>
        <v/>
      </c>
      <c r="AA73" s="47" t="str">
        <f t="shared" si="11"/>
        <v/>
      </c>
      <c r="AB73" s="47" t="str">
        <f t="shared" si="12"/>
        <v/>
      </c>
      <c r="AC73" s="475"/>
      <c r="AD73" s="475"/>
      <c r="AE73" s="475"/>
      <c r="AF73" s="48" t="str">
        <f t="shared" si="13"/>
        <v/>
      </c>
      <c r="AG73" s="61" t="str">
        <f t="shared" si="14"/>
        <v/>
      </c>
    </row>
    <row r="74" spans="1:33" s="36" customFormat="1" ht="13.5" customHeight="1">
      <c r="A74" s="287" t="str">
        <f>IF(Baseline!A73="","",Baseline!A73)</f>
        <v/>
      </c>
      <c r="B74" s="141" t="str">
        <f>IF(Baseline!B73="","",Baseline!B73)</f>
        <v/>
      </c>
      <c r="C74" s="141" t="str">
        <f>IF(Baseline!C73="","",Baseline!C73)</f>
        <v/>
      </c>
      <c r="D74" s="141" t="str">
        <f>IF(Baseline!D73="","",Baseline!D73)</f>
        <v/>
      </c>
      <c r="E74" s="134" t="str">
        <f t="shared" si="7"/>
        <v/>
      </c>
      <c r="F74" s="133"/>
      <c r="G74" s="100"/>
      <c r="H74" s="100"/>
      <c r="I74" s="100"/>
      <c r="J74" s="100"/>
      <c r="K74" s="475"/>
      <c r="L74" s="477"/>
      <c r="M74" s="100"/>
      <c r="N74" s="100"/>
      <c r="O74" s="100"/>
      <c r="P74" s="100"/>
      <c r="Q74" s="334"/>
      <c r="R74" s="206"/>
      <c r="S74" s="211"/>
      <c r="T74" s="100"/>
      <c r="U74" s="475" t="str">
        <f>IF(N74="","",N74*'Carbon factors'!$B$5*$B74)</f>
        <v/>
      </c>
      <c r="V74" s="475" t="str">
        <f>IF(O74="","",O74*'Carbon factors'!$B$5*$B74)</f>
        <v/>
      </c>
      <c r="W74" s="475" t="str">
        <f>IF(P74="","",P74*'Carbon factors'!$B$5*$B74)</f>
        <v/>
      </c>
      <c r="X74" s="263" t="str">
        <f t="shared" si="8"/>
        <v/>
      </c>
      <c r="Y74" s="49" t="str">
        <f t="shared" si="9"/>
        <v/>
      </c>
      <c r="Z74" s="47" t="str">
        <f t="shared" si="10"/>
        <v/>
      </c>
      <c r="AA74" s="47" t="str">
        <f t="shared" si="11"/>
        <v/>
      </c>
      <c r="AB74" s="47" t="str">
        <f t="shared" si="12"/>
        <v/>
      </c>
      <c r="AC74" s="475"/>
      <c r="AD74" s="475"/>
      <c r="AE74" s="475"/>
      <c r="AF74" s="48" t="str">
        <f t="shared" si="13"/>
        <v/>
      </c>
      <c r="AG74" s="61" t="str">
        <f t="shared" si="14"/>
        <v/>
      </c>
    </row>
    <row r="75" spans="1:33" s="36" customFormat="1" ht="13.5" customHeight="1">
      <c r="A75" s="287" t="str">
        <f>IF(Baseline!A74="","",Baseline!A74)</f>
        <v/>
      </c>
      <c r="B75" s="141" t="str">
        <f>IF(Baseline!B74="","",Baseline!B74)</f>
        <v/>
      </c>
      <c r="C75" s="141" t="str">
        <f>IF(Baseline!C74="","",Baseline!C74)</f>
        <v/>
      </c>
      <c r="D75" s="141" t="str">
        <f>IF(Baseline!D74="","",Baseline!D74)</f>
        <v/>
      </c>
      <c r="E75" s="134" t="str">
        <f t="shared" si="7"/>
        <v/>
      </c>
      <c r="F75" s="133"/>
      <c r="G75" s="100"/>
      <c r="H75" s="100"/>
      <c r="I75" s="100"/>
      <c r="J75" s="100"/>
      <c r="K75" s="475"/>
      <c r="L75" s="477"/>
      <c r="M75" s="100"/>
      <c r="N75" s="100"/>
      <c r="O75" s="100"/>
      <c r="P75" s="100"/>
      <c r="Q75" s="334"/>
      <c r="R75" s="206"/>
      <c r="S75" s="211"/>
      <c r="T75" s="100"/>
      <c r="U75" s="475" t="str">
        <f>IF(N75="","",N75*'Carbon factors'!$B$5*$B75)</f>
        <v/>
      </c>
      <c r="V75" s="475" t="str">
        <f>IF(O75="","",O75*'Carbon factors'!$B$5*$B75)</f>
        <v/>
      </c>
      <c r="W75" s="475" t="str">
        <f>IF(P75="","",P75*'Carbon factors'!$B$5*$B75)</f>
        <v/>
      </c>
      <c r="X75" s="263" t="str">
        <f t="shared" si="8"/>
        <v/>
      </c>
      <c r="Y75" s="49" t="str">
        <f t="shared" si="9"/>
        <v/>
      </c>
      <c r="Z75" s="47" t="str">
        <f t="shared" si="10"/>
        <v/>
      </c>
      <c r="AA75" s="47" t="str">
        <f t="shared" si="11"/>
        <v/>
      </c>
      <c r="AB75" s="47" t="str">
        <f t="shared" si="12"/>
        <v/>
      </c>
      <c r="AC75" s="475"/>
      <c r="AD75" s="475"/>
      <c r="AE75" s="475"/>
      <c r="AF75" s="48" t="str">
        <f t="shared" si="13"/>
        <v/>
      </c>
      <c r="AG75" s="61" t="str">
        <f t="shared" si="14"/>
        <v/>
      </c>
    </row>
    <row r="76" spans="1:33" s="36" customFormat="1" ht="13.5" customHeight="1">
      <c r="A76" s="287" t="str">
        <f>IF(Baseline!A75="","",Baseline!A75)</f>
        <v/>
      </c>
      <c r="B76" s="141" t="str">
        <f>IF(Baseline!B75="","",Baseline!B75)</f>
        <v/>
      </c>
      <c r="C76" s="141" t="str">
        <f>IF(Baseline!C75="","",Baseline!C75)</f>
        <v/>
      </c>
      <c r="D76" s="141" t="str">
        <f>IF(Baseline!D75="","",Baseline!D75)</f>
        <v/>
      </c>
      <c r="E76" s="134" t="str">
        <f t="shared" si="7"/>
        <v/>
      </c>
      <c r="F76" s="133"/>
      <c r="G76" s="100"/>
      <c r="H76" s="100"/>
      <c r="I76" s="100"/>
      <c r="J76" s="100"/>
      <c r="K76" s="475"/>
      <c r="L76" s="477"/>
      <c r="M76" s="100"/>
      <c r="N76" s="100"/>
      <c r="O76" s="100"/>
      <c r="P76" s="100"/>
      <c r="Q76" s="334"/>
      <c r="R76" s="206"/>
      <c r="S76" s="211"/>
      <c r="T76" s="100"/>
      <c r="U76" s="475" t="str">
        <f>IF(N76="","",N76*'Carbon factors'!$B$5*$B76)</f>
        <v/>
      </c>
      <c r="V76" s="475" t="str">
        <f>IF(O76="","",O76*'Carbon factors'!$B$5*$B76)</f>
        <v/>
      </c>
      <c r="W76" s="475" t="str">
        <f>IF(P76="","",P76*'Carbon factors'!$B$5*$B76)</f>
        <v/>
      </c>
      <c r="X76" s="263" t="str">
        <f t="shared" si="8"/>
        <v/>
      </c>
      <c r="Y76" s="49" t="str">
        <f t="shared" si="9"/>
        <v/>
      </c>
      <c r="Z76" s="47" t="str">
        <f t="shared" si="10"/>
        <v/>
      </c>
      <c r="AA76" s="47" t="str">
        <f t="shared" si="11"/>
        <v/>
      </c>
      <c r="AB76" s="47" t="str">
        <f t="shared" si="12"/>
        <v/>
      </c>
      <c r="AC76" s="475"/>
      <c r="AD76" s="475"/>
      <c r="AE76" s="475"/>
      <c r="AF76" s="48" t="str">
        <f t="shared" si="13"/>
        <v/>
      </c>
      <c r="AG76" s="61" t="str">
        <f t="shared" si="14"/>
        <v/>
      </c>
    </row>
    <row r="77" spans="1:33" s="36" customFormat="1" ht="13.5" customHeight="1">
      <c r="A77" s="287" t="str">
        <f>IF(Baseline!A76="","",Baseline!A76)</f>
        <v/>
      </c>
      <c r="B77" s="141" t="str">
        <f>IF(Baseline!B76="","",Baseline!B76)</f>
        <v/>
      </c>
      <c r="C77" s="141" t="str">
        <f>IF(Baseline!C76="","",Baseline!C76)</f>
        <v/>
      </c>
      <c r="D77" s="141" t="str">
        <f>IF(Baseline!D76="","",Baseline!D76)</f>
        <v/>
      </c>
      <c r="E77" s="134" t="str">
        <f t="shared" si="7"/>
        <v/>
      </c>
      <c r="F77" s="133"/>
      <c r="G77" s="100"/>
      <c r="H77" s="100"/>
      <c r="I77" s="100"/>
      <c r="J77" s="100"/>
      <c r="K77" s="475"/>
      <c r="L77" s="477"/>
      <c r="M77" s="100"/>
      <c r="N77" s="100"/>
      <c r="O77" s="100"/>
      <c r="P77" s="100"/>
      <c r="Q77" s="334"/>
      <c r="R77" s="206"/>
      <c r="S77" s="211"/>
      <c r="T77" s="100"/>
      <c r="U77" s="475" t="str">
        <f>IF(N77="","",N77*'Carbon factors'!$B$5*$B77)</f>
        <v/>
      </c>
      <c r="V77" s="475" t="str">
        <f>IF(O77="","",O77*'Carbon factors'!$B$5*$B77)</f>
        <v/>
      </c>
      <c r="W77" s="475" t="str">
        <f>IF(P77="","",P77*'Carbon factors'!$B$5*$B77)</f>
        <v/>
      </c>
      <c r="X77" s="263" t="str">
        <f t="shared" si="8"/>
        <v/>
      </c>
      <c r="Y77" s="49" t="str">
        <f t="shared" si="9"/>
        <v/>
      </c>
      <c r="Z77" s="47" t="str">
        <f t="shared" si="10"/>
        <v/>
      </c>
      <c r="AA77" s="47" t="str">
        <f t="shared" si="11"/>
        <v/>
      </c>
      <c r="AB77" s="47" t="str">
        <f t="shared" si="12"/>
        <v/>
      </c>
      <c r="AC77" s="475"/>
      <c r="AD77" s="475"/>
      <c r="AE77" s="475"/>
      <c r="AF77" s="48" t="str">
        <f t="shared" si="13"/>
        <v/>
      </c>
      <c r="AG77" s="61" t="str">
        <f t="shared" si="14"/>
        <v/>
      </c>
    </row>
    <row r="78" spans="1:33" s="36" customFormat="1" ht="13.5" customHeight="1">
      <c r="A78" s="287" t="str">
        <f>IF(Baseline!A77="","",Baseline!A77)</f>
        <v/>
      </c>
      <c r="B78" s="141" t="str">
        <f>IF(Baseline!B77="","",Baseline!B77)</f>
        <v/>
      </c>
      <c r="C78" s="141" t="str">
        <f>IF(Baseline!C77="","",Baseline!C77)</f>
        <v/>
      </c>
      <c r="D78" s="141" t="str">
        <f>IF(Baseline!D77="","",Baseline!D77)</f>
        <v/>
      </c>
      <c r="E78" s="134" t="str">
        <f t="shared" si="7"/>
        <v/>
      </c>
      <c r="F78" s="133"/>
      <c r="G78" s="100"/>
      <c r="H78" s="100"/>
      <c r="I78" s="100"/>
      <c r="J78" s="100"/>
      <c r="K78" s="475"/>
      <c r="L78" s="477"/>
      <c r="M78" s="100"/>
      <c r="N78" s="100"/>
      <c r="O78" s="100"/>
      <c r="P78" s="100"/>
      <c r="Q78" s="334"/>
      <c r="R78" s="206"/>
      <c r="S78" s="211"/>
      <c r="T78" s="100"/>
      <c r="U78" s="475" t="str">
        <f>IF(N78="","",N78*'Carbon factors'!$B$5*$B78)</f>
        <v/>
      </c>
      <c r="V78" s="475" t="str">
        <f>IF(O78="","",O78*'Carbon factors'!$B$5*$B78)</f>
        <v/>
      </c>
      <c r="W78" s="475" t="str">
        <f>IF(P78="","",P78*'Carbon factors'!$B$5*$B78)</f>
        <v/>
      </c>
      <c r="X78" s="263" t="str">
        <f t="shared" si="8"/>
        <v/>
      </c>
      <c r="Y78" s="49" t="str">
        <f t="shared" si="9"/>
        <v/>
      </c>
      <c r="Z78" s="47" t="str">
        <f t="shared" si="10"/>
        <v/>
      </c>
      <c r="AA78" s="47" t="str">
        <f t="shared" si="11"/>
        <v/>
      </c>
      <c r="AB78" s="47" t="str">
        <f t="shared" si="12"/>
        <v/>
      </c>
      <c r="AC78" s="475"/>
      <c r="AD78" s="475"/>
      <c r="AE78" s="475"/>
      <c r="AF78" s="48" t="str">
        <f t="shared" si="13"/>
        <v/>
      </c>
      <c r="AG78" s="61" t="str">
        <f t="shared" si="14"/>
        <v/>
      </c>
    </row>
    <row r="79" spans="1:33" s="36" customFormat="1" ht="13.5" customHeight="1">
      <c r="A79" s="287" t="str">
        <f>IF(Baseline!A78="","",Baseline!A78)</f>
        <v/>
      </c>
      <c r="B79" s="141" t="str">
        <f>IF(Baseline!B78="","",Baseline!B78)</f>
        <v/>
      </c>
      <c r="C79" s="141" t="str">
        <f>IF(Baseline!C78="","",Baseline!C78)</f>
        <v/>
      </c>
      <c r="D79" s="141" t="str">
        <f>IF(Baseline!D78="","",Baseline!D78)</f>
        <v/>
      </c>
      <c r="E79" s="134" t="str">
        <f t="shared" si="7"/>
        <v/>
      </c>
      <c r="F79" s="133"/>
      <c r="G79" s="100"/>
      <c r="H79" s="100"/>
      <c r="I79" s="100"/>
      <c r="J79" s="100"/>
      <c r="K79" s="475"/>
      <c r="L79" s="477"/>
      <c r="M79" s="100"/>
      <c r="N79" s="100"/>
      <c r="O79" s="100"/>
      <c r="P79" s="100"/>
      <c r="Q79" s="334"/>
      <c r="R79" s="206"/>
      <c r="S79" s="211"/>
      <c r="T79" s="100"/>
      <c r="U79" s="475" t="str">
        <f>IF(N79="","",N79*'Carbon factors'!$B$5*$B79)</f>
        <v/>
      </c>
      <c r="V79" s="475" t="str">
        <f>IF(O79="","",O79*'Carbon factors'!$B$5*$B79)</f>
        <v/>
      </c>
      <c r="W79" s="475" t="str">
        <f>IF(P79="","",P79*'Carbon factors'!$B$5*$B79)</f>
        <v/>
      </c>
      <c r="X79" s="263" t="str">
        <f t="shared" si="8"/>
        <v/>
      </c>
      <c r="Y79" s="49" t="str">
        <f t="shared" si="9"/>
        <v/>
      </c>
      <c r="Z79" s="47" t="str">
        <f t="shared" si="10"/>
        <v/>
      </c>
      <c r="AA79" s="47" t="str">
        <f t="shared" si="11"/>
        <v/>
      </c>
      <c r="AB79" s="47" t="str">
        <f t="shared" si="12"/>
        <v/>
      </c>
      <c r="AC79" s="475"/>
      <c r="AD79" s="475"/>
      <c r="AE79" s="475"/>
      <c r="AF79" s="48" t="str">
        <f t="shared" si="13"/>
        <v/>
      </c>
      <c r="AG79" s="61" t="str">
        <f t="shared" si="14"/>
        <v/>
      </c>
    </row>
    <row r="80" spans="1:33" s="36" customFormat="1" ht="13.5" customHeight="1">
      <c r="A80" s="287" t="str">
        <f>IF(Baseline!A79="","",Baseline!A79)</f>
        <v/>
      </c>
      <c r="B80" s="141" t="str">
        <f>IF(Baseline!B79="","",Baseline!B79)</f>
        <v/>
      </c>
      <c r="C80" s="141" t="str">
        <f>IF(Baseline!C79="","",Baseline!C79)</f>
        <v/>
      </c>
      <c r="D80" s="141" t="str">
        <f>IF(Baseline!D79="","",Baseline!D79)</f>
        <v/>
      </c>
      <c r="E80" s="134" t="str">
        <f t="shared" si="7"/>
        <v/>
      </c>
      <c r="F80" s="133"/>
      <c r="G80" s="100"/>
      <c r="H80" s="100"/>
      <c r="I80" s="100"/>
      <c r="J80" s="100"/>
      <c r="K80" s="475"/>
      <c r="L80" s="477"/>
      <c r="M80" s="100"/>
      <c r="N80" s="100"/>
      <c r="O80" s="100"/>
      <c r="P80" s="100"/>
      <c r="Q80" s="334"/>
      <c r="R80" s="206"/>
      <c r="S80" s="211"/>
      <c r="T80" s="100"/>
      <c r="U80" s="475" t="str">
        <f>IF(N80="","",N80*'Carbon factors'!$B$5*$B80)</f>
        <v/>
      </c>
      <c r="V80" s="475" t="str">
        <f>IF(O80="","",O80*'Carbon factors'!$B$5*$B80)</f>
        <v/>
      </c>
      <c r="W80" s="475" t="str">
        <f>IF(P80="","",P80*'Carbon factors'!$B$5*$B80)</f>
        <v/>
      </c>
      <c r="X80" s="263" t="str">
        <f t="shared" si="8"/>
        <v/>
      </c>
      <c r="Y80" s="49" t="str">
        <f t="shared" si="9"/>
        <v/>
      </c>
      <c r="Z80" s="47" t="str">
        <f t="shared" si="10"/>
        <v/>
      </c>
      <c r="AA80" s="47" t="str">
        <f t="shared" si="11"/>
        <v/>
      </c>
      <c r="AB80" s="47" t="str">
        <f t="shared" si="12"/>
        <v/>
      </c>
      <c r="AC80" s="475"/>
      <c r="AD80" s="475"/>
      <c r="AE80" s="475"/>
      <c r="AF80" s="48" t="str">
        <f t="shared" si="13"/>
        <v/>
      </c>
      <c r="AG80" s="61" t="str">
        <f t="shared" si="14"/>
        <v/>
      </c>
    </row>
    <row r="81" spans="1:33" s="36" customFormat="1" ht="13.5" customHeight="1">
      <c r="A81" s="287" t="str">
        <f>IF(Baseline!A80="","",Baseline!A80)</f>
        <v/>
      </c>
      <c r="B81" s="141" t="str">
        <f>IF(Baseline!B80="","",Baseline!B80)</f>
        <v/>
      </c>
      <c r="C81" s="141" t="str">
        <f>IF(Baseline!C80="","",Baseline!C80)</f>
        <v/>
      </c>
      <c r="D81" s="141" t="str">
        <f>IF(Baseline!D80="","",Baseline!D80)</f>
        <v/>
      </c>
      <c r="E81" s="134" t="str">
        <f t="shared" si="7"/>
        <v/>
      </c>
      <c r="F81" s="133"/>
      <c r="G81" s="100"/>
      <c r="H81" s="100"/>
      <c r="I81" s="100"/>
      <c r="J81" s="100"/>
      <c r="K81" s="475"/>
      <c r="L81" s="477"/>
      <c r="M81" s="100"/>
      <c r="N81" s="100"/>
      <c r="O81" s="100"/>
      <c r="P81" s="100"/>
      <c r="Q81" s="334"/>
      <c r="R81" s="206"/>
      <c r="S81" s="211"/>
      <c r="T81" s="100"/>
      <c r="U81" s="475" t="str">
        <f>IF(N81="","",N81*'Carbon factors'!$B$5*$B81)</f>
        <v/>
      </c>
      <c r="V81" s="475" t="str">
        <f>IF(O81="","",O81*'Carbon factors'!$B$5*$B81)</f>
        <v/>
      </c>
      <c r="W81" s="475" t="str">
        <f>IF(P81="","",P81*'Carbon factors'!$B$5*$B81)</f>
        <v/>
      </c>
      <c r="X81" s="263" t="str">
        <f t="shared" si="8"/>
        <v/>
      </c>
      <c r="Y81" s="49" t="str">
        <f t="shared" si="9"/>
        <v/>
      </c>
      <c r="Z81" s="47" t="str">
        <f t="shared" si="10"/>
        <v/>
      </c>
      <c r="AA81" s="47" t="str">
        <f t="shared" si="11"/>
        <v/>
      </c>
      <c r="AB81" s="47" t="str">
        <f t="shared" si="12"/>
        <v/>
      </c>
      <c r="AC81" s="475"/>
      <c r="AD81" s="475"/>
      <c r="AE81" s="475"/>
      <c r="AF81" s="48" t="str">
        <f t="shared" si="13"/>
        <v/>
      </c>
      <c r="AG81" s="61" t="str">
        <f t="shared" si="14"/>
        <v/>
      </c>
    </row>
    <row r="82" spans="1:33" s="36" customFormat="1" ht="13.5" customHeight="1">
      <c r="A82" s="287" t="str">
        <f>IF(Baseline!A81="","",Baseline!A81)</f>
        <v/>
      </c>
      <c r="B82" s="141" t="str">
        <f>IF(Baseline!B81="","",Baseline!B81)</f>
        <v/>
      </c>
      <c r="C82" s="141" t="str">
        <f>IF(Baseline!C81="","",Baseline!C81)</f>
        <v/>
      </c>
      <c r="D82" s="141" t="str">
        <f>IF(Baseline!D81="","",Baseline!D81)</f>
        <v/>
      </c>
      <c r="E82" s="134" t="str">
        <f t="shared" si="7"/>
        <v/>
      </c>
      <c r="F82" s="133"/>
      <c r="G82" s="100"/>
      <c r="H82" s="100"/>
      <c r="I82" s="100"/>
      <c r="J82" s="100"/>
      <c r="K82" s="475"/>
      <c r="L82" s="477"/>
      <c r="M82" s="100"/>
      <c r="N82" s="100"/>
      <c r="O82" s="100"/>
      <c r="P82" s="100"/>
      <c r="Q82" s="334"/>
      <c r="R82" s="206"/>
      <c r="S82" s="211"/>
      <c r="T82" s="100"/>
      <c r="U82" s="475" t="str">
        <f>IF(N82="","",N82*'Carbon factors'!$B$5*$B82)</f>
        <v/>
      </c>
      <c r="V82" s="475" t="str">
        <f>IF(O82="","",O82*'Carbon factors'!$B$5*$B82)</f>
        <v/>
      </c>
      <c r="W82" s="475" t="str">
        <f>IF(P82="","",P82*'Carbon factors'!$B$5*$B82)</f>
        <v/>
      </c>
      <c r="X82" s="263" t="str">
        <f t="shared" si="8"/>
        <v/>
      </c>
      <c r="Y82" s="49" t="str">
        <f t="shared" si="9"/>
        <v/>
      </c>
      <c r="Z82" s="47" t="str">
        <f t="shared" si="10"/>
        <v/>
      </c>
      <c r="AA82" s="47" t="str">
        <f t="shared" si="11"/>
        <v/>
      </c>
      <c r="AB82" s="47" t="str">
        <f t="shared" si="12"/>
        <v/>
      </c>
      <c r="AC82" s="475"/>
      <c r="AD82" s="475"/>
      <c r="AE82" s="475"/>
      <c r="AF82" s="48" t="str">
        <f t="shared" si="13"/>
        <v/>
      </c>
      <c r="AG82" s="61" t="str">
        <f t="shared" si="14"/>
        <v/>
      </c>
    </row>
    <row r="83" spans="1:33" s="36" customFormat="1" ht="13.5" customHeight="1">
      <c r="A83" s="287" t="str">
        <f>IF(Baseline!A82="","",Baseline!A82)</f>
        <v/>
      </c>
      <c r="B83" s="141" t="str">
        <f>IF(Baseline!B82="","",Baseline!B82)</f>
        <v/>
      </c>
      <c r="C83" s="141" t="str">
        <f>IF(Baseline!C82="","",Baseline!C82)</f>
        <v/>
      </c>
      <c r="D83" s="141" t="str">
        <f>IF(Baseline!D82="","",Baseline!D82)</f>
        <v/>
      </c>
      <c r="E83" s="134" t="str">
        <f t="shared" si="7"/>
        <v/>
      </c>
      <c r="F83" s="133"/>
      <c r="G83" s="100"/>
      <c r="H83" s="100"/>
      <c r="I83" s="100"/>
      <c r="J83" s="100"/>
      <c r="K83" s="475"/>
      <c r="L83" s="477"/>
      <c r="M83" s="100"/>
      <c r="N83" s="100"/>
      <c r="O83" s="100"/>
      <c r="P83" s="100"/>
      <c r="Q83" s="334"/>
      <c r="R83" s="206"/>
      <c r="S83" s="211"/>
      <c r="T83" s="100"/>
      <c r="U83" s="475" t="str">
        <f>IF(N83="","",N83*'Carbon factors'!$B$5*$B83)</f>
        <v/>
      </c>
      <c r="V83" s="475" t="str">
        <f>IF(O83="","",O83*'Carbon factors'!$B$5*$B83)</f>
        <v/>
      </c>
      <c r="W83" s="475" t="str">
        <f>IF(P83="","",P83*'Carbon factors'!$B$5*$B83)</f>
        <v/>
      </c>
      <c r="X83" s="263" t="str">
        <f t="shared" si="8"/>
        <v/>
      </c>
      <c r="Y83" s="49" t="str">
        <f t="shared" si="9"/>
        <v/>
      </c>
      <c r="Z83" s="47" t="str">
        <f t="shared" si="10"/>
        <v/>
      </c>
      <c r="AA83" s="47" t="str">
        <f t="shared" si="11"/>
        <v/>
      </c>
      <c r="AB83" s="47" t="str">
        <f t="shared" si="12"/>
        <v/>
      </c>
      <c r="AC83" s="475"/>
      <c r="AD83" s="475"/>
      <c r="AE83" s="475"/>
      <c r="AF83" s="48" t="str">
        <f t="shared" si="13"/>
        <v/>
      </c>
      <c r="AG83" s="61" t="str">
        <f t="shared" si="14"/>
        <v/>
      </c>
    </row>
    <row r="84" spans="1:33" s="36" customFormat="1" ht="13.5" customHeight="1">
      <c r="A84" s="287" t="str">
        <f>IF(Baseline!A83="","",Baseline!A83)</f>
        <v/>
      </c>
      <c r="B84" s="141" t="str">
        <f>IF(Baseline!B83="","",Baseline!B83)</f>
        <v/>
      </c>
      <c r="C84" s="141" t="str">
        <f>IF(Baseline!C83="","",Baseline!C83)</f>
        <v/>
      </c>
      <c r="D84" s="141" t="str">
        <f>IF(Baseline!D83="","",Baseline!D83)</f>
        <v/>
      </c>
      <c r="E84" s="134" t="str">
        <f t="shared" si="7"/>
        <v/>
      </c>
      <c r="F84" s="133"/>
      <c r="G84" s="100"/>
      <c r="H84" s="100"/>
      <c r="I84" s="100"/>
      <c r="J84" s="100"/>
      <c r="K84" s="475"/>
      <c r="L84" s="477"/>
      <c r="M84" s="100"/>
      <c r="N84" s="100"/>
      <c r="O84" s="100"/>
      <c r="P84" s="100"/>
      <c r="Q84" s="334"/>
      <c r="R84" s="206"/>
      <c r="S84" s="211"/>
      <c r="T84" s="100"/>
      <c r="U84" s="475" t="str">
        <f>IF(N84="","",N84*'Carbon factors'!$B$5*$B84)</f>
        <v/>
      </c>
      <c r="V84" s="475" t="str">
        <f>IF(O84="","",O84*'Carbon factors'!$B$5*$B84)</f>
        <v/>
      </c>
      <c r="W84" s="475" t="str">
        <f>IF(P84="","",P84*'Carbon factors'!$B$5*$B84)</f>
        <v/>
      </c>
      <c r="X84" s="263" t="str">
        <f t="shared" si="8"/>
        <v/>
      </c>
      <c r="Y84" s="49" t="str">
        <f t="shared" si="9"/>
        <v/>
      </c>
      <c r="Z84" s="47" t="str">
        <f t="shared" si="10"/>
        <v/>
      </c>
      <c r="AA84" s="47" t="str">
        <f t="shared" si="11"/>
        <v/>
      </c>
      <c r="AB84" s="47" t="str">
        <f t="shared" si="12"/>
        <v/>
      </c>
      <c r="AC84" s="475"/>
      <c r="AD84" s="475"/>
      <c r="AE84" s="475"/>
      <c r="AF84" s="48" t="str">
        <f t="shared" si="13"/>
        <v/>
      </c>
      <c r="AG84" s="61" t="str">
        <f t="shared" si="14"/>
        <v/>
      </c>
    </row>
    <row r="85" spans="1:33" s="36" customFormat="1" ht="13.5" customHeight="1">
      <c r="A85" s="287" t="str">
        <f>IF(Baseline!A84="","",Baseline!A84)</f>
        <v/>
      </c>
      <c r="B85" s="141" t="str">
        <f>IF(Baseline!B84="","",Baseline!B84)</f>
        <v/>
      </c>
      <c r="C85" s="141" t="str">
        <f>IF(Baseline!C84="","",Baseline!C84)</f>
        <v/>
      </c>
      <c r="D85" s="141" t="str">
        <f>IF(Baseline!D84="","",Baseline!D84)</f>
        <v/>
      </c>
      <c r="E85" s="134" t="str">
        <f t="shared" si="7"/>
        <v/>
      </c>
      <c r="F85" s="133"/>
      <c r="G85" s="100"/>
      <c r="H85" s="100"/>
      <c r="I85" s="100"/>
      <c r="J85" s="100"/>
      <c r="K85" s="475"/>
      <c r="L85" s="477"/>
      <c r="M85" s="100"/>
      <c r="N85" s="100"/>
      <c r="O85" s="100"/>
      <c r="P85" s="100"/>
      <c r="Q85" s="334"/>
      <c r="R85" s="206"/>
      <c r="S85" s="211"/>
      <c r="T85" s="100"/>
      <c r="U85" s="475" t="str">
        <f>IF(N85="","",N85*'Carbon factors'!$B$5*$B85)</f>
        <v/>
      </c>
      <c r="V85" s="475" t="str">
        <f>IF(O85="","",O85*'Carbon factors'!$B$5*$B85)</f>
        <v/>
      </c>
      <c r="W85" s="475" t="str">
        <f>IF(P85="","",P85*'Carbon factors'!$B$5*$B85)</f>
        <v/>
      </c>
      <c r="X85" s="263" t="str">
        <f t="shared" si="8"/>
        <v/>
      </c>
      <c r="Y85" s="49" t="str">
        <f t="shared" si="9"/>
        <v/>
      </c>
      <c r="Z85" s="47" t="str">
        <f t="shared" si="10"/>
        <v/>
      </c>
      <c r="AA85" s="47" t="str">
        <f t="shared" si="11"/>
        <v/>
      </c>
      <c r="AB85" s="47" t="str">
        <f t="shared" si="12"/>
        <v/>
      </c>
      <c r="AC85" s="475"/>
      <c r="AD85" s="475"/>
      <c r="AE85" s="475"/>
      <c r="AF85" s="48" t="str">
        <f t="shared" si="13"/>
        <v/>
      </c>
      <c r="AG85" s="61" t="str">
        <f t="shared" si="14"/>
        <v/>
      </c>
    </row>
    <row r="86" spans="1:33" s="36" customFormat="1" ht="13.5" customHeight="1">
      <c r="A86" s="287" t="str">
        <f>IF(Baseline!A85="","",Baseline!A85)</f>
        <v/>
      </c>
      <c r="B86" s="141" t="str">
        <f>IF(Baseline!B85="","",Baseline!B85)</f>
        <v/>
      </c>
      <c r="C86" s="141" t="str">
        <f>IF(Baseline!C85="","",Baseline!C85)</f>
        <v/>
      </c>
      <c r="D86" s="141" t="str">
        <f>IF(Baseline!D85="","",Baseline!D85)</f>
        <v/>
      </c>
      <c r="E86" s="134" t="str">
        <f t="shared" si="7"/>
        <v/>
      </c>
      <c r="F86" s="133"/>
      <c r="G86" s="100"/>
      <c r="H86" s="100"/>
      <c r="I86" s="100"/>
      <c r="J86" s="100"/>
      <c r="K86" s="475"/>
      <c r="L86" s="477"/>
      <c r="M86" s="100"/>
      <c r="N86" s="100"/>
      <c r="O86" s="100"/>
      <c r="P86" s="100"/>
      <c r="Q86" s="334"/>
      <c r="R86" s="206"/>
      <c r="S86" s="211"/>
      <c r="T86" s="100"/>
      <c r="U86" s="475" t="str">
        <f>IF(N86="","",N86*'Carbon factors'!$B$5*$B86)</f>
        <v/>
      </c>
      <c r="V86" s="475" t="str">
        <f>IF(O86="","",O86*'Carbon factors'!$B$5*$B86)</f>
        <v/>
      </c>
      <c r="W86" s="475" t="str">
        <f>IF(P86="","",P86*'Carbon factors'!$B$5*$B86)</f>
        <v/>
      </c>
      <c r="X86" s="263" t="str">
        <f t="shared" si="8"/>
        <v/>
      </c>
      <c r="Y86" s="49" t="str">
        <f t="shared" si="9"/>
        <v/>
      </c>
      <c r="Z86" s="47" t="str">
        <f t="shared" si="10"/>
        <v/>
      </c>
      <c r="AA86" s="47" t="str">
        <f t="shared" si="11"/>
        <v/>
      </c>
      <c r="AB86" s="47" t="str">
        <f t="shared" si="12"/>
        <v/>
      </c>
      <c r="AC86" s="475"/>
      <c r="AD86" s="475"/>
      <c r="AE86" s="475"/>
      <c r="AF86" s="48" t="str">
        <f t="shared" si="13"/>
        <v/>
      </c>
      <c r="AG86" s="61" t="str">
        <f t="shared" si="14"/>
        <v/>
      </c>
    </row>
    <row r="87" spans="1:33" s="36" customFormat="1" ht="13.5" customHeight="1">
      <c r="A87" s="287" t="str">
        <f>IF(Baseline!A86="","",Baseline!A86)</f>
        <v/>
      </c>
      <c r="B87" s="141" t="str">
        <f>IF(Baseline!B86="","",Baseline!B86)</f>
        <v/>
      </c>
      <c r="C87" s="141" t="str">
        <f>IF(Baseline!C86="","",Baseline!C86)</f>
        <v/>
      </c>
      <c r="D87" s="141" t="str">
        <f>IF(Baseline!D86="","",Baseline!D86)</f>
        <v/>
      </c>
      <c r="E87" s="134" t="str">
        <f t="shared" si="7"/>
        <v/>
      </c>
      <c r="F87" s="133"/>
      <c r="G87" s="100"/>
      <c r="H87" s="100"/>
      <c r="I87" s="100"/>
      <c r="J87" s="100"/>
      <c r="K87" s="475"/>
      <c r="L87" s="477"/>
      <c r="M87" s="100"/>
      <c r="N87" s="100"/>
      <c r="O87" s="100"/>
      <c r="P87" s="100"/>
      <c r="Q87" s="334"/>
      <c r="R87" s="206"/>
      <c r="S87" s="211"/>
      <c r="T87" s="100"/>
      <c r="U87" s="475" t="str">
        <f>IF(N87="","",N87*'Carbon factors'!$B$5*$B87)</f>
        <v/>
      </c>
      <c r="V87" s="475" t="str">
        <f>IF(O87="","",O87*'Carbon factors'!$B$5*$B87)</f>
        <v/>
      </c>
      <c r="W87" s="475" t="str">
        <f>IF(P87="","",P87*'Carbon factors'!$B$5*$B87)</f>
        <v/>
      </c>
      <c r="X87" s="263" t="str">
        <f t="shared" si="8"/>
        <v/>
      </c>
      <c r="Y87" s="49" t="str">
        <f t="shared" si="9"/>
        <v/>
      </c>
      <c r="Z87" s="47" t="str">
        <f t="shared" si="10"/>
        <v/>
      </c>
      <c r="AA87" s="47" t="str">
        <f t="shared" si="11"/>
        <v/>
      </c>
      <c r="AB87" s="47" t="str">
        <f t="shared" si="12"/>
        <v/>
      </c>
      <c r="AC87" s="475"/>
      <c r="AD87" s="475"/>
      <c r="AE87" s="475"/>
      <c r="AF87" s="48" t="str">
        <f t="shared" si="13"/>
        <v/>
      </c>
      <c r="AG87" s="61" t="str">
        <f t="shared" si="14"/>
        <v/>
      </c>
    </row>
    <row r="88" spans="1:33" s="36" customFormat="1" ht="13.5" customHeight="1">
      <c r="A88" s="287" t="str">
        <f>IF(Baseline!A87="","",Baseline!A87)</f>
        <v/>
      </c>
      <c r="B88" s="141" t="str">
        <f>IF(Baseline!B87="","",Baseline!B87)</f>
        <v/>
      </c>
      <c r="C88" s="141" t="str">
        <f>IF(Baseline!C87="","",Baseline!C87)</f>
        <v/>
      </c>
      <c r="D88" s="141" t="str">
        <f>IF(Baseline!D87="","",Baseline!D87)</f>
        <v/>
      </c>
      <c r="E88" s="134" t="str">
        <f t="shared" si="7"/>
        <v/>
      </c>
      <c r="F88" s="133"/>
      <c r="G88" s="100"/>
      <c r="H88" s="100"/>
      <c r="I88" s="100"/>
      <c r="J88" s="100"/>
      <c r="K88" s="475"/>
      <c r="L88" s="477"/>
      <c r="M88" s="100"/>
      <c r="N88" s="100"/>
      <c r="O88" s="100"/>
      <c r="P88" s="100"/>
      <c r="Q88" s="334"/>
      <c r="R88" s="206"/>
      <c r="S88" s="211"/>
      <c r="T88" s="100"/>
      <c r="U88" s="475" t="str">
        <f>IF(N88="","",N88*'Carbon factors'!$B$5*$B88)</f>
        <v/>
      </c>
      <c r="V88" s="475" t="str">
        <f>IF(O88="","",O88*'Carbon factors'!$B$5*$B88)</f>
        <v/>
      </c>
      <c r="W88" s="475" t="str">
        <f>IF(P88="","",P88*'Carbon factors'!$B$5*$B88)</f>
        <v/>
      </c>
      <c r="X88" s="263" t="str">
        <f t="shared" si="8"/>
        <v/>
      </c>
      <c r="Y88" s="49" t="str">
        <f t="shared" si="9"/>
        <v/>
      </c>
      <c r="Z88" s="47" t="str">
        <f t="shared" si="10"/>
        <v/>
      </c>
      <c r="AA88" s="47" t="str">
        <f t="shared" si="11"/>
        <v/>
      </c>
      <c r="AB88" s="47" t="str">
        <f t="shared" si="12"/>
        <v/>
      </c>
      <c r="AC88" s="475"/>
      <c r="AD88" s="475"/>
      <c r="AE88" s="475"/>
      <c r="AF88" s="48" t="str">
        <f t="shared" si="13"/>
        <v/>
      </c>
      <c r="AG88" s="61" t="str">
        <f t="shared" si="14"/>
        <v/>
      </c>
    </row>
    <row r="89" spans="1:33" s="36" customFormat="1" ht="13.5" customHeight="1">
      <c r="A89" s="287" t="str">
        <f>IF(Baseline!A88="","",Baseline!A88)</f>
        <v/>
      </c>
      <c r="B89" s="141" t="str">
        <f>IF(Baseline!B88="","",Baseline!B88)</f>
        <v/>
      </c>
      <c r="C89" s="141" t="str">
        <f>IF(Baseline!C88="","",Baseline!C88)</f>
        <v/>
      </c>
      <c r="D89" s="141" t="str">
        <f>IF(Baseline!D88="","",Baseline!D88)</f>
        <v/>
      </c>
      <c r="E89" s="134" t="str">
        <f t="shared" si="7"/>
        <v/>
      </c>
      <c r="F89" s="133"/>
      <c r="G89" s="100"/>
      <c r="H89" s="100"/>
      <c r="I89" s="100"/>
      <c r="J89" s="100"/>
      <c r="K89" s="475"/>
      <c r="L89" s="477"/>
      <c r="M89" s="100"/>
      <c r="N89" s="100"/>
      <c r="O89" s="100"/>
      <c r="P89" s="100"/>
      <c r="Q89" s="334"/>
      <c r="R89" s="206"/>
      <c r="S89" s="211"/>
      <c r="T89" s="100"/>
      <c r="U89" s="475" t="str">
        <f>IF(N89="","",N89*'Carbon factors'!$B$5*$B89)</f>
        <v/>
      </c>
      <c r="V89" s="475" t="str">
        <f>IF(O89="","",O89*'Carbon factors'!$B$5*$B89)</f>
        <v/>
      </c>
      <c r="W89" s="475" t="str">
        <f>IF(P89="","",P89*'Carbon factors'!$B$5*$B89)</f>
        <v/>
      </c>
      <c r="X89" s="263" t="str">
        <f t="shared" si="8"/>
        <v/>
      </c>
      <c r="Y89" s="49" t="str">
        <f t="shared" si="9"/>
        <v/>
      </c>
      <c r="Z89" s="47" t="str">
        <f t="shared" si="10"/>
        <v/>
      </c>
      <c r="AA89" s="47" t="str">
        <f t="shared" si="11"/>
        <v/>
      </c>
      <c r="AB89" s="47" t="str">
        <f t="shared" si="12"/>
        <v/>
      </c>
      <c r="AC89" s="475"/>
      <c r="AD89" s="475"/>
      <c r="AE89" s="475"/>
      <c r="AF89" s="48" t="str">
        <f t="shared" si="13"/>
        <v/>
      </c>
      <c r="AG89" s="61" t="str">
        <f t="shared" si="14"/>
        <v/>
      </c>
    </row>
    <row r="90" spans="1:33" s="36" customFormat="1" ht="13.5" customHeight="1">
      <c r="A90" s="287" t="str">
        <f>IF(Baseline!A89="","",Baseline!A89)</f>
        <v/>
      </c>
      <c r="B90" s="141" t="str">
        <f>IF(Baseline!B89="","",Baseline!B89)</f>
        <v/>
      </c>
      <c r="C90" s="141" t="str">
        <f>IF(Baseline!C89="","",Baseline!C89)</f>
        <v/>
      </c>
      <c r="D90" s="141" t="str">
        <f>IF(Baseline!D89="","",Baseline!D89)</f>
        <v/>
      </c>
      <c r="E90" s="134" t="str">
        <f t="shared" si="7"/>
        <v/>
      </c>
      <c r="F90" s="133"/>
      <c r="G90" s="100"/>
      <c r="H90" s="100"/>
      <c r="I90" s="100"/>
      <c r="J90" s="100"/>
      <c r="K90" s="475"/>
      <c r="L90" s="477"/>
      <c r="M90" s="100"/>
      <c r="N90" s="100"/>
      <c r="O90" s="100"/>
      <c r="P90" s="100"/>
      <c r="Q90" s="334"/>
      <c r="R90" s="206"/>
      <c r="S90" s="211"/>
      <c r="T90" s="100"/>
      <c r="U90" s="475" t="str">
        <f>IF(N90="","",N90*'Carbon factors'!$B$5*$B90)</f>
        <v/>
      </c>
      <c r="V90" s="475" t="str">
        <f>IF(O90="","",O90*'Carbon factors'!$B$5*$B90)</f>
        <v/>
      </c>
      <c r="W90" s="475" t="str">
        <f>IF(P90="","",P90*'Carbon factors'!$B$5*$B90)</f>
        <v/>
      </c>
      <c r="X90" s="263" t="str">
        <f t="shared" si="8"/>
        <v/>
      </c>
      <c r="Y90" s="49" t="str">
        <f t="shared" si="9"/>
        <v/>
      </c>
      <c r="Z90" s="47" t="str">
        <f t="shared" si="10"/>
        <v/>
      </c>
      <c r="AA90" s="47" t="str">
        <f t="shared" si="11"/>
        <v/>
      </c>
      <c r="AB90" s="47" t="str">
        <f t="shared" si="12"/>
        <v/>
      </c>
      <c r="AC90" s="475"/>
      <c r="AD90" s="475"/>
      <c r="AE90" s="475"/>
      <c r="AF90" s="48" t="str">
        <f t="shared" si="13"/>
        <v/>
      </c>
      <c r="AG90" s="61" t="str">
        <f t="shared" si="14"/>
        <v/>
      </c>
    </row>
    <row r="91" spans="1:33" s="36" customFormat="1" ht="13.5" customHeight="1">
      <c r="A91" s="287" t="str">
        <f>IF(Baseline!A90="","",Baseline!A90)</f>
        <v/>
      </c>
      <c r="B91" s="141" t="str">
        <f>IF(Baseline!B90="","",Baseline!B90)</f>
        <v/>
      </c>
      <c r="C91" s="141" t="str">
        <f>IF(Baseline!C90="","",Baseline!C90)</f>
        <v/>
      </c>
      <c r="D91" s="141" t="str">
        <f>IF(Baseline!D90="","",Baseline!D90)</f>
        <v/>
      </c>
      <c r="E91" s="134" t="str">
        <f t="shared" si="7"/>
        <v/>
      </c>
      <c r="F91" s="133"/>
      <c r="G91" s="100"/>
      <c r="H91" s="100"/>
      <c r="I91" s="100"/>
      <c r="J91" s="100"/>
      <c r="K91" s="475"/>
      <c r="L91" s="477"/>
      <c r="M91" s="100"/>
      <c r="N91" s="100"/>
      <c r="O91" s="100"/>
      <c r="P91" s="100"/>
      <c r="Q91" s="334"/>
      <c r="R91" s="206"/>
      <c r="S91" s="211"/>
      <c r="T91" s="100"/>
      <c r="U91" s="475" t="str">
        <f>IF(N91="","",N91*'Carbon factors'!$B$5*$B91)</f>
        <v/>
      </c>
      <c r="V91" s="475" t="str">
        <f>IF(O91="","",O91*'Carbon factors'!$B$5*$B91)</f>
        <v/>
      </c>
      <c r="W91" s="475" t="str">
        <f>IF(P91="","",P91*'Carbon factors'!$B$5*$B91)</f>
        <v/>
      </c>
      <c r="X91" s="263" t="str">
        <f t="shared" si="8"/>
        <v/>
      </c>
      <c r="Y91" s="49" t="str">
        <f t="shared" si="9"/>
        <v/>
      </c>
      <c r="Z91" s="47" t="str">
        <f t="shared" si="10"/>
        <v/>
      </c>
      <c r="AA91" s="47" t="str">
        <f t="shared" si="11"/>
        <v/>
      </c>
      <c r="AB91" s="47" t="str">
        <f t="shared" si="12"/>
        <v/>
      </c>
      <c r="AC91" s="475"/>
      <c r="AD91" s="475"/>
      <c r="AE91" s="475"/>
      <c r="AF91" s="48" t="str">
        <f t="shared" si="13"/>
        <v/>
      </c>
      <c r="AG91" s="61" t="str">
        <f t="shared" si="14"/>
        <v/>
      </c>
    </row>
    <row r="92" spans="1:33" s="36" customFormat="1" ht="13.5" customHeight="1">
      <c r="A92" s="287" t="str">
        <f>IF(Baseline!A91="","",Baseline!A91)</f>
        <v/>
      </c>
      <c r="B92" s="141" t="str">
        <f>IF(Baseline!B91="","",Baseline!B91)</f>
        <v/>
      </c>
      <c r="C92" s="141" t="str">
        <f>IF(Baseline!C91="","",Baseline!C91)</f>
        <v/>
      </c>
      <c r="D92" s="141" t="str">
        <f>IF(Baseline!D91="","",Baseline!D91)</f>
        <v/>
      </c>
      <c r="E92" s="134" t="str">
        <f t="shared" si="7"/>
        <v/>
      </c>
      <c r="F92" s="133"/>
      <c r="G92" s="100"/>
      <c r="H92" s="100"/>
      <c r="I92" s="100"/>
      <c r="J92" s="100"/>
      <c r="K92" s="475"/>
      <c r="L92" s="477"/>
      <c r="M92" s="100"/>
      <c r="N92" s="100"/>
      <c r="O92" s="100"/>
      <c r="P92" s="100"/>
      <c r="Q92" s="334"/>
      <c r="R92" s="206"/>
      <c r="S92" s="211"/>
      <c r="T92" s="100"/>
      <c r="U92" s="475" t="str">
        <f>IF(N92="","",N92*'Carbon factors'!$B$5*$B92)</f>
        <v/>
      </c>
      <c r="V92" s="475" t="str">
        <f>IF(O92="","",O92*'Carbon factors'!$B$5*$B92)</f>
        <v/>
      </c>
      <c r="W92" s="475" t="str">
        <f>IF(P92="","",P92*'Carbon factors'!$B$5*$B92)</f>
        <v/>
      </c>
      <c r="X92" s="263" t="str">
        <f t="shared" si="8"/>
        <v/>
      </c>
      <c r="Y92" s="49" t="str">
        <f t="shared" si="9"/>
        <v/>
      </c>
      <c r="Z92" s="47" t="str">
        <f t="shared" si="10"/>
        <v/>
      </c>
      <c r="AA92" s="47" t="str">
        <f t="shared" si="11"/>
        <v/>
      </c>
      <c r="AB92" s="47" t="str">
        <f t="shared" si="12"/>
        <v/>
      </c>
      <c r="AC92" s="475"/>
      <c r="AD92" s="475"/>
      <c r="AE92" s="475"/>
      <c r="AF92" s="48" t="str">
        <f t="shared" si="13"/>
        <v/>
      </c>
      <c r="AG92" s="61" t="str">
        <f t="shared" si="14"/>
        <v/>
      </c>
    </row>
    <row r="93" spans="1:33" s="36" customFormat="1" ht="13.5" customHeight="1">
      <c r="A93" s="289" t="str">
        <f>IF(Baseline!A92="","",Baseline!A92)</f>
        <v/>
      </c>
      <c r="B93" s="290" t="str">
        <f>IF(Baseline!B92="","",Baseline!B92)</f>
        <v/>
      </c>
      <c r="C93" s="290" t="str">
        <f>IF(Baseline!C92="","",Baseline!C92)</f>
        <v/>
      </c>
      <c r="D93" s="290" t="str">
        <f>IF(Baseline!D92="","",Baseline!D92)</f>
        <v/>
      </c>
      <c r="E93" s="135" t="str">
        <f t="shared" si="7"/>
        <v/>
      </c>
      <c r="F93" s="136"/>
      <c r="G93" s="104"/>
      <c r="H93" s="100"/>
      <c r="I93" s="104"/>
      <c r="J93" s="104"/>
      <c r="K93" s="475"/>
      <c r="L93" s="477"/>
      <c r="M93" s="104"/>
      <c r="N93" s="104"/>
      <c r="O93" s="104"/>
      <c r="P93" s="105"/>
      <c r="Q93" s="334"/>
      <c r="R93" s="206"/>
      <c r="S93" s="211"/>
      <c r="T93" s="104"/>
      <c r="U93" s="475" t="str">
        <f>IF(N93="","",N93*'Carbon factors'!$B$5*$B93)</f>
        <v/>
      </c>
      <c r="V93" s="475" t="str">
        <f>IF(O93="","",O93*'Carbon factors'!$B$5*$B93)</f>
        <v/>
      </c>
      <c r="W93" s="475" t="str">
        <f>IF(P93="","",P93*'Carbon factors'!$B$5*$B93)</f>
        <v/>
      </c>
      <c r="X93" s="264" t="str">
        <f t="shared" si="8"/>
        <v/>
      </c>
      <c r="Y93" s="53" t="str">
        <f t="shared" si="9"/>
        <v/>
      </c>
      <c r="Z93" s="51" t="str">
        <f t="shared" si="10"/>
        <v/>
      </c>
      <c r="AA93" s="51" t="str">
        <f t="shared" si="11"/>
        <v/>
      </c>
      <c r="AB93" s="51" t="str">
        <f t="shared" si="12"/>
        <v/>
      </c>
      <c r="AC93" s="475"/>
      <c r="AD93" s="475"/>
      <c r="AE93" s="475"/>
      <c r="AF93" s="52" t="str">
        <f t="shared" si="13"/>
        <v/>
      </c>
      <c r="AG93" s="62" t="str">
        <f t="shared" si="14"/>
        <v/>
      </c>
    </row>
    <row r="94" spans="1:33" s="36" customFormat="1" ht="24.75" customHeight="1">
      <c r="A94" s="54" t="s">
        <v>2</v>
      </c>
      <c r="B94" s="55">
        <f>SUM(B63:B93)</f>
        <v>2918.75</v>
      </c>
      <c r="C94" s="55">
        <f>SUM(C63:C93)</f>
        <v>1</v>
      </c>
      <c r="D94" s="310">
        <f>SUM(D63:D93)</f>
        <v>2918.75</v>
      </c>
      <c r="E94" s="276">
        <f>X94/B94</f>
        <v>33.537000000000006</v>
      </c>
      <c r="F94" s="201" t="s">
        <v>3</v>
      </c>
      <c r="G94" s="55">
        <f>SUMPRODUCT(G63:G93,B63:B93,C63:C93)</f>
        <v>0</v>
      </c>
      <c r="H94" s="83" t="s">
        <v>12</v>
      </c>
      <c r="I94" s="55">
        <f>SUMPRODUCT(I63:I93,$B63:$B93,$C63:$C93)</f>
        <v>0</v>
      </c>
      <c r="J94" s="83" t="s">
        <v>12</v>
      </c>
      <c r="K94" s="475"/>
      <c r="L94" s="477"/>
      <c r="M94" s="55">
        <f>SUMPRODUCT(M63:M93,$B63:$B93,$C63:$C93)</f>
        <v>0</v>
      </c>
      <c r="N94" s="55">
        <f>SUMPRODUCT(N63:N93,$B63:$B93,$C63:$C93)</f>
        <v>0</v>
      </c>
      <c r="O94" s="55">
        <f>SUMPRODUCT(O63:O93,$B63:$B93,$C63:$C93)</f>
        <v>0</v>
      </c>
      <c r="P94" s="55">
        <f>SUMPRODUCT(P63:P93,$B63:$B93,$C63:$C93)</f>
        <v>0</v>
      </c>
      <c r="Q94" s="298">
        <f t="shared" ref="Q94:W94" si="15">SUMPRODUCT(Q63:Q93,$C$63:$C$93)</f>
        <v>100</v>
      </c>
      <c r="R94" s="199">
        <f t="shared" si="15"/>
        <v>23</v>
      </c>
      <c r="S94" s="199">
        <f t="shared" si="15"/>
        <v>0</v>
      </c>
      <c r="T94" s="55">
        <f t="shared" si="15"/>
        <v>0</v>
      </c>
      <c r="U94" s="475">
        <f t="shared" si="15"/>
        <v>0</v>
      </c>
      <c r="V94" s="475">
        <f t="shared" si="15"/>
        <v>0</v>
      </c>
      <c r="W94" s="475">
        <f t="shared" si="15"/>
        <v>0</v>
      </c>
      <c r="X94" s="57">
        <f>SUMPRODUCT(E63:E93,D63:D93)</f>
        <v>97886.118750000023</v>
      </c>
      <c r="Y94" s="58">
        <f>SUMPRODUCT(Y63:Y93,$C$63:$C$93)</f>
        <v>100</v>
      </c>
      <c r="Z94" s="199">
        <f>SUMPRODUCT(Z63:Z93,$C$63:$C$93)</f>
        <v>23</v>
      </c>
      <c r="AA94" s="199">
        <f>SUMPRODUCT(AA63:AA93,$C$63:$C$93)</f>
        <v>0</v>
      </c>
      <c r="AB94" s="55">
        <f>SUMPRODUCT(AB63:AB93,$C$63:$C$93)</f>
        <v>0</v>
      </c>
      <c r="AC94" s="475"/>
      <c r="AD94" s="475"/>
      <c r="AE94" s="475"/>
      <c r="AF94" s="57">
        <f>SUMPRODUCT(AG63:AG93,D63:D93)</f>
        <v>76935.331250000003</v>
      </c>
      <c r="AG94" s="203">
        <f>AF94/B94</f>
        <v>26.359000000000002</v>
      </c>
    </row>
    <row r="95" spans="1:33" s="80" customFormat="1" ht="27" customHeight="1">
      <c r="A95" s="424" t="s">
        <v>185</v>
      </c>
      <c r="B95" s="425"/>
      <c r="C95" s="425"/>
      <c r="D95" s="425"/>
      <c r="E95" s="425"/>
      <c r="F95" s="425"/>
      <c r="G95" s="425"/>
      <c r="H95" s="425"/>
      <c r="I95" s="425"/>
      <c r="J95" s="425"/>
      <c r="K95" s="425"/>
      <c r="L95" s="425"/>
      <c r="M95" s="425"/>
      <c r="N95" s="425"/>
      <c r="O95" s="425"/>
      <c r="P95" s="425"/>
      <c r="Q95" s="425"/>
      <c r="R95" s="425"/>
      <c r="S95" s="425"/>
      <c r="T95" s="425"/>
      <c r="U95" s="425"/>
      <c r="V95" s="425"/>
      <c r="W95" s="425"/>
      <c r="X95" s="425"/>
      <c r="Y95" s="425"/>
      <c r="Z95" s="425"/>
      <c r="AA95" s="425"/>
      <c r="AB95" s="425"/>
      <c r="AC95" s="425"/>
      <c r="AD95" s="425"/>
      <c r="AE95" s="425"/>
      <c r="AF95" s="425"/>
      <c r="AG95" s="426"/>
    </row>
    <row r="96" spans="1:33" s="36" customFormat="1" ht="27.75" customHeight="1">
      <c r="A96" s="483" t="s">
        <v>0</v>
      </c>
      <c r="B96" s="400" t="s">
        <v>95</v>
      </c>
      <c r="C96" s="435"/>
      <c r="D96" s="436"/>
      <c r="E96" s="380" t="s">
        <v>29</v>
      </c>
      <c r="F96" s="482" t="s">
        <v>3</v>
      </c>
      <c r="G96" s="371" t="s">
        <v>4</v>
      </c>
      <c r="H96" s="372"/>
      <c r="I96" s="372"/>
      <c r="J96" s="372"/>
      <c r="K96" s="372"/>
      <c r="L96" s="372"/>
      <c r="M96" s="372"/>
      <c r="N96" s="372"/>
      <c r="O96" s="372"/>
      <c r="P96" s="373"/>
      <c r="Q96" s="305"/>
      <c r="R96" s="306"/>
      <c r="S96" s="306"/>
      <c r="T96" s="306"/>
      <c r="U96" s="306"/>
      <c r="V96" s="306"/>
      <c r="W96" s="307"/>
      <c r="X96" s="303" t="s">
        <v>19</v>
      </c>
      <c r="Y96" s="308"/>
      <c r="Z96" s="302"/>
      <c r="AA96" s="302"/>
      <c r="AB96" s="302"/>
      <c r="AC96" s="302"/>
      <c r="AD96" s="302"/>
      <c r="AE96" s="302"/>
      <c r="AF96" s="449" t="s">
        <v>18</v>
      </c>
      <c r="AG96" s="481"/>
    </row>
    <row r="97" spans="1:33" s="36" customFormat="1" ht="74.45" customHeight="1" thickBot="1">
      <c r="A97" s="484"/>
      <c r="B97" s="401"/>
      <c r="C97" s="412"/>
      <c r="D97" s="413"/>
      <c r="E97" s="416"/>
      <c r="F97" s="417"/>
      <c r="G97" s="41" t="s">
        <v>5</v>
      </c>
      <c r="H97" s="402" t="s">
        <v>12</v>
      </c>
      <c r="I97" s="39" t="s">
        <v>6</v>
      </c>
      <c r="J97" s="402" t="s">
        <v>12</v>
      </c>
      <c r="K97" s="39" t="s">
        <v>64</v>
      </c>
      <c r="L97" s="402" t="s">
        <v>12</v>
      </c>
      <c r="M97" s="139" t="s">
        <v>101</v>
      </c>
      <c r="N97" s="39" t="s">
        <v>7</v>
      </c>
      <c r="O97" s="39" t="s">
        <v>8</v>
      </c>
      <c r="P97" s="39" t="s">
        <v>9</v>
      </c>
      <c r="Q97" s="214"/>
      <c r="R97" s="183"/>
      <c r="S97" s="183"/>
      <c r="T97" s="183"/>
      <c r="U97" s="183"/>
      <c r="V97" s="183"/>
      <c r="W97" s="184"/>
      <c r="X97" s="151" t="s">
        <v>96</v>
      </c>
      <c r="Y97" s="232"/>
      <c r="Z97" s="183"/>
      <c r="AA97" s="183"/>
      <c r="AB97" s="183"/>
      <c r="AC97" s="183"/>
      <c r="AD97" s="183"/>
      <c r="AE97" s="183"/>
      <c r="AF97" s="118" t="s">
        <v>120</v>
      </c>
      <c r="AG97" s="40" t="s">
        <v>117</v>
      </c>
    </row>
    <row r="98" spans="1:33" s="36" customFormat="1" ht="23.25" customHeight="1">
      <c r="A98" s="85" t="s">
        <v>2</v>
      </c>
      <c r="B98" s="414">
        <f>D94+D58</f>
        <v>29663.75</v>
      </c>
      <c r="C98" s="414"/>
      <c r="D98" s="415"/>
      <c r="E98" s="92">
        <f>X98/B98</f>
        <v>15.914341834803286</v>
      </c>
      <c r="F98" s="95" t="s">
        <v>3</v>
      </c>
      <c r="G98" s="30">
        <f>G58+G94</f>
        <v>485327.16738197423</v>
      </c>
      <c r="H98" s="403"/>
      <c r="I98" s="30">
        <f>I58+I94</f>
        <v>738113.62660944194</v>
      </c>
      <c r="J98" s="403"/>
      <c r="K98" s="30">
        <f>K58</f>
        <v>0</v>
      </c>
      <c r="L98" s="403"/>
      <c r="M98" s="30">
        <f>M58+M94</f>
        <v>0</v>
      </c>
      <c r="N98" s="30">
        <f>N58+N94</f>
        <v>116765.69</v>
      </c>
      <c r="O98" s="30">
        <f>O58+O94</f>
        <v>74212.14</v>
      </c>
      <c r="P98" s="30">
        <f>P58+P94</f>
        <v>20832.82</v>
      </c>
      <c r="Q98" s="215"/>
      <c r="R98" s="216"/>
      <c r="S98" s="216"/>
      <c r="T98" s="216"/>
      <c r="U98" s="216"/>
      <c r="V98" s="216"/>
      <c r="W98" s="217"/>
      <c r="X98" s="69">
        <f>X58+X94</f>
        <v>472079.057602146</v>
      </c>
      <c r="Y98" s="233"/>
      <c r="Z98" s="216"/>
      <c r="AA98" s="216"/>
      <c r="AB98" s="216"/>
      <c r="AC98" s="216"/>
      <c r="AD98" s="216"/>
      <c r="AE98" s="216"/>
      <c r="AF98" s="69">
        <f>AF58+AF94</f>
        <v>383209.77943819738</v>
      </c>
      <c r="AG98" s="70">
        <f>AF98/B98</f>
        <v>12.918453649258687</v>
      </c>
    </row>
    <row r="99" spans="1:33">
      <c r="A99" s="71"/>
      <c r="B99" s="72"/>
      <c r="C99" s="73"/>
      <c r="D99" s="73"/>
      <c r="E99" s="73"/>
      <c r="F99" s="73"/>
      <c r="G99" s="73"/>
      <c r="H99" s="73"/>
      <c r="I99" s="73"/>
      <c r="J99" s="73"/>
      <c r="K99" s="73"/>
      <c r="L99" s="73"/>
      <c r="M99" s="73"/>
      <c r="N99" s="73"/>
      <c r="O99" s="73"/>
      <c r="P99" s="73"/>
      <c r="Q99" s="73"/>
      <c r="R99" s="73"/>
      <c r="S99" s="73"/>
      <c r="T99" s="73"/>
      <c r="U99" s="73"/>
      <c r="V99" s="73"/>
      <c r="W99" s="73"/>
      <c r="X99" s="79"/>
      <c r="Y99" s="79"/>
      <c r="Z99" s="79"/>
      <c r="AA99" s="79"/>
      <c r="AB99" s="79"/>
      <c r="AC99" s="79"/>
      <c r="AD99" s="79"/>
      <c r="AE99" s="79"/>
      <c r="AF99" s="79"/>
      <c r="AG99" s="79"/>
    </row>
    <row r="100" spans="1:33">
      <c r="A100" s="71"/>
      <c r="B100" s="72"/>
      <c r="C100" s="73"/>
      <c r="D100" s="73"/>
      <c r="E100" s="73"/>
      <c r="F100" s="73"/>
      <c r="G100" s="73"/>
      <c r="H100" s="73"/>
      <c r="I100" s="73"/>
      <c r="J100" s="73"/>
      <c r="K100" s="73"/>
      <c r="L100" s="73"/>
      <c r="M100" s="73"/>
      <c r="N100" s="73"/>
      <c r="O100" s="73"/>
      <c r="P100" s="73"/>
      <c r="Q100" s="73"/>
      <c r="R100" s="73"/>
      <c r="S100" s="73"/>
      <c r="T100" s="73"/>
      <c r="U100" s="73"/>
      <c r="V100" s="73"/>
      <c r="W100" s="74"/>
      <c r="X100" s="79"/>
      <c r="Y100" s="79"/>
      <c r="Z100" s="79"/>
      <c r="AA100" s="79"/>
      <c r="AB100" s="79"/>
      <c r="AC100" s="79"/>
      <c r="AD100" s="79"/>
      <c r="AE100" s="79"/>
      <c r="AF100" s="79"/>
      <c r="AG100" s="79"/>
    </row>
    <row r="101" spans="1:33">
      <c r="A101" s="71"/>
      <c r="B101" s="72"/>
      <c r="C101" s="73"/>
      <c r="D101" s="73"/>
      <c r="E101" s="73"/>
      <c r="F101" s="73"/>
      <c r="G101" s="73"/>
      <c r="H101" s="73"/>
      <c r="I101" s="73"/>
      <c r="J101" s="73"/>
      <c r="K101" s="73"/>
      <c r="L101" s="73"/>
      <c r="M101" s="73"/>
      <c r="N101" s="73"/>
      <c r="O101" s="73"/>
      <c r="P101" s="73"/>
      <c r="Q101" s="73"/>
      <c r="R101" s="73"/>
      <c r="S101" s="73"/>
      <c r="T101" s="73"/>
      <c r="U101" s="73"/>
      <c r="V101" s="73"/>
      <c r="W101" s="73"/>
      <c r="X101" s="79"/>
      <c r="Y101" s="79"/>
      <c r="Z101" s="79"/>
      <c r="AA101" s="79"/>
      <c r="AB101" s="79"/>
      <c r="AC101" s="79"/>
      <c r="AD101" s="79"/>
      <c r="AE101" s="79"/>
      <c r="AF101" s="79"/>
      <c r="AG101" s="79"/>
    </row>
    <row r="102" spans="1:33">
      <c r="A102" s="71"/>
      <c r="B102" s="72"/>
      <c r="C102" s="73"/>
      <c r="D102" s="73"/>
      <c r="E102" s="73"/>
      <c r="F102" s="73"/>
      <c r="G102" s="73"/>
      <c r="H102" s="73"/>
      <c r="I102" s="73"/>
      <c r="J102" s="73"/>
      <c r="K102" s="73"/>
      <c r="L102" s="73"/>
      <c r="M102" s="73"/>
      <c r="N102" s="73"/>
      <c r="O102" s="73"/>
      <c r="P102" s="73"/>
      <c r="Q102" s="73"/>
      <c r="R102" s="73"/>
      <c r="S102" s="73"/>
      <c r="T102" s="73"/>
      <c r="U102" s="73"/>
      <c r="V102" s="73"/>
      <c r="W102" s="73"/>
      <c r="X102" s="79"/>
      <c r="Y102" s="79"/>
      <c r="Z102" s="79"/>
      <c r="AA102" s="79"/>
      <c r="AB102" s="79"/>
      <c r="AC102" s="79"/>
      <c r="AD102" s="79"/>
      <c r="AE102" s="79"/>
      <c r="AF102" s="79"/>
      <c r="AG102" s="79"/>
    </row>
    <row r="103" spans="1:33">
      <c r="A103" s="71"/>
      <c r="B103" s="72"/>
      <c r="C103" s="73"/>
      <c r="D103" s="73"/>
      <c r="E103" s="73"/>
      <c r="F103" s="73"/>
      <c r="G103" s="73"/>
      <c r="H103" s="73"/>
      <c r="I103" s="73"/>
      <c r="J103" s="73"/>
      <c r="K103" s="73"/>
      <c r="L103" s="73"/>
      <c r="M103" s="73"/>
      <c r="N103" s="73"/>
      <c r="O103" s="73"/>
      <c r="P103" s="73"/>
      <c r="Q103" s="73"/>
      <c r="R103" s="73"/>
      <c r="S103" s="73"/>
      <c r="T103" s="73"/>
      <c r="U103" s="73"/>
      <c r="V103" s="73"/>
      <c r="W103" s="73"/>
      <c r="X103" s="79"/>
      <c r="Y103" s="79"/>
      <c r="Z103" s="79"/>
      <c r="AA103" s="79"/>
      <c r="AB103" s="79"/>
      <c r="AC103" s="79"/>
      <c r="AD103" s="79"/>
      <c r="AE103" s="79"/>
      <c r="AF103" s="79"/>
      <c r="AG103" s="79"/>
    </row>
    <row r="104" spans="1:33">
      <c r="A104" s="71"/>
      <c r="B104" s="72"/>
      <c r="C104" s="73"/>
      <c r="D104" s="73"/>
      <c r="E104" s="73"/>
      <c r="F104" s="73"/>
      <c r="G104" s="73"/>
      <c r="H104" s="73"/>
      <c r="I104" s="73"/>
      <c r="J104" s="73"/>
      <c r="K104" s="73"/>
      <c r="L104" s="73"/>
      <c r="M104" s="73"/>
      <c r="N104" s="73"/>
      <c r="O104" s="73"/>
      <c r="P104" s="73"/>
      <c r="Q104" s="73"/>
      <c r="R104" s="73"/>
      <c r="S104" s="73"/>
      <c r="T104" s="73"/>
      <c r="U104" s="73"/>
      <c r="V104" s="73"/>
      <c r="W104" s="73"/>
      <c r="X104" s="79"/>
      <c r="Y104" s="79"/>
      <c r="Z104" s="79"/>
      <c r="AA104" s="79"/>
      <c r="AB104" s="79"/>
      <c r="AC104" s="79"/>
      <c r="AD104" s="79"/>
      <c r="AE104" s="79"/>
      <c r="AF104" s="79"/>
      <c r="AG104" s="79"/>
    </row>
    <row r="105" spans="1:33">
      <c r="A105" s="71"/>
      <c r="B105" s="72"/>
      <c r="C105" s="73"/>
      <c r="D105" s="73"/>
      <c r="E105" s="73"/>
      <c r="F105" s="73"/>
      <c r="G105" s="73"/>
      <c r="H105" s="73"/>
      <c r="I105" s="73"/>
      <c r="J105" s="73"/>
      <c r="K105" s="73"/>
      <c r="L105" s="73"/>
      <c r="M105" s="73"/>
      <c r="N105" s="73"/>
      <c r="O105" s="73"/>
      <c r="P105" s="73"/>
      <c r="Q105" s="73"/>
      <c r="R105" s="73"/>
      <c r="S105" s="73"/>
      <c r="T105" s="73"/>
      <c r="U105" s="73"/>
      <c r="V105" s="73"/>
      <c r="W105" s="73"/>
      <c r="X105" s="79"/>
      <c r="Y105" s="79"/>
      <c r="Z105" s="79"/>
      <c r="AA105" s="79"/>
      <c r="AB105" s="79"/>
      <c r="AC105" s="79"/>
      <c r="AD105" s="79"/>
      <c r="AE105" s="79"/>
      <c r="AF105" s="79"/>
      <c r="AG105" s="79"/>
    </row>
    <row r="106" spans="1:33">
      <c r="A106" s="71"/>
      <c r="B106" s="72"/>
      <c r="C106" s="73"/>
      <c r="D106" s="73"/>
      <c r="E106" s="73"/>
      <c r="F106" s="73"/>
      <c r="G106" s="73"/>
      <c r="H106" s="73"/>
      <c r="I106" s="73"/>
      <c r="J106" s="73"/>
      <c r="K106" s="73"/>
      <c r="L106" s="73"/>
      <c r="M106" s="73"/>
      <c r="N106" s="73"/>
      <c r="O106" s="73"/>
      <c r="P106" s="73"/>
      <c r="Q106" s="73"/>
      <c r="R106" s="73"/>
      <c r="S106" s="73"/>
      <c r="T106" s="73"/>
      <c r="U106" s="73"/>
      <c r="V106" s="73"/>
      <c r="W106" s="73"/>
      <c r="X106" s="79"/>
      <c r="Y106" s="79"/>
      <c r="Z106" s="79"/>
      <c r="AA106" s="79"/>
      <c r="AB106" s="79"/>
      <c r="AC106" s="79"/>
      <c r="AD106" s="79"/>
      <c r="AE106" s="79"/>
      <c r="AF106" s="79"/>
      <c r="AG106" s="79"/>
    </row>
    <row r="107" spans="1:33">
      <c r="A107" s="71"/>
      <c r="B107" s="72"/>
      <c r="C107" s="73"/>
      <c r="D107" s="73"/>
      <c r="E107" s="73"/>
      <c r="F107" s="73"/>
      <c r="G107" s="73"/>
      <c r="H107" s="73"/>
      <c r="I107" s="73"/>
      <c r="J107" s="73"/>
      <c r="K107" s="73"/>
      <c r="L107" s="73"/>
      <c r="M107" s="73"/>
      <c r="N107" s="73"/>
      <c r="O107" s="73"/>
      <c r="P107" s="73"/>
      <c r="Q107" s="73"/>
      <c r="R107" s="73"/>
      <c r="S107" s="73"/>
      <c r="T107" s="73"/>
      <c r="U107" s="73"/>
      <c r="V107" s="73"/>
      <c r="W107" s="73"/>
      <c r="X107" s="79"/>
      <c r="Y107" s="79"/>
      <c r="Z107" s="79"/>
      <c r="AA107" s="79"/>
      <c r="AB107" s="79"/>
      <c r="AC107" s="79"/>
      <c r="AD107" s="79"/>
      <c r="AE107" s="79"/>
      <c r="AF107" s="79"/>
      <c r="AG107" s="79"/>
    </row>
    <row r="108" spans="1:33">
      <c r="A108" s="71"/>
      <c r="B108" s="72"/>
      <c r="C108" s="73"/>
      <c r="D108" s="73"/>
      <c r="E108" s="73"/>
      <c r="F108" s="73"/>
      <c r="G108" s="73"/>
      <c r="H108" s="73"/>
      <c r="I108" s="73"/>
      <c r="J108" s="73"/>
      <c r="K108" s="73"/>
      <c r="L108" s="73"/>
      <c r="M108" s="73"/>
      <c r="N108" s="73"/>
      <c r="O108" s="73"/>
      <c r="P108" s="73"/>
      <c r="Q108" s="73"/>
      <c r="R108" s="73"/>
      <c r="S108" s="73"/>
      <c r="T108" s="73"/>
      <c r="U108" s="73"/>
      <c r="V108" s="73"/>
      <c r="W108" s="73"/>
      <c r="X108" s="79"/>
      <c r="Y108" s="79"/>
      <c r="Z108" s="79"/>
      <c r="AA108" s="79"/>
      <c r="AB108" s="79"/>
      <c r="AC108" s="79"/>
      <c r="AD108" s="79"/>
      <c r="AE108" s="79"/>
      <c r="AF108" s="79"/>
      <c r="AG108" s="79"/>
    </row>
    <row r="109" spans="1:33">
      <c r="A109" s="71"/>
      <c r="B109" s="72"/>
      <c r="C109" s="73"/>
      <c r="D109" s="73"/>
      <c r="E109" s="73"/>
      <c r="F109" s="73"/>
      <c r="G109" s="73"/>
      <c r="H109" s="73"/>
      <c r="I109" s="73"/>
      <c r="J109" s="73"/>
      <c r="K109" s="73"/>
      <c r="L109" s="73"/>
      <c r="M109" s="73"/>
      <c r="N109" s="73"/>
      <c r="O109" s="73"/>
      <c r="P109" s="73"/>
      <c r="Q109" s="73"/>
      <c r="R109" s="73"/>
      <c r="S109" s="73"/>
      <c r="T109" s="73"/>
      <c r="U109" s="73"/>
      <c r="V109" s="73"/>
      <c r="W109" s="73"/>
      <c r="X109" s="79"/>
      <c r="Y109" s="79"/>
      <c r="Z109" s="79"/>
      <c r="AA109" s="79"/>
      <c r="AB109" s="79"/>
      <c r="AC109" s="79"/>
      <c r="AD109" s="79"/>
      <c r="AE109" s="79"/>
      <c r="AF109" s="79"/>
      <c r="AG109" s="79"/>
    </row>
    <row r="110" spans="1:33">
      <c r="A110" s="71"/>
      <c r="B110" s="72"/>
      <c r="C110" s="73"/>
      <c r="D110" s="73"/>
      <c r="E110" s="73"/>
      <c r="F110" s="73"/>
      <c r="G110" s="73"/>
      <c r="H110" s="73"/>
      <c r="I110" s="73"/>
      <c r="J110" s="73"/>
      <c r="K110" s="73"/>
      <c r="L110" s="73"/>
      <c r="M110" s="73"/>
      <c r="N110" s="73"/>
      <c r="O110" s="73"/>
      <c r="P110" s="73"/>
      <c r="Q110" s="73"/>
      <c r="R110" s="73"/>
      <c r="S110" s="73"/>
      <c r="T110" s="73"/>
      <c r="U110" s="73"/>
      <c r="V110" s="73"/>
      <c r="W110" s="73"/>
      <c r="X110" s="79"/>
      <c r="Y110" s="79"/>
      <c r="Z110" s="79"/>
      <c r="AA110" s="79"/>
      <c r="AB110" s="79"/>
      <c r="AC110" s="79"/>
      <c r="AD110" s="79"/>
      <c r="AE110" s="79"/>
      <c r="AF110" s="79"/>
      <c r="AG110" s="79"/>
    </row>
    <row r="111" spans="1:33">
      <c r="A111" s="71"/>
      <c r="B111" s="72"/>
      <c r="C111" s="73"/>
      <c r="D111" s="73"/>
      <c r="E111" s="73"/>
      <c r="F111" s="73"/>
      <c r="G111" s="73"/>
      <c r="H111" s="73"/>
      <c r="I111" s="73"/>
      <c r="J111" s="73"/>
      <c r="K111" s="73"/>
      <c r="L111" s="73"/>
      <c r="M111" s="73"/>
      <c r="N111" s="73"/>
      <c r="O111" s="73"/>
      <c r="P111" s="73"/>
      <c r="Q111" s="73"/>
      <c r="R111" s="73"/>
      <c r="S111" s="73"/>
      <c r="T111" s="73"/>
      <c r="U111" s="73"/>
      <c r="V111" s="73"/>
      <c r="W111" s="73"/>
      <c r="X111" s="79"/>
      <c r="Y111" s="79"/>
      <c r="Z111" s="79"/>
      <c r="AA111" s="79"/>
      <c r="AB111" s="79"/>
      <c r="AC111" s="79"/>
      <c r="AD111" s="79"/>
      <c r="AE111" s="79"/>
      <c r="AF111" s="79"/>
      <c r="AG111" s="79"/>
    </row>
    <row r="112" spans="1:33">
      <c r="A112" s="71"/>
      <c r="B112" s="72"/>
      <c r="C112" s="73"/>
      <c r="D112" s="73"/>
      <c r="E112" s="73"/>
      <c r="F112" s="73"/>
      <c r="G112" s="73"/>
      <c r="H112" s="73"/>
      <c r="I112" s="73"/>
      <c r="J112" s="73"/>
      <c r="K112" s="73"/>
      <c r="L112" s="73"/>
      <c r="M112" s="73"/>
      <c r="N112" s="73"/>
      <c r="O112" s="73"/>
      <c r="P112" s="73"/>
      <c r="Q112" s="73"/>
      <c r="R112" s="73"/>
      <c r="S112" s="73"/>
      <c r="T112" s="73"/>
      <c r="U112" s="73"/>
      <c r="V112" s="73"/>
      <c r="W112" s="73"/>
      <c r="X112" s="79"/>
      <c r="Y112" s="79"/>
      <c r="Z112" s="79"/>
      <c r="AA112" s="79"/>
      <c r="AB112" s="79"/>
      <c r="AC112" s="79"/>
      <c r="AD112" s="79"/>
      <c r="AE112" s="79"/>
      <c r="AF112" s="79"/>
      <c r="AG112" s="79"/>
    </row>
    <row r="113" spans="1:33">
      <c r="A113" s="71"/>
      <c r="B113" s="72"/>
      <c r="C113" s="73"/>
      <c r="D113" s="73"/>
      <c r="E113" s="73"/>
      <c r="F113" s="73"/>
      <c r="G113" s="73"/>
      <c r="H113" s="73"/>
      <c r="I113" s="73"/>
      <c r="J113" s="73"/>
      <c r="K113" s="73"/>
      <c r="L113" s="73"/>
      <c r="M113" s="73"/>
      <c r="N113" s="73"/>
      <c r="O113" s="73"/>
      <c r="P113" s="73"/>
      <c r="Q113" s="73"/>
      <c r="R113" s="73"/>
      <c r="S113" s="73"/>
      <c r="T113" s="73"/>
      <c r="U113" s="73"/>
      <c r="V113" s="73"/>
      <c r="W113" s="73"/>
      <c r="X113" s="79"/>
      <c r="Y113" s="79"/>
      <c r="Z113" s="79"/>
      <c r="AA113" s="79"/>
      <c r="AB113" s="79"/>
      <c r="AC113" s="79"/>
      <c r="AD113" s="79"/>
      <c r="AE113" s="79"/>
      <c r="AF113" s="79"/>
      <c r="AG113" s="79"/>
    </row>
    <row r="114" spans="1:33">
      <c r="A114" s="71"/>
      <c r="B114" s="72"/>
      <c r="C114" s="73"/>
      <c r="D114" s="73"/>
      <c r="E114" s="73"/>
      <c r="F114" s="73"/>
      <c r="G114" s="73"/>
      <c r="H114" s="73"/>
      <c r="I114" s="73"/>
      <c r="J114" s="73"/>
      <c r="K114" s="73"/>
      <c r="L114" s="73"/>
      <c r="M114" s="73"/>
      <c r="N114" s="73"/>
      <c r="O114" s="73"/>
      <c r="P114" s="73"/>
      <c r="Q114" s="73"/>
      <c r="R114" s="73"/>
      <c r="S114" s="73"/>
      <c r="T114" s="73"/>
      <c r="U114" s="73"/>
      <c r="V114" s="73"/>
      <c r="W114" s="73"/>
      <c r="X114" s="79"/>
      <c r="Y114" s="79"/>
      <c r="Z114" s="79"/>
      <c r="AA114" s="79"/>
      <c r="AB114" s="79"/>
      <c r="AC114" s="79"/>
      <c r="AD114" s="79"/>
      <c r="AE114" s="79"/>
      <c r="AF114" s="79"/>
      <c r="AG114" s="79"/>
    </row>
    <row r="115" spans="1:33">
      <c r="A115" s="71"/>
      <c r="B115" s="72"/>
      <c r="C115" s="73"/>
      <c r="D115" s="73"/>
      <c r="E115" s="73"/>
      <c r="F115" s="73"/>
      <c r="G115" s="73"/>
      <c r="H115" s="73"/>
      <c r="I115" s="73"/>
      <c r="J115" s="73"/>
      <c r="K115" s="73"/>
      <c r="L115" s="73"/>
      <c r="M115" s="73"/>
      <c r="N115" s="73"/>
      <c r="O115" s="73"/>
      <c r="P115" s="73"/>
      <c r="Q115" s="73"/>
      <c r="R115" s="73"/>
      <c r="S115" s="73"/>
      <c r="T115" s="73"/>
      <c r="U115" s="73"/>
      <c r="V115" s="73"/>
      <c r="W115" s="73"/>
      <c r="X115" s="79"/>
      <c r="Y115" s="79"/>
      <c r="Z115" s="79"/>
      <c r="AA115" s="79"/>
      <c r="AB115" s="79"/>
      <c r="AC115" s="79"/>
      <c r="AD115" s="79"/>
      <c r="AE115" s="79"/>
      <c r="AF115" s="79"/>
      <c r="AG115" s="79"/>
    </row>
    <row r="116" spans="1:33">
      <c r="A116" s="71"/>
      <c r="B116" s="72"/>
      <c r="C116" s="73"/>
      <c r="D116" s="73"/>
      <c r="E116" s="73"/>
      <c r="F116" s="73"/>
      <c r="G116" s="73"/>
      <c r="H116" s="73"/>
      <c r="I116" s="73"/>
      <c r="J116" s="73"/>
      <c r="K116" s="73"/>
      <c r="L116" s="73"/>
      <c r="M116" s="73"/>
      <c r="N116" s="73"/>
      <c r="O116" s="73"/>
      <c r="P116" s="73"/>
      <c r="Q116" s="73"/>
      <c r="R116" s="73"/>
      <c r="S116" s="73"/>
      <c r="T116" s="73"/>
      <c r="U116" s="73"/>
      <c r="V116" s="73"/>
      <c r="W116" s="73"/>
      <c r="X116" s="79"/>
      <c r="Y116" s="79"/>
      <c r="Z116" s="79"/>
      <c r="AA116" s="79"/>
      <c r="AB116" s="79"/>
      <c r="AC116" s="79"/>
      <c r="AD116" s="79"/>
      <c r="AE116" s="79"/>
      <c r="AF116" s="79"/>
      <c r="AG116" s="79"/>
    </row>
    <row r="117" spans="1:33">
      <c r="A117" s="71"/>
      <c r="B117" s="72"/>
      <c r="C117" s="73"/>
      <c r="D117" s="73"/>
      <c r="E117" s="73"/>
      <c r="F117" s="73"/>
      <c r="G117" s="73"/>
      <c r="H117" s="73"/>
      <c r="I117" s="73"/>
      <c r="J117" s="73"/>
      <c r="K117" s="73"/>
      <c r="L117" s="73"/>
      <c r="M117" s="73"/>
      <c r="N117" s="73"/>
      <c r="O117" s="73"/>
      <c r="P117" s="73"/>
      <c r="Q117" s="73"/>
      <c r="R117" s="73"/>
      <c r="S117" s="73"/>
      <c r="T117" s="73"/>
      <c r="U117" s="73"/>
      <c r="V117" s="73"/>
      <c r="W117" s="73"/>
      <c r="X117" s="79"/>
      <c r="Y117" s="79"/>
      <c r="Z117" s="79"/>
      <c r="AA117" s="79"/>
      <c r="AB117" s="79"/>
      <c r="AC117" s="79"/>
      <c r="AD117" s="79"/>
      <c r="AE117" s="79"/>
      <c r="AF117" s="79"/>
      <c r="AG117" s="79"/>
    </row>
    <row r="118" spans="1:33">
      <c r="A118" s="71"/>
      <c r="B118" s="72"/>
      <c r="C118" s="73"/>
      <c r="D118" s="73"/>
      <c r="E118" s="73"/>
      <c r="F118" s="73"/>
      <c r="G118" s="73"/>
      <c r="H118" s="73"/>
      <c r="I118" s="73"/>
      <c r="J118" s="73"/>
      <c r="K118" s="73"/>
      <c r="L118" s="73"/>
      <c r="M118" s="73"/>
      <c r="N118" s="73"/>
      <c r="O118" s="73"/>
      <c r="P118" s="73"/>
      <c r="Q118" s="73"/>
      <c r="R118" s="73"/>
      <c r="S118" s="73"/>
      <c r="T118" s="73"/>
      <c r="U118" s="73"/>
      <c r="V118" s="73"/>
      <c r="W118" s="73"/>
      <c r="X118" s="79"/>
      <c r="Y118" s="79"/>
      <c r="Z118" s="79"/>
      <c r="AA118" s="79"/>
      <c r="AB118" s="79"/>
      <c r="AC118" s="79"/>
      <c r="AD118" s="79"/>
      <c r="AE118" s="79"/>
      <c r="AF118" s="79"/>
      <c r="AG118" s="79"/>
    </row>
    <row r="119" spans="1:33">
      <c r="A119" s="71"/>
      <c r="B119" s="72"/>
      <c r="C119" s="73"/>
      <c r="D119" s="73"/>
      <c r="E119" s="73"/>
      <c r="F119" s="73"/>
      <c r="G119" s="73"/>
      <c r="H119" s="73"/>
      <c r="I119" s="73"/>
      <c r="J119" s="73"/>
      <c r="K119" s="73"/>
      <c r="L119" s="73"/>
      <c r="M119" s="73"/>
      <c r="N119" s="73"/>
      <c r="O119" s="73"/>
      <c r="P119" s="73"/>
      <c r="Q119" s="73"/>
      <c r="R119" s="73"/>
      <c r="S119" s="73"/>
      <c r="T119" s="73"/>
      <c r="U119" s="73"/>
      <c r="V119" s="73"/>
      <c r="W119" s="73"/>
      <c r="X119" s="79"/>
      <c r="Y119" s="79"/>
      <c r="Z119" s="79"/>
      <c r="AA119" s="79"/>
      <c r="AB119" s="79"/>
      <c r="AC119" s="79"/>
      <c r="AD119" s="79"/>
      <c r="AE119" s="79"/>
      <c r="AF119" s="79"/>
      <c r="AG119" s="79"/>
    </row>
    <row r="120" spans="1:33">
      <c r="A120" s="71"/>
      <c r="B120" s="72"/>
      <c r="C120" s="73"/>
      <c r="D120" s="73"/>
      <c r="E120" s="73"/>
      <c r="F120" s="73"/>
      <c r="G120" s="73"/>
      <c r="H120" s="73"/>
      <c r="I120" s="73"/>
      <c r="J120" s="73"/>
      <c r="K120" s="73"/>
      <c r="L120" s="73"/>
      <c r="M120" s="73"/>
      <c r="N120" s="73"/>
      <c r="O120" s="73"/>
      <c r="P120" s="73"/>
      <c r="Q120" s="73"/>
      <c r="R120" s="73"/>
      <c r="S120" s="73"/>
      <c r="T120" s="73"/>
      <c r="U120" s="73"/>
      <c r="V120" s="73"/>
      <c r="W120" s="73"/>
      <c r="X120" s="79"/>
      <c r="Y120" s="79"/>
      <c r="Z120" s="79"/>
      <c r="AA120" s="79"/>
      <c r="AB120" s="79"/>
      <c r="AC120" s="79"/>
      <c r="AD120" s="79"/>
      <c r="AE120" s="79"/>
      <c r="AF120" s="79"/>
      <c r="AG120" s="79"/>
    </row>
    <row r="121" spans="1:33">
      <c r="A121" s="71"/>
      <c r="B121" s="72"/>
      <c r="C121" s="73"/>
      <c r="D121" s="73"/>
      <c r="E121" s="73"/>
      <c r="F121" s="73"/>
      <c r="G121" s="73"/>
      <c r="H121" s="73"/>
      <c r="I121" s="73"/>
      <c r="J121" s="73"/>
      <c r="K121" s="73"/>
      <c r="L121" s="73"/>
      <c r="M121" s="73"/>
      <c r="N121" s="73"/>
      <c r="O121" s="73"/>
      <c r="P121" s="73"/>
      <c r="Q121" s="73"/>
      <c r="R121" s="73"/>
      <c r="S121" s="73"/>
      <c r="T121" s="73"/>
      <c r="U121" s="73"/>
      <c r="V121" s="73"/>
      <c r="W121" s="73"/>
      <c r="X121" s="79"/>
      <c r="Y121" s="79"/>
      <c r="Z121" s="79"/>
      <c r="AA121" s="79"/>
      <c r="AB121" s="79"/>
      <c r="AC121" s="79"/>
      <c r="AD121" s="79"/>
      <c r="AE121" s="79"/>
      <c r="AF121" s="79"/>
      <c r="AG121" s="79"/>
    </row>
    <row r="122" spans="1:33">
      <c r="A122" s="71"/>
      <c r="B122" s="72"/>
      <c r="C122" s="73"/>
      <c r="D122" s="73"/>
      <c r="E122" s="73"/>
      <c r="F122" s="73"/>
      <c r="G122" s="73"/>
      <c r="H122" s="73"/>
      <c r="I122" s="73"/>
      <c r="J122" s="73"/>
      <c r="K122" s="73"/>
      <c r="L122" s="73"/>
      <c r="M122" s="73"/>
      <c r="N122" s="73"/>
      <c r="O122" s="73"/>
      <c r="P122" s="73"/>
      <c r="Q122" s="73"/>
      <c r="R122" s="73"/>
      <c r="S122" s="73"/>
      <c r="T122" s="73"/>
      <c r="U122" s="73"/>
      <c r="V122" s="73"/>
      <c r="W122" s="73"/>
      <c r="X122" s="79"/>
      <c r="Y122" s="79"/>
      <c r="Z122" s="79"/>
      <c r="AA122" s="79"/>
      <c r="AB122" s="79"/>
      <c r="AC122" s="79"/>
      <c r="AD122" s="79"/>
      <c r="AE122" s="79"/>
      <c r="AF122" s="79"/>
      <c r="AG122" s="79"/>
    </row>
    <row r="123" spans="1:33">
      <c r="A123" s="71"/>
      <c r="B123" s="72"/>
      <c r="C123" s="73"/>
      <c r="D123" s="73"/>
      <c r="E123" s="73"/>
      <c r="F123" s="73"/>
      <c r="G123" s="73"/>
      <c r="H123" s="73"/>
      <c r="I123" s="73"/>
      <c r="J123" s="73"/>
      <c r="K123" s="73"/>
      <c r="L123" s="73"/>
      <c r="M123" s="73"/>
      <c r="N123" s="73"/>
      <c r="O123" s="73"/>
      <c r="P123" s="73"/>
      <c r="Q123" s="73"/>
      <c r="R123" s="73"/>
      <c r="S123" s="73"/>
      <c r="T123" s="73"/>
      <c r="U123" s="73"/>
      <c r="V123" s="73"/>
      <c r="W123" s="73"/>
      <c r="X123" s="79"/>
      <c r="Y123" s="79"/>
      <c r="Z123" s="79"/>
      <c r="AA123" s="79"/>
      <c r="AB123" s="79"/>
      <c r="AC123" s="79"/>
      <c r="AD123" s="79"/>
      <c r="AE123" s="79"/>
      <c r="AF123" s="79"/>
      <c r="AG123" s="79"/>
    </row>
    <row r="124" spans="1:33">
      <c r="A124" s="71"/>
      <c r="B124" s="72"/>
      <c r="C124" s="73"/>
      <c r="D124" s="73"/>
      <c r="E124" s="73"/>
      <c r="F124" s="73"/>
      <c r="G124" s="73"/>
      <c r="H124" s="73"/>
      <c r="I124" s="73"/>
      <c r="J124" s="73"/>
      <c r="K124" s="73"/>
      <c r="L124" s="73"/>
      <c r="M124" s="73"/>
      <c r="N124" s="73"/>
      <c r="O124" s="73"/>
      <c r="P124" s="73"/>
      <c r="Q124" s="73"/>
      <c r="R124" s="73"/>
      <c r="S124" s="73"/>
      <c r="T124" s="73"/>
      <c r="U124" s="73"/>
      <c r="V124" s="73"/>
      <c r="W124" s="73"/>
      <c r="X124" s="79"/>
      <c r="Y124" s="79"/>
      <c r="Z124" s="79"/>
      <c r="AA124" s="79"/>
      <c r="AB124" s="79"/>
      <c r="AC124" s="79"/>
      <c r="AD124" s="79"/>
      <c r="AE124" s="79"/>
      <c r="AF124" s="79"/>
      <c r="AG124" s="79"/>
    </row>
    <row r="125" spans="1:33">
      <c r="A125" s="71"/>
      <c r="B125" s="72"/>
      <c r="C125" s="73"/>
      <c r="D125" s="73"/>
      <c r="E125" s="73"/>
      <c r="F125" s="73"/>
      <c r="G125" s="73"/>
      <c r="H125" s="73"/>
      <c r="I125" s="73"/>
      <c r="J125" s="73"/>
      <c r="K125" s="73"/>
      <c r="L125" s="73"/>
      <c r="M125" s="73"/>
      <c r="N125" s="73"/>
      <c r="O125" s="73"/>
      <c r="P125" s="73"/>
      <c r="Q125" s="73"/>
      <c r="R125" s="73"/>
      <c r="S125" s="73"/>
      <c r="T125" s="73"/>
      <c r="U125" s="73"/>
      <c r="V125" s="73"/>
      <c r="W125" s="73"/>
      <c r="X125" s="79"/>
      <c r="Y125" s="79"/>
      <c r="Z125" s="79"/>
      <c r="AA125" s="79"/>
      <c r="AB125" s="79"/>
      <c r="AC125" s="79"/>
      <c r="AD125" s="79"/>
      <c r="AE125" s="79"/>
      <c r="AF125" s="79"/>
      <c r="AG125" s="79"/>
    </row>
    <row r="126" spans="1:33">
      <c r="A126" s="71"/>
      <c r="B126" s="72"/>
      <c r="C126" s="73"/>
      <c r="D126" s="73"/>
      <c r="E126" s="73"/>
      <c r="F126" s="73"/>
      <c r="G126" s="73"/>
      <c r="H126" s="73"/>
      <c r="I126" s="73"/>
      <c r="J126" s="73"/>
      <c r="K126" s="73"/>
      <c r="L126" s="73"/>
      <c r="M126" s="73"/>
      <c r="N126" s="73"/>
      <c r="O126" s="73"/>
      <c r="P126" s="73"/>
      <c r="Q126" s="73"/>
      <c r="R126" s="73"/>
      <c r="S126" s="73"/>
      <c r="T126" s="73"/>
      <c r="U126" s="73"/>
      <c r="V126" s="73"/>
      <c r="W126" s="73"/>
      <c r="X126" s="79"/>
      <c r="Y126" s="79"/>
      <c r="Z126" s="79"/>
      <c r="AA126" s="79"/>
      <c r="AB126" s="79"/>
      <c r="AC126" s="79"/>
      <c r="AD126" s="79"/>
      <c r="AE126" s="79"/>
      <c r="AF126" s="79"/>
      <c r="AG126" s="79"/>
    </row>
    <row r="127" spans="1:33">
      <c r="A127" s="71"/>
      <c r="B127" s="73"/>
      <c r="C127" s="73"/>
      <c r="D127" s="73"/>
      <c r="E127" s="73"/>
      <c r="F127" s="73"/>
      <c r="G127" s="73"/>
      <c r="H127" s="73"/>
      <c r="I127" s="73"/>
      <c r="J127" s="73"/>
      <c r="K127" s="73"/>
      <c r="L127" s="73"/>
      <c r="M127" s="73"/>
      <c r="N127" s="73"/>
      <c r="O127" s="73"/>
      <c r="P127" s="73"/>
      <c r="Q127" s="73"/>
      <c r="R127" s="73"/>
      <c r="S127" s="73"/>
      <c r="T127" s="73"/>
      <c r="U127" s="73"/>
      <c r="V127" s="73"/>
      <c r="W127" s="73"/>
      <c r="X127" s="79"/>
      <c r="Y127" s="79"/>
      <c r="Z127" s="79"/>
      <c r="AA127" s="79"/>
      <c r="AB127" s="79"/>
      <c r="AC127" s="79"/>
      <c r="AD127" s="79"/>
      <c r="AE127" s="79"/>
      <c r="AF127" s="79"/>
      <c r="AG127" s="79"/>
    </row>
    <row r="128" spans="1:33">
      <c r="A128" s="71"/>
      <c r="B128" s="72"/>
      <c r="C128" s="73"/>
      <c r="D128" s="73"/>
      <c r="E128" s="73"/>
      <c r="F128" s="73"/>
      <c r="G128" s="73"/>
      <c r="H128" s="73"/>
      <c r="I128" s="73"/>
      <c r="J128" s="73"/>
      <c r="K128" s="73"/>
      <c r="L128" s="73"/>
      <c r="M128" s="73"/>
      <c r="N128" s="73"/>
      <c r="O128" s="73"/>
      <c r="P128" s="73"/>
      <c r="Q128" s="73"/>
      <c r="R128" s="73"/>
      <c r="S128" s="73"/>
      <c r="T128" s="73"/>
      <c r="U128" s="73"/>
      <c r="V128" s="73"/>
      <c r="W128" s="73"/>
      <c r="X128" s="79"/>
      <c r="Y128" s="79"/>
      <c r="Z128" s="79"/>
      <c r="AA128" s="79"/>
      <c r="AB128" s="79"/>
      <c r="AC128" s="79"/>
      <c r="AD128" s="79"/>
      <c r="AE128" s="79"/>
      <c r="AF128" s="79"/>
      <c r="AG128" s="79"/>
    </row>
    <row r="131" spans="1:33">
      <c r="A131" s="75"/>
      <c r="B131" s="76"/>
      <c r="C131" s="76"/>
      <c r="D131" s="76"/>
      <c r="E131" s="76"/>
      <c r="F131" s="76"/>
      <c r="G131" s="76"/>
      <c r="H131" s="76"/>
      <c r="I131" s="76"/>
      <c r="J131" s="76"/>
      <c r="K131" s="76"/>
      <c r="L131" s="76"/>
      <c r="M131" s="76"/>
      <c r="N131" s="76"/>
      <c r="O131" s="76"/>
      <c r="P131" s="76"/>
      <c r="Q131" s="76"/>
      <c r="R131" s="76"/>
      <c r="S131" s="76"/>
      <c r="T131" s="76"/>
      <c r="U131" s="76"/>
      <c r="V131" s="76"/>
      <c r="W131" s="76"/>
      <c r="X131" s="84"/>
      <c r="Y131" s="84"/>
      <c r="Z131" s="84"/>
      <c r="AA131" s="84"/>
      <c r="AB131" s="84"/>
      <c r="AC131" s="84"/>
      <c r="AD131" s="84"/>
      <c r="AE131" s="84"/>
      <c r="AF131" s="84"/>
      <c r="AG131" s="84"/>
    </row>
    <row r="132" spans="1:33">
      <c r="A132" s="75"/>
      <c r="B132" s="76"/>
      <c r="C132" s="76"/>
      <c r="D132" s="76"/>
      <c r="E132" s="76"/>
      <c r="F132" s="76"/>
      <c r="G132" s="76"/>
      <c r="H132" s="76"/>
      <c r="I132" s="76"/>
      <c r="J132" s="76"/>
      <c r="K132" s="76"/>
      <c r="L132" s="76"/>
      <c r="M132" s="76"/>
      <c r="N132" s="76"/>
      <c r="O132" s="76"/>
      <c r="P132" s="76"/>
      <c r="Q132" s="76"/>
      <c r="R132" s="76"/>
      <c r="S132" s="76"/>
      <c r="T132" s="76"/>
      <c r="U132" s="76"/>
      <c r="V132" s="76"/>
      <c r="W132" s="76"/>
      <c r="X132" s="84"/>
      <c r="Y132" s="84"/>
      <c r="Z132" s="84"/>
      <c r="AA132" s="84"/>
      <c r="AB132" s="84"/>
      <c r="AC132" s="84"/>
      <c r="AD132" s="84"/>
      <c r="AE132" s="84"/>
      <c r="AF132" s="84"/>
      <c r="AG132" s="84"/>
    </row>
  </sheetData>
  <sheetProtection algorithmName="SHA-512" hashValue="Q4qWV3PvW9INYvC3sF5wbMkzyZOMwWzjwnFQyxkRMRzK93Mhj2mQMaJFghgTR36JCu8TxkKlRXhj/jgDzze4gQ==" saltValue="JwQTQposDkBdNyQSwE9OSg==" spinCount="100000" sheet="1" objects="1" scenarios="1"/>
  <mergeCells count="50">
    <mergeCell ref="A96:A97"/>
    <mergeCell ref="U61:U94"/>
    <mergeCell ref="C60:C62"/>
    <mergeCell ref="D60:D62"/>
    <mergeCell ref="AD61:AD94"/>
    <mergeCell ref="G96:P96"/>
    <mergeCell ref="A59:AG59"/>
    <mergeCell ref="G60:P60"/>
    <mergeCell ref="Y60:AF60"/>
    <mergeCell ref="AE61:AE94"/>
    <mergeCell ref="AF96:AG96"/>
    <mergeCell ref="J61:J62"/>
    <mergeCell ref="N61:N62"/>
    <mergeCell ref="O61:O62"/>
    <mergeCell ref="P61:P62"/>
    <mergeCell ref="V61:V94"/>
    <mergeCell ref="W61:W94"/>
    <mergeCell ref="A95:AG95"/>
    <mergeCell ref="F96:F97"/>
    <mergeCell ref="B96:D97"/>
    <mergeCell ref="AC61:AC94"/>
    <mergeCell ref="A60:A62"/>
    <mergeCell ref="B98:D98"/>
    <mergeCell ref="Q60:X60"/>
    <mergeCell ref="E60:F60"/>
    <mergeCell ref="E61:E62"/>
    <mergeCell ref="F61:F62"/>
    <mergeCell ref="X61:X62"/>
    <mergeCell ref="G61:G62"/>
    <mergeCell ref="H61:H62"/>
    <mergeCell ref="I61:I62"/>
    <mergeCell ref="K61:K94"/>
    <mergeCell ref="L61:L94"/>
    <mergeCell ref="E96:E97"/>
    <mergeCell ref="L97:L98"/>
    <mergeCell ref="J97:J98"/>
    <mergeCell ref="H97:H98"/>
    <mergeCell ref="B60:B62"/>
    <mergeCell ref="A1:P1"/>
    <mergeCell ref="A3:A5"/>
    <mergeCell ref="B3:B5"/>
    <mergeCell ref="C3:C5"/>
    <mergeCell ref="D3:D5"/>
    <mergeCell ref="A2:AF2"/>
    <mergeCell ref="G3:P3"/>
    <mergeCell ref="Y3:AG3"/>
    <mergeCell ref="Y1:AG1"/>
    <mergeCell ref="Q1:X1"/>
    <mergeCell ref="Q3:X3"/>
    <mergeCell ref="E3:F3"/>
  </mergeCells>
  <dataValidations xWindow="1071" yWindow="516" count="6">
    <dataValidation type="list" allowBlank="1" showInputMessage="1" showErrorMessage="1" sqref="J7:J57 H7:H57 L7:L57 J63:J93 H63:H93" xr:uid="{00000000-0002-0000-0400-000000000000}">
      <formula1>Fuel_Type</formula1>
    </dataValidation>
    <dataValidation allowBlank="1" showInputMessage="1" showErrorMessage="1" promptTitle="Row number" sqref="G6" xr:uid="{00000000-0002-0000-0400-000001000000}"/>
    <dataValidation allowBlank="1" showInputMessage="1" showErrorMessage="1" promptTitle="Row number" prompt="Note row reference letters may change if no CHP present e.g. 307a" sqref="G7:G57" xr:uid="{00000000-0002-0000-0400-000002000000}"/>
    <dataValidation allowBlank="1" showInputMessage="1" showErrorMessage="1" promptTitle="Power factor correction" prompt="Note that Part L consumption may need to be amended where power factor correction is present._x000a__x000a_See table 1 in ADL2A for adjustment factors_x000a_" sqref="R63:R93" xr:uid="{00000000-0002-0000-0400-000003000000}"/>
    <dataValidation type="decimal" allowBlank="1" showInputMessage="1" showErrorMessage="1" errorTitle="CHP generation" error="figure entered must be a negative value" promptTitle="CHP generation value" prompt="enter as negative value (-)" sqref="M63:M93 T63:T93 M7:M57" xr:uid="{00000000-0002-0000-0400-000004000000}">
      <formula1>-100000000000000000</formula1>
      <formula2>0</formula2>
    </dataValidation>
    <dataValidation allowBlank="1" showInputMessage="1" showErrorMessage="1" promptTitle="Row number" prompt="Note row reference letters may change if no CHP present e.g. 310a" sqref="I7:I57" xr:uid="{00000000-0002-0000-0400-000005000000}"/>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N132"/>
  <sheetViews>
    <sheetView topLeftCell="N73" zoomScale="85" zoomScaleNormal="85" workbookViewId="0">
      <selection activeCell="S98" sqref="S98:U98"/>
    </sheetView>
  </sheetViews>
  <sheetFormatPr defaultColWidth="9.140625" defaultRowHeight="12.75"/>
  <cols>
    <col min="1" max="1" width="15.7109375" style="34" customWidth="1"/>
    <col min="2" max="4" width="12.42578125" style="35" customWidth="1"/>
    <col min="5" max="5" width="15.28515625" style="35" customWidth="1"/>
    <col min="6" max="6" width="16.140625" style="35" bestFit="1" customWidth="1"/>
    <col min="7" max="7" width="15.28515625" style="35" customWidth="1"/>
    <col min="8" max="8" width="17.85546875" style="35" customWidth="1"/>
    <col min="9" max="9" width="18.5703125" style="35" customWidth="1"/>
    <col min="10" max="10" width="17.85546875" style="35" customWidth="1"/>
    <col min="11" max="11" width="15.28515625" style="35" customWidth="1"/>
    <col min="12" max="12" width="17.85546875" style="35" customWidth="1"/>
    <col min="13" max="13" width="17.140625" style="35" customWidth="1"/>
    <col min="14" max="14" width="17.85546875" style="35" customWidth="1"/>
    <col min="15" max="15" width="16.85546875" style="35" customWidth="1"/>
    <col min="16" max="16" width="17.85546875" style="35" customWidth="1"/>
    <col min="17" max="17" width="16.85546875" style="35" customWidth="1"/>
    <col min="18" max="29" width="15.28515625" style="35" customWidth="1"/>
    <col min="30" max="31" width="15.28515625" style="2" customWidth="1"/>
    <col min="32" max="39" width="15.28515625" style="35" customWidth="1"/>
    <col min="40" max="40" width="17.85546875" style="35" customWidth="1"/>
    <col min="41" max="56" width="15.28515625" style="36" customWidth="1"/>
    <col min="57" max="57" width="10" style="36" customWidth="1"/>
    <col min="58" max="58" width="35" style="36" customWidth="1"/>
    <col min="59" max="59" width="19.5703125" style="36" customWidth="1"/>
    <col min="60" max="60" width="14" style="36" customWidth="1"/>
    <col min="61" max="61" width="14.5703125" style="36" customWidth="1"/>
    <col min="62" max="62" width="13.5703125" style="36" customWidth="1"/>
    <col min="63" max="63" width="11.42578125" style="36" customWidth="1"/>
    <col min="64" max="64" width="10.42578125" style="36" customWidth="1"/>
    <col min="65" max="65" width="12" style="36" customWidth="1"/>
    <col min="66" max="16384" width="9.140625" style="36"/>
  </cols>
  <sheetData>
    <row r="1" spans="1:40" ht="27" customHeight="1">
      <c r="A1" s="495" t="s">
        <v>108</v>
      </c>
      <c r="B1" s="495"/>
      <c r="C1" s="495"/>
      <c r="D1" s="495"/>
      <c r="E1" s="495"/>
      <c r="F1" s="495"/>
      <c r="G1" s="495"/>
      <c r="H1" s="495"/>
      <c r="I1" s="495"/>
      <c r="J1" s="495"/>
      <c r="K1" s="495"/>
      <c r="L1" s="495"/>
      <c r="M1" s="495"/>
      <c r="N1" s="495"/>
      <c r="O1" s="495"/>
      <c r="P1" s="495"/>
      <c r="Q1" s="495"/>
      <c r="R1" s="495"/>
      <c r="S1" s="495"/>
      <c r="T1" s="248"/>
      <c r="U1" s="248"/>
      <c r="V1" s="497" t="s">
        <v>110</v>
      </c>
      <c r="W1" s="497"/>
      <c r="X1" s="497"/>
      <c r="Y1" s="497"/>
      <c r="Z1" s="497"/>
      <c r="AA1" s="497"/>
      <c r="AB1" s="497"/>
      <c r="AC1" s="497"/>
      <c r="AD1" s="498"/>
      <c r="AE1" s="419" t="s">
        <v>111</v>
      </c>
      <c r="AF1" s="420"/>
      <c r="AG1" s="469"/>
      <c r="AH1" s="469"/>
      <c r="AI1" s="469"/>
      <c r="AJ1" s="469"/>
      <c r="AK1" s="469"/>
      <c r="AL1" s="469"/>
      <c r="AM1" s="469"/>
      <c r="AN1" s="469"/>
    </row>
    <row r="2" spans="1:40" s="37" customFormat="1" ht="27" customHeight="1">
      <c r="A2" s="404" t="s">
        <v>181</v>
      </c>
      <c r="B2" s="404"/>
      <c r="C2" s="404"/>
      <c r="D2" s="404"/>
      <c r="E2" s="404"/>
      <c r="F2" s="404"/>
      <c r="G2" s="404"/>
      <c r="H2" s="404"/>
      <c r="I2" s="404"/>
      <c r="J2" s="404"/>
      <c r="K2" s="404"/>
      <c r="L2" s="404"/>
      <c r="M2" s="404"/>
      <c r="N2" s="404"/>
      <c r="O2" s="404"/>
      <c r="P2" s="404"/>
      <c r="Q2" s="404"/>
      <c r="R2" s="404"/>
      <c r="S2" s="404"/>
      <c r="T2" s="404"/>
      <c r="U2" s="404"/>
      <c r="V2" s="404"/>
      <c r="W2" s="404"/>
      <c r="X2" s="404"/>
      <c r="Y2" s="404"/>
      <c r="Z2" s="404"/>
      <c r="AA2" s="404"/>
      <c r="AB2" s="404"/>
      <c r="AC2" s="404"/>
      <c r="AD2" s="404"/>
      <c r="AE2" s="404"/>
      <c r="AF2" s="404"/>
      <c r="AG2" s="186"/>
      <c r="AH2" s="404"/>
      <c r="AI2" s="404"/>
      <c r="AJ2" s="404"/>
      <c r="AK2" s="404"/>
      <c r="AL2" s="404"/>
      <c r="AM2" s="404"/>
      <c r="AN2" s="404"/>
    </row>
    <row r="3" spans="1:40" ht="30.75" customHeight="1">
      <c r="A3" s="384" t="str">
        <f>Baseline!A3</f>
        <v>Unit identifier (e.g. plot number, dwelling type etc.)</v>
      </c>
      <c r="B3" s="384" t="str">
        <f>Baseline!B3</f>
        <v>Model total floor area (m²)</v>
      </c>
      <c r="C3" s="384" t="str">
        <f>Baseline!C3</f>
        <v>Number of units</v>
      </c>
      <c r="D3" s="429" t="str">
        <f>Baseline!D3</f>
        <v>Total area represented by model  (m²)</v>
      </c>
      <c r="E3" s="486" t="s">
        <v>201</v>
      </c>
      <c r="F3" s="486"/>
      <c r="G3" s="371" t="s">
        <v>135</v>
      </c>
      <c r="H3" s="372"/>
      <c r="I3" s="372"/>
      <c r="J3" s="435"/>
      <c r="K3" s="435"/>
      <c r="L3" s="372"/>
      <c r="M3" s="372"/>
      <c r="N3" s="372"/>
      <c r="O3" s="372"/>
      <c r="P3" s="372"/>
      <c r="Q3" s="372"/>
      <c r="R3" s="372"/>
      <c r="S3" s="372"/>
      <c r="T3" s="372"/>
      <c r="U3" s="373"/>
      <c r="V3" s="371" t="s">
        <v>152</v>
      </c>
      <c r="W3" s="372"/>
      <c r="X3" s="372"/>
      <c r="Y3" s="372"/>
      <c r="Z3" s="372"/>
      <c r="AA3" s="372"/>
      <c r="AB3" s="372"/>
      <c r="AC3" s="372"/>
      <c r="AD3" s="372"/>
      <c r="AE3" s="449" t="s">
        <v>18</v>
      </c>
      <c r="AF3" s="449"/>
      <c r="AG3" s="492"/>
      <c r="AH3" s="492"/>
      <c r="AI3" s="492"/>
      <c r="AJ3" s="492"/>
      <c r="AK3" s="492"/>
      <c r="AL3" s="492"/>
      <c r="AM3" s="492"/>
      <c r="AN3" s="468"/>
    </row>
    <row r="4" spans="1:40" s="181" customFormat="1" ht="45.75" customHeight="1">
      <c r="A4" s="385"/>
      <c r="B4" s="385"/>
      <c r="C4" s="385"/>
      <c r="D4" s="430"/>
      <c r="E4" s="407" t="s">
        <v>26</v>
      </c>
      <c r="F4" s="374" t="s">
        <v>27</v>
      </c>
      <c r="G4" s="407" t="s">
        <v>265</v>
      </c>
      <c r="H4" s="389" t="s">
        <v>20</v>
      </c>
      <c r="I4" s="389" t="s">
        <v>266</v>
      </c>
      <c r="J4" s="389" t="s">
        <v>21</v>
      </c>
      <c r="K4" s="225" t="s">
        <v>169</v>
      </c>
      <c r="L4" s="389" t="s">
        <v>20</v>
      </c>
      <c r="M4" s="157" t="s">
        <v>170</v>
      </c>
      <c r="N4" s="389" t="s">
        <v>21</v>
      </c>
      <c r="O4" s="251" t="s">
        <v>171</v>
      </c>
      <c r="P4" s="157" t="s">
        <v>172</v>
      </c>
      <c r="Q4" s="157" t="s">
        <v>200</v>
      </c>
      <c r="R4" s="157" t="s">
        <v>173</v>
      </c>
      <c r="S4" s="389" t="s">
        <v>132</v>
      </c>
      <c r="T4" s="389" t="s">
        <v>133</v>
      </c>
      <c r="U4" s="387" t="s">
        <v>134</v>
      </c>
      <c r="V4" s="407" t="s">
        <v>136</v>
      </c>
      <c r="W4" s="389" t="s">
        <v>137</v>
      </c>
      <c r="X4" s="157" t="s">
        <v>174</v>
      </c>
      <c r="Y4" s="157" t="s">
        <v>175</v>
      </c>
      <c r="Z4" s="157" t="s">
        <v>176</v>
      </c>
      <c r="AA4" s="389" t="s">
        <v>139</v>
      </c>
      <c r="AB4" s="389" t="s">
        <v>140</v>
      </c>
      <c r="AC4" s="389" t="s">
        <v>141</v>
      </c>
      <c r="AD4" s="472" t="s">
        <v>96</v>
      </c>
      <c r="AE4" s="493" t="s">
        <v>136</v>
      </c>
      <c r="AF4" s="389" t="s">
        <v>137</v>
      </c>
      <c r="AG4" s="182" t="s">
        <v>177</v>
      </c>
      <c r="AH4" s="157" t="s">
        <v>178</v>
      </c>
      <c r="AI4" s="157" t="s">
        <v>179</v>
      </c>
      <c r="AJ4" s="389" t="s">
        <v>139</v>
      </c>
      <c r="AK4" s="389" t="s">
        <v>140</v>
      </c>
      <c r="AL4" s="389" t="s">
        <v>141</v>
      </c>
      <c r="AM4" s="407" t="s">
        <v>114</v>
      </c>
      <c r="AN4" s="387" t="s">
        <v>115</v>
      </c>
    </row>
    <row r="5" spans="1:40" s="181" customFormat="1" ht="12.75" customHeight="1">
      <c r="A5" s="386"/>
      <c r="B5" s="386"/>
      <c r="C5" s="386"/>
      <c r="D5" s="383"/>
      <c r="E5" s="408"/>
      <c r="F5" s="375"/>
      <c r="G5" s="408"/>
      <c r="H5" s="390"/>
      <c r="I5" s="390"/>
      <c r="J5" s="496"/>
      <c r="K5" s="180" t="s">
        <v>168</v>
      </c>
      <c r="L5" s="390"/>
      <c r="M5" s="180" t="s">
        <v>168</v>
      </c>
      <c r="N5" s="390"/>
      <c r="O5" s="180" t="s">
        <v>168</v>
      </c>
      <c r="P5" s="180" t="s">
        <v>168</v>
      </c>
      <c r="Q5" s="180" t="s">
        <v>168</v>
      </c>
      <c r="R5" s="180" t="s">
        <v>168</v>
      </c>
      <c r="S5" s="390"/>
      <c r="T5" s="390"/>
      <c r="U5" s="388"/>
      <c r="V5" s="408"/>
      <c r="W5" s="390"/>
      <c r="X5" s="180" t="s">
        <v>168</v>
      </c>
      <c r="Y5" s="180" t="s">
        <v>168</v>
      </c>
      <c r="Z5" s="180" t="s">
        <v>168</v>
      </c>
      <c r="AA5" s="390"/>
      <c r="AB5" s="390"/>
      <c r="AC5" s="390"/>
      <c r="AD5" s="473" t="s">
        <v>96</v>
      </c>
      <c r="AE5" s="494"/>
      <c r="AF5" s="390"/>
      <c r="AG5" s="180" t="s">
        <v>168</v>
      </c>
      <c r="AH5" s="180" t="s">
        <v>168</v>
      </c>
      <c r="AI5" s="180" t="s">
        <v>168</v>
      </c>
      <c r="AJ5" s="390"/>
      <c r="AK5" s="390"/>
      <c r="AL5" s="390"/>
      <c r="AM5" s="408"/>
      <c r="AN5" s="388"/>
    </row>
    <row r="6" spans="1:40" ht="51" customHeight="1">
      <c r="A6" s="142"/>
      <c r="B6" s="149"/>
      <c r="C6" s="143"/>
      <c r="D6" s="249"/>
      <c r="E6" s="143"/>
      <c r="F6" s="228" t="s">
        <v>202</v>
      </c>
      <c r="G6" s="148" t="s">
        <v>205</v>
      </c>
      <c r="H6" s="149" t="s">
        <v>221</v>
      </c>
      <c r="I6" s="346" t="s">
        <v>206</v>
      </c>
      <c r="J6" s="149" t="s">
        <v>221</v>
      </c>
      <c r="K6" s="149" t="s">
        <v>208</v>
      </c>
      <c r="L6" s="149" t="s">
        <v>221</v>
      </c>
      <c r="M6" s="149" t="s">
        <v>209</v>
      </c>
      <c r="N6" s="149" t="s">
        <v>221</v>
      </c>
      <c r="O6" s="149" t="s">
        <v>207</v>
      </c>
      <c r="P6" s="149" t="s">
        <v>221</v>
      </c>
      <c r="Q6" s="149" t="s">
        <v>257</v>
      </c>
      <c r="R6" s="149" t="s">
        <v>126</v>
      </c>
      <c r="S6" s="149" t="s">
        <v>125</v>
      </c>
      <c r="T6" s="150" t="s">
        <v>127</v>
      </c>
      <c r="U6" s="150" t="s">
        <v>124</v>
      </c>
      <c r="V6" s="145"/>
      <c r="W6" s="143"/>
      <c r="X6" s="143"/>
      <c r="Y6" s="143"/>
      <c r="Z6" s="143"/>
      <c r="AA6" s="143"/>
      <c r="AB6" s="143"/>
      <c r="AC6" s="143"/>
      <c r="AD6" s="266"/>
      <c r="AE6" s="146"/>
      <c r="AF6" s="143"/>
      <c r="AG6" s="143"/>
      <c r="AH6" s="143"/>
      <c r="AI6" s="143"/>
      <c r="AJ6" s="143"/>
      <c r="AK6" s="143"/>
      <c r="AL6" s="143"/>
      <c r="AM6" s="145"/>
      <c r="AN6" s="144"/>
    </row>
    <row r="7" spans="1:40" ht="13.5" customHeight="1">
      <c r="A7" s="287" t="str">
        <f>IF(Baseline!A6="","",Baseline!A6)</f>
        <v>B7-A-04-01</v>
      </c>
      <c r="B7" s="141">
        <f>IF(Baseline!B6="","",Baseline!B6)</f>
        <v>83</v>
      </c>
      <c r="C7" s="304">
        <f>IF(Baseline!C6="","",Baseline!C6)</f>
        <v>17</v>
      </c>
      <c r="D7" s="288">
        <f>IF(Baseline!D6="","",Baseline!D6)</f>
        <v>1411</v>
      </c>
      <c r="E7" s="96">
        <f>IFERROR(AD7/$B7,"")</f>
        <v>10.883903705228057</v>
      </c>
      <c r="F7" s="109">
        <v>10.88</v>
      </c>
      <c r="G7" s="147">
        <f>397.6*100/93.2</f>
        <v>426.60944206008583</v>
      </c>
      <c r="H7" s="100" t="s">
        <v>11</v>
      </c>
      <c r="I7" s="100">
        <f>547.25*100/93.2</f>
        <v>587.17811158798281</v>
      </c>
      <c r="J7" s="100" t="s">
        <v>11</v>
      </c>
      <c r="K7" s="100">
        <f>1022.4*100/333</f>
        <v>307.02702702702703</v>
      </c>
      <c r="L7" s="100" t="s">
        <v>22</v>
      </c>
      <c r="M7" s="100">
        <f>1407.21*100/333</f>
        <v>422.58558558558559</v>
      </c>
      <c r="N7" s="100" t="s">
        <v>22</v>
      </c>
      <c r="O7" s="100">
        <v>0</v>
      </c>
      <c r="P7" s="100"/>
      <c r="Q7" s="100">
        <v>0</v>
      </c>
      <c r="R7" s="100">
        <v>0</v>
      </c>
      <c r="S7" s="100">
        <v>355.19</v>
      </c>
      <c r="T7" s="100">
        <f>200.12+33.74</f>
        <v>233.86</v>
      </c>
      <c r="U7" s="100">
        <v>0</v>
      </c>
      <c r="V7" s="46">
        <f>IFERROR(($G7*INDEX('Carbon factors'!$B$4:$B$10,MATCH($H7,Fuel_Type,0),1))+($K7*INDEX('Carbon factors'!$B$4:$B$10,MATCH($L7,Fuel_Type,0),1)),"")</f>
        <v>251.49466651200555</v>
      </c>
      <c r="W7" s="47">
        <f>IFERROR($M7*INDEX('Carbon factors'!$B$4:$B$10,MATCH($N7,Fuel_Type,0),1)+$I7*INDEX('Carbon factors'!$B$4:$B$10,MATCH($J7,Fuel_Type,0),1),"")</f>
        <v>346.15239102192322</v>
      </c>
      <c r="X7" s="47" t="str">
        <f>IFERROR($O7*INDEX('Carbon factors'!$B$4:$B$10,MATCH($P7,Fuel_Type,0),1),"")</f>
        <v/>
      </c>
      <c r="Y7" s="47">
        <f>IF(Q7="","",Q7*'Carbon factors'!$B$5)</f>
        <v>0</v>
      </c>
      <c r="Z7" s="47">
        <f>IF(R7="","",R7*'Carbon factors'!$B$5)</f>
        <v>0</v>
      </c>
      <c r="AA7" s="47">
        <f>IF(S7="","",S7*'Carbon factors'!$B$5)</f>
        <v>184.34361000000001</v>
      </c>
      <c r="AB7" s="47">
        <f>IF(T7="","",T7*'Carbon factors'!$B$5)</f>
        <v>121.37334000000001</v>
      </c>
      <c r="AC7" s="47">
        <f>IF(U7="","",U7*'Carbon factors'!$B$5)</f>
        <v>0</v>
      </c>
      <c r="AD7" s="267">
        <f>IF(SUM(V7:AC7)=0,"",(SUM(V7:AC7)))</f>
        <v>903.36400753392877</v>
      </c>
      <c r="AE7" s="49">
        <f>IFERROR($G7*INDEX('Carbon factors'!$C$4:$C$10,MATCH($H7,Fuel_Type,0),1)+$K7*INDEX('Carbon factors'!$C$4:$C$10,MATCH($L7,Fuel_Type,0),1),"")</f>
        <v>161.12528012991532</v>
      </c>
      <c r="AF7" s="47">
        <f>IFERROR($I7*INDEX('Carbon factors'!$C$4:$C$10,MATCH($J7,Fuel_Type,0),1)+$M7*INDEX('Carbon factors'!$C$4:$C$10,MATCH($N7,Fuel_Type,0),1),"")</f>
        <v>221.76984487491782</v>
      </c>
      <c r="AG7" s="47" t="str">
        <f>IFERROR($O7*INDEX('Carbon factors'!$C$4:$C$10,MATCH($P7,Fuel_Type,0),1),"")</f>
        <v/>
      </c>
      <c r="AH7" s="47">
        <f>IF(Q7="","",Q7*'Carbon factors'!$C$5)</f>
        <v>0</v>
      </c>
      <c r="AI7" s="47">
        <f>IF(R7="","",R7*'Carbon factors'!$C$5)</f>
        <v>0</v>
      </c>
      <c r="AJ7" s="47">
        <f>IF(S7="","",S7*'Carbon factors'!$C$5)</f>
        <v>82.759270000000001</v>
      </c>
      <c r="AK7" s="47">
        <f>IF(T7="","",T7*'Carbon factors'!$C$5)</f>
        <v>54.489380000000004</v>
      </c>
      <c r="AL7" s="47">
        <f>IF(U7="","",U7*'Carbon factors'!$C$5)</f>
        <v>0</v>
      </c>
      <c r="AM7" s="222">
        <f>IF(SUM(AE7:AL7)=0,"",(SUM(AE7:AL7)))</f>
        <v>520.14377500483317</v>
      </c>
      <c r="AN7" s="61">
        <f>IFERROR(AM7/$B7,"")</f>
        <v>6.2667924699377489</v>
      </c>
    </row>
    <row r="8" spans="1:40" ht="13.5" customHeight="1">
      <c r="A8" s="287" t="str">
        <f>IF(Baseline!A7="","",Baseline!A7)</f>
        <v>B1-A-12-01</v>
      </c>
      <c r="B8" s="141">
        <f>IF(Baseline!B7="","",Baseline!B7)</f>
        <v>173</v>
      </c>
      <c r="C8" s="141">
        <f>IF(Baseline!C7="","",Baseline!C7)</f>
        <v>1</v>
      </c>
      <c r="D8" s="288">
        <f>IF(Baseline!D7="","",Baseline!D7)</f>
        <v>173</v>
      </c>
      <c r="E8" s="96">
        <f>IFERROR(AD8/$B8,"")</f>
        <v>12.443137778165921</v>
      </c>
      <c r="F8" s="109">
        <v>12.44</v>
      </c>
      <c r="G8" s="147">
        <f>1832.89*100/93.2</f>
        <v>1966.6201716738196</v>
      </c>
      <c r="H8" s="100" t="s">
        <v>11</v>
      </c>
      <c r="I8" s="100">
        <f>617.91*100/93.2</f>
        <v>662.9935622317596</v>
      </c>
      <c r="J8" s="100" t="s">
        <v>11</v>
      </c>
      <c r="K8" s="100">
        <f>4487.43*100/333</f>
        <v>1347.5765765765766</v>
      </c>
      <c r="L8" s="100" t="s">
        <v>22</v>
      </c>
      <c r="M8" s="100">
        <f>1512.82*100/333</f>
        <v>454.30030030030031</v>
      </c>
      <c r="N8" s="100" t="s">
        <v>22</v>
      </c>
      <c r="O8" s="100">
        <v>0</v>
      </c>
      <c r="P8" s="100"/>
      <c r="Q8" s="100">
        <v>0</v>
      </c>
      <c r="R8" s="100">
        <v>0</v>
      </c>
      <c r="S8" s="100">
        <v>542.54</v>
      </c>
      <c r="T8" s="100">
        <f>84.51+531.48</f>
        <v>615.99</v>
      </c>
      <c r="U8" s="100">
        <v>92.9</v>
      </c>
      <c r="V8" s="46">
        <f>IFERROR(($G8*INDEX('Carbon factors'!$B$4:$B$10,MATCH($H8,Fuel_Type,0),1))+($K8*INDEX('Carbon factors'!$B$4:$B$10,MATCH($L8,Fuel_Type,0),1)),"")</f>
        <v>1124.1822003247883</v>
      </c>
      <c r="W8" s="47">
        <f>IFERROR($M8*INDEX('Carbon factors'!$B$4:$B$10,MATCH($N8,Fuel_Type,0),1)+$I8*INDEX('Carbon factors'!$B$4:$B$10,MATCH($J8,Fuel_Type,0),1),"")</f>
        <v>378.98846529791592</v>
      </c>
      <c r="X8" s="47" t="str">
        <f>IFERROR($O8*INDEX('Carbon factors'!$B$4:$B$10,MATCH($P8,Fuel_Type,0),1),"")</f>
        <v/>
      </c>
      <c r="Y8" s="47">
        <f>IF(Q8="","",Q8*'Carbon factors'!$B$5)</f>
        <v>0</v>
      </c>
      <c r="Z8" s="47">
        <f>IF(R8="","",R8*'Carbon factors'!$B$5)</f>
        <v>0</v>
      </c>
      <c r="AA8" s="47">
        <f>IF(S8="","",S8*'Carbon factors'!$B$5)</f>
        <v>281.57826</v>
      </c>
      <c r="AB8" s="47">
        <f>IF(T8="","",T8*'Carbon factors'!$B$5)</f>
        <v>319.69881000000004</v>
      </c>
      <c r="AC8" s="47">
        <f>IF(U8="","",U8*'Carbon factors'!$B$5)</f>
        <v>48.215100000000007</v>
      </c>
      <c r="AD8" s="267">
        <f>IF(SUM(V8:AC8)=0,"",(SUM(V8:AC8)))</f>
        <v>2152.6628356227043</v>
      </c>
      <c r="AE8" s="49">
        <f>IFERROR($G8*INDEX('Carbon factors'!$C$4:$C$10,MATCH($H8,Fuel_Type,0),1)+$K8*INDEX('Carbon factors'!$C$4:$C$10,MATCH($L8,Fuel_Type,0),1),"")</f>
        <v>726.97557839384444</v>
      </c>
      <c r="AF8" s="47">
        <f>IFERROR($I8*INDEX('Carbon factors'!$C$4:$C$10,MATCH($J8,Fuel_Type,0),1)+$M8*INDEX('Carbon factors'!$C$4:$C$10,MATCH($N8,Fuel_Type,0),1),"")</f>
        <v>245.0806180386395</v>
      </c>
      <c r="AG8" s="47" t="str">
        <f>IFERROR($O8*INDEX('Carbon factors'!$C$4:$C$10,MATCH($P8,Fuel_Type,0),1),"")</f>
        <v/>
      </c>
      <c r="AH8" s="47">
        <f>IF(Q8="","",Q8*'Carbon factors'!$C$5)</f>
        <v>0</v>
      </c>
      <c r="AI8" s="47">
        <f>IF(R8="","",R8*'Carbon factors'!$C$5)</f>
        <v>0</v>
      </c>
      <c r="AJ8" s="47">
        <f>IF(S8="","",S8*'Carbon factors'!$C$5)</f>
        <v>126.41181999999999</v>
      </c>
      <c r="AK8" s="47">
        <f>IF(T8="","",T8*'Carbon factors'!$C$5)</f>
        <v>143.52567000000002</v>
      </c>
      <c r="AL8" s="47">
        <f>IF(U8="","",U8*'Carbon factors'!$C$5)</f>
        <v>21.645700000000001</v>
      </c>
      <c r="AM8" s="222">
        <f t="shared" ref="AM8:AM57" si="0">IF(SUM(AE8:AL8)=0,"",(SUM(AE8:AL8)))</f>
        <v>1263.6393864324839</v>
      </c>
      <c r="AN8" s="61">
        <f t="shared" ref="AN8:AN57" si="1">IFERROR(AM8/$B8,"")</f>
        <v>7.3042739100143574</v>
      </c>
    </row>
    <row r="9" spans="1:40" ht="13.5" customHeight="1">
      <c r="A9" s="287" t="str">
        <f>IF(Baseline!A8="","",Baseline!A8)</f>
        <v>B4-A-14B4-02</v>
      </c>
      <c r="B9" s="141">
        <f>IF(Baseline!B8="","",Baseline!B8)</f>
        <v>149</v>
      </c>
      <c r="C9" s="141">
        <f>IF(Baseline!C8="","",Baseline!C8)</f>
        <v>2</v>
      </c>
      <c r="D9" s="288">
        <f>IF(Baseline!D8="","",Baseline!D8)</f>
        <v>298</v>
      </c>
      <c r="E9" s="96">
        <f t="shared" ref="E9:E47" si="2">IFERROR(AD9/$B9,"")</f>
        <v>13.518657940697846</v>
      </c>
      <c r="F9" s="109">
        <v>13.52</v>
      </c>
      <c r="G9" s="147">
        <f>1749.63*100/93.2</f>
        <v>1877.2854077253219</v>
      </c>
      <c r="H9" s="100" t="s">
        <v>11</v>
      </c>
      <c r="I9" s="100">
        <f>614.05*100/93.2</f>
        <v>658.85193133047198</v>
      </c>
      <c r="J9" s="100" t="s">
        <v>11</v>
      </c>
      <c r="K9" s="100">
        <f>4283.57*100/333</f>
        <v>1286.3573573573574</v>
      </c>
      <c r="L9" s="100" t="s">
        <v>22</v>
      </c>
      <c r="M9" s="100">
        <f>1503.36*100/333</f>
        <v>451.45945945945948</v>
      </c>
      <c r="N9" s="100" t="s">
        <v>22</v>
      </c>
      <c r="O9" s="100">
        <v>0</v>
      </c>
      <c r="P9" s="100"/>
      <c r="Q9" s="100">
        <v>0</v>
      </c>
      <c r="R9" s="100">
        <v>0</v>
      </c>
      <c r="S9" s="100">
        <v>502.92</v>
      </c>
      <c r="T9" s="100">
        <f>81.51+382.42</f>
        <v>463.93</v>
      </c>
      <c r="U9" s="100">
        <v>120.91</v>
      </c>
      <c r="V9" s="46">
        <f>IFERROR(($G9*INDEX('Carbon factors'!$B$4:$B$10,MATCH($H9,Fuel_Type,0),1))+($K9*INDEX('Carbon factors'!$B$4:$B$10,MATCH($L9,Fuel_Type,0),1)),"")</f>
        <v>1073.113116537138</v>
      </c>
      <c r="W9" s="47">
        <f>IFERROR($M9*INDEX('Carbon factors'!$B$4:$B$10,MATCH($N9,Fuel_Type,0),1)+$I9*INDEX('Carbon factors'!$B$4:$B$10,MATCH($J9,Fuel_Type,0),1),"")</f>
        <v>376.61947662684145</v>
      </c>
      <c r="X9" s="47" t="str">
        <f>IFERROR($O9*INDEX('Carbon factors'!$B$4:$B$10,MATCH($P9,Fuel_Type,0),1),"")</f>
        <v/>
      </c>
      <c r="Y9" s="47">
        <f>IF(Q9="","",Q9*'Carbon factors'!$B$5)</f>
        <v>0</v>
      </c>
      <c r="Z9" s="47">
        <f>IF(R9="","",R9*'Carbon factors'!$B$5)</f>
        <v>0</v>
      </c>
      <c r="AA9" s="47">
        <f>IF(S9="","",S9*'Carbon factors'!$B$5)</f>
        <v>261.01548000000003</v>
      </c>
      <c r="AB9" s="47">
        <f>IF(T9="","",T9*'Carbon factors'!$B$5)</f>
        <v>240.77967000000001</v>
      </c>
      <c r="AC9" s="47">
        <f>IF(U9="","",U9*'Carbon factors'!$B$5)</f>
        <v>62.752290000000002</v>
      </c>
      <c r="AD9" s="267">
        <f t="shared" ref="AD9:AD56" si="3">IF(SUM(V9:AC9)=0,"",(SUM(V9:AC9)))</f>
        <v>2014.2800331639792</v>
      </c>
      <c r="AE9" s="49">
        <f>IFERROR($G9*INDEX('Carbon factors'!$C$4:$C$10,MATCH($H9,Fuel_Type,0),1)+$K9*INDEX('Carbon factors'!$C$4:$C$10,MATCH($L9,Fuel_Type,0),1),"")</f>
        <v>693.95119988658189</v>
      </c>
      <c r="AF9" s="47">
        <f>IFERROR($I9*INDEX('Carbon factors'!$C$4:$C$10,MATCH($J9,Fuel_Type,0),1)+$M9*INDEX('Carbon factors'!$C$4:$C$10,MATCH($N9,Fuel_Type,0),1),"")</f>
        <v>243.54895963345317</v>
      </c>
      <c r="AG9" s="47" t="str">
        <f>IFERROR($O9*INDEX('Carbon factors'!$C$4:$C$10,MATCH($P9,Fuel_Type,0),1),"")</f>
        <v/>
      </c>
      <c r="AH9" s="47">
        <f>IF(Q9="","",Q9*'Carbon factors'!$C$5)</f>
        <v>0</v>
      </c>
      <c r="AI9" s="47">
        <f>IF(R9="","",R9*'Carbon factors'!$C$5)</f>
        <v>0</v>
      </c>
      <c r="AJ9" s="47">
        <f>IF(S9="","",S9*'Carbon factors'!$C$5)</f>
        <v>117.18036000000001</v>
      </c>
      <c r="AK9" s="47">
        <f>IF(T9="","",T9*'Carbon factors'!$C$5)</f>
        <v>108.09569</v>
      </c>
      <c r="AL9" s="47">
        <f>IF(U9="","",U9*'Carbon factors'!$C$5)</f>
        <v>28.172029999999999</v>
      </c>
      <c r="AM9" s="222">
        <f t="shared" si="0"/>
        <v>1190.948239520035</v>
      </c>
      <c r="AN9" s="61">
        <f t="shared" si="1"/>
        <v>7.9929412048324497</v>
      </c>
    </row>
    <row r="10" spans="1:40" ht="13.5" customHeight="1">
      <c r="A10" s="287" t="str">
        <f>IF(Baseline!A9="","",Baseline!A9)</f>
        <v>B7-A-12-02</v>
      </c>
      <c r="B10" s="141">
        <f>IF(Baseline!B9="","",Baseline!B9)</f>
        <v>65</v>
      </c>
      <c r="C10" s="141">
        <f>IF(Baseline!C9="","",Baseline!C9)</f>
        <v>1</v>
      </c>
      <c r="D10" s="288">
        <f>IF(Baseline!D9="","",Baseline!D9)</f>
        <v>65</v>
      </c>
      <c r="E10" s="96">
        <f t="shared" si="2"/>
        <v>15.6757367683147</v>
      </c>
      <c r="F10" s="109">
        <v>15.68</v>
      </c>
      <c r="G10" s="147">
        <f>723.92*100/93.2</f>
        <v>776.73819742489263</v>
      </c>
      <c r="H10" s="100" t="s">
        <v>11</v>
      </c>
      <c r="I10" s="100">
        <f>521.46*100/93.2</f>
        <v>559.50643776824029</v>
      </c>
      <c r="J10" s="100" t="s">
        <v>11</v>
      </c>
      <c r="K10" s="100">
        <f>1772.36*100/333</f>
        <v>532.24024024024027</v>
      </c>
      <c r="L10" s="100" t="s">
        <v>22</v>
      </c>
      <c r="M10" s="100">
        <f>1276.68*100/333</f>
        <v>383.38738738738738</v>
      </c>
      <c r="N10" s="100" t="s">
        <v>22</v>
      </c>
      <c r="O10" s="100">
        <v>0</v>
      </c>
      <c r="P10" s="100"/>
      <c r="Q10" s="100">
        <v>0</v>
      </c>
      <c r="R10" s="100">
        <v>0</v>
      </c>
      <c r="S10" s="100">
        <v>291.83</v>
      </c>
      <c r="T10" s="100">
        <f>42.94+156.72</f>
        <v>199.66</v>
      </c>
      <c r="U10" s="100">
        <v>0</v>
      </c>
      <c r="V10" s="46">
        <f>IFERROR(($G10*INDEX('Carbon factors'!$B$4:$B$10,MATCH($H10,Fuel_Type,0),1))+($K10*INDEX('Carbon factors'!$B$4:$B$10,MATCH($L10,Fuel_Type,0),1)),"")</f>
        <v>444.00813532846155</v>
      </c>
      <c r="W10" s="47">
        <f>IFERROR($M10*INDEX('Carbon factors'!$B$4:$B$10,MATCH($N10,Fuel_Type,0),1)+$I10*INDEX('Carbon factors'!$B$4:$B$10,MATCH($J10,Fuel_Type,0),1),"")</f>
        <v>319.83144461199396</v>
      </c>
      <c r="X10" s="47" t="str">
        <f>IFERROR($O10*INDEX('Carbon factors'!$B$4:$B$10,MATCH($P10,Fuel_Type,0),1),"")</f>
        <v/>
      </c>
      <c r="Y10" s="47">
        <f>IF(Q10="","",Q10*'Carbon factors'!$B$5)</f>
        <v>0</v>
      </c>
      <c r="Z10" s="47">
        <f>IF(R10="","",R10*'Carbon factors'!$B$5)</f>
        <v>0</v>
      </c>
      <c r="AA10" s="47">
        <f>IF(S10="","",S10*'Carbon factors'!$B$5)</f>
        <v>151.45976999999999</v>
      </c>
      <c r="AB10" s="47">
        <f>IF(T10="","",T10*'Carbon factors'!$B$5)</f>
        <v>103.62354000000001</v>
      </c>
      <c r="AC10" s="47">
        <f>IF(U10="","",U10*'Carbon factors'!$B$5)</f>
        <v>0</v>
      </c>
      <c r="AD10" s="267">
        <f t="shared" si="3"/>
        <v>1018.9228899404554</v>
      </c>
      <c r="AE10" s="49">
        <f>IFERROR($G10*INDEX('Carbon factors'!$C$4:$C$10,MATCH($H10,Fuel_Type,0),1)+$K10*INDEX('Carbon factors'!$C$4:$C$10,MATCH($L10,Fuel_Type,0),1),"")</f>
        <v>287.12699743520341</v>
      </c>
      <c r="AF10" s="47">
        <f>IFERROR($I10*INDEX('Carbon factors'!$C$4:$C$10,MATCH($J10,Fuel_Type,0),1)+$M10*INDEX('Carbon factors'!$C$4:$C$10,MATCH($N10,Fuel_Type,0),1),"")</f>
        <v>206.82561319259173</v>
      </c>
      <c r="AG10" s="47" t="str">
        <f>IFERROR($O10*INDEX('Carbon factors'!$C$4:$C$10,MATCH($P10,Fuel_Type,0),1),"")</f>
        <v/>
      </c>
      <c r="AH10" s="47">
        <f>IF(Q10="","",Q10*'Carbon factors'!$C$5)</f>
        <v>0</v>
      </c>
      <c r="AI10" s="47">
        <f>IF(R10="","",R10*'Carbon factors'!$C$5)</f>
        <v>0</v>
      </c>
      <c r="AJ10" s="47">
        <f>IF(S10="","",S10*'Carbon factors'!$C$5)</f>
        <v>67.996390000000005</v>
      </c>
      <c r="AK10" s="47">
        <f>IF(T10="","",T10*'Carbon factors'!$C$5)</f>
        <v>46.520780000000002</v>
      </c>
      <c r="AL10" s="47">
        <f>IF(U10="","",U10*'Carbon factors'!$C$5)</f>
        <v>0</v>
      </c>
      <c r="AM10" s="222">
        <f t="shared" si="0"/>
        <v>608.46978062779522</v>
      </c>
      <c r="AN10" s="61">
        <f t="shared" si="1"/>
        <v>9.3610735481199256</v>
      </c>
    </row>
    <row r="11" spans="1:40" ht="13.5" customHeight="1">
      <c r="A11" s="287" t="str">
        <f>IF(Baseline!A10="","",Baseline!A10)</f>
        <v>B2-A-21-02</v>
      </c>
      <c r="B11" s="141">
        <f>IF(Baseline!B10="","",Baseline!B10)</f>
        <v>120</v>
      </c>
      <c r="C11" s="141">
        <f>IF(Baseline!C10="","",Baseline!C10)</f>
        <v>2</v>
      </c>
      <c r="D11" s="288">
        <f>IF(Baseline!D10="","",Baseline!D10)</f>
        <v>240</v>
      </c>
      <c r="E11" s="96">
        <f t="shared" si="2"/>
        <v>14.78300161372746</v>
      </c>
      <c r="F11" s="109">
        <v>14.78</v>
      </c>
      <c r="G11" s="147">
        <f>1449.35*100/93.2</f>
        <v>1555.0965665236051</v>
      </c>
      <c r="H11" s="100" t="s">
        <v>11</v>
      </c>
      <c r="I11" s="100">
        <f>606.16*100/93.2</f>
        <v>650.38626609442053</v>
      </c>
      <c r="J11" s="100" t="s">
        <v>11</v>
      </c>
      <c r="K11" s="100">
        <f>3548.4*100/333</f>
        <v>1065.5855855855855</v>
      </c>
      <c r="L11" s="100" t="s">
        <v>22</v>
      </c>
      <c r="M11" s="100">
        <f>1484.05*100/333</f>
        <v>445.66066066066065</v>
      </c>
      <c r="N11" s="100" t="s">
        <v>22</v>
      </c>
      <c r="O11" s="100">
        <v>0</v>
      </c>
      <c r="P11" s="100"/>
      <c r="Q11" s="100">
        <v>0</v>
      </c>
      <c r="R11" s="100">
        <v>0</v>
      </c>
      <c r="S11" s="100">
        <v>449.05</v>
      </c>
      <c r="T11" s="100">
        <f>70.88+289.32</f>
        <v>360.2</v>
      </c>
      <c r="U11" s="100">
        <v>179.65</v>
      </c>
      <c r="V11" s="46">
        <f>IFERROR(($G11*INDEX('Carbon factors'!$B$4:$B$10,MATCH($H11,Fuel_Type,0),1))+($K11*INDEX('Carbon factors'!$B$4:$B$10,MATCH($L11,Fuel_Type,0),1)),"")</f>
        <v>888.93977728801758</v>
      </c>
      <c r="W11" s="47">
        <f>IFERROR($M11*INDEX('Carbon factors'!$B$4:$B$10,MATCH($N11,Fuel_Type,0),1)+$I11*INDEX('Carbon factors'!$B$4:$B$10,MATCH($J11,Fuel_Type,0),1),"")</f>
        <v>371.7813163592777</v>
      </c>
      <c r="X11" s="47" t="str">
        <f>IFERROR($O11*INDEX('Carbon factors'!$B$4:$B$10,MATCH($P11,Fuel_Type,0),1),"")</f>
        <v/>
      </c>
      <c r="Y11" s="47">
        <f>IF(Q11="","",Q11*'Carbon factors'!$B$5)</f>
        <v>0</v>
      </c>
      <c r="Z11" s="47">
        <f>IF(R11="","",R11*'Carbon factors'!$B$5)</f>
        <v>0</v>
      </c>
      <c r="AA11" s="47">
        <f>IF(S11="","",S11*'Carbon factors'!$B$5)</f>
        <v>233.05695</v>
      </c>
      <c r="AB11" s="47">
        <f>IF(T11="","",T11*'Carbon factors'!$B$5)</f>
        <v>186.94380000000001</v>
      </c>
      <c r="AC11" s="47">
        <f>IF(U11="","",U11*'Carbon factors'!$B$5)</f>
        <v>93.238350000000011</v>
      </c>
      <c r="AD11" s="267">
        <f t="shared" si="3"/>
        <v>1773.9601936472952</v>
      </c>
      <c r="AE11" s="49">
        <f>IFERROR($G11*INDEX('Carbon factors'!$C$4:$C$10,MATCH($H11,Fuel_Type,0),1)+$K11*INDEX('Carbon factors'!$C$4:$C$10,MATCH($L11,Fuel_Type,0),1),"")</f>
        <v>574.85172041139845</v>
      </c>
      <c r="AF11" s="47">
        <f>IFERROR($I11*INDEX('Carbon factors'!$C$4:$C$10,MATCH($J11,Fuel_Type,0),1)+$M11*INDEX('Carbon factors'!$C$4:$C$10,MATCH($N11,Fuel_Type,0),1),"")</f>
        <v>240.42004981376226</v>
      </c>
      <c r="AG11" s="47" t="str">
        <f>IFERROR($O11*INDEX('Carbon factors'!$C$4:$C$10,MATCH($P11,Fuel_Type,0),1),"")</f>
        <v/>
      </c>
      <c r="AH11" s="47">
        <f>IF(Q11="","",Q11*'Carbon factors'!$C$5)</f>
        <v>0</v>
      </c>
      <c r="AI11" s="47">
        <f>IF(R11="","",R11*'Carbon factors'!$C$5)</f>
        <v>0</v>
      </c>
      <c r="AJ11" s="47">
        <f>IF(S11="","",S11*'Carbon factors'!$C$5)</f>
        <v>104.62865000000001</v>
      </c>
      <c r="AK11" s="47">
        <f>IF(T11="","",T11*'Carbon factors'!$C$5)</f>
        <v>83.926600000000008</v>
      </c>
      <c r="AL11" s="47">
        <f>IF(U11="","",U11*'Carbon factors'!$C$5)</f>
        <v>41.858450000000005</v>
      </c>
      <c r="AM11" s="222">
        <f t="shared" si="0"/>
        <v>1045.6854702251608</v>
      </c>
      <c r="AN11" s="61">
        <f t="shared" si="1"/>
        <v>8.7140455852096732</v>
      </c>
    </row>
    <row r="12" spans="1:40" ht="13.5" customHeight="1">
      <c r="A12" s="287" t="str">
        <f>IF(Baseline!A11="","",Baseline!A11)</f>
        <v>B7-A-00-01</v>
      </c>
      <c r="B12" s="141">
        <f>IF(Baseline!B11="","",Baseline!B11)</f>
        <v>73</v>
      </c>
      <c r="C12" s="141">
        <f>IF(Baseline!C11="","",Baseline!C11)</f>
        <v>2</v>
      </c>
      <c r="D12" s="288">
        <f>IF(Baseline!D11="","",Baseline!D11)</f>
        <v>146</v>
      </c>
      <c r="E12" s="96">
        <f t="shared" si="2"/>
        <v>15.220107089966678</v>
      </c>
      <c r="F12" s="109">
        <v>15.22</v>
      </c>
      <c r="G12" s="147">
        <f>807.43*100/93.2</f>
        <v>866.34120171673817</v>
      </c>
      <c r="H12" s="100" t="s">
        <v>11</v>
      </c>
      <c r="I12" s="100">
        <f>543.97*100/93.2</f>
        <v>583.65879828326183</v>
      </c>
      <c r="J12" s="100" t="s">
        <v>11</v>
      </c>
      <c r="K12" s="100">
        <f>1976.8*100/333</f>
        <v>593.63363363363362</v>
      </c>
      <c r="L12" s="100" t="s">
        <v>22</v>
      </c>
      <c r="M12" s="100">
        <f>1331.78*100/333</f>
        <v>399.93393393393393</v>
      </c>
      <c r="N12" s="100" t="s">
        <v>22</v>
      </c>
      <c r="O12" s="100"/>
      <c r="P12" s="100"/>
      <c r="Q12" s="100"/>
      <c r="R12" s="100"/>
      <c r="S12" s="100">
        <v>324.60000000000002</v>
      </c>
      <c r="T12" s="100">
        <f>46.6+172.55</f>
        <v>219.15</v>
      </c>
      <c r="U12" s="100"/>
      <c r="V12" s="46">
        <f>IFERROR(($G12*INDEX('Carbon factors'!$B$4:$B$10,MATCH($H12,Fuel_Type,0),1))+($K12*INDEX('Carbon factors'!$B$4:$B$10,MATCH($L12,Fuel_Type,0),1)),"")</f>
        <v>495.22555542667129</v>
      </c>
      <c r="W12" s="47">
        <f>IFERROR($M12*INDEX('Carbon factors'!$B$4:$B$10,MATCH($N12,Fuel_Type,0),1)+$I12*INDEX('Carbon factors'!$B$4:$B$10,MATCH($J12,Fuel_Type,0),1),"")</f>
        <v>333.63601214089624</v>
      </c>
      <c r="X12" s="47" t="str">
        <f>IFERROR($O12*INDEX('Carbon factors'!$B$4:$B$10,MATCH($P12,Fuel_Type,0),1),"")</f>
        <v/>
      </c>
      <c r="Y12" s="47" t="str">
        <f>IF(Q12="","",Q12*'Carbon factors'!$B$5)</f>
        <v/>
      </c>
      <c r="Z12" s="47" t="str">
        <f>IF(R12="","",R12*'Carbon factors'!$B$5)</f>
        <v/>
      </c>
      <c r="AA12" s="47">
        <f>IF(S12="","",S12*'Carbon factors'!$B$5)</f>
        <v>168.46740000000003</v>
      </c>
      <c r="AB12" s="47">
        <f>IF(T12="","",T12*'Carbon factors'!$B$5)</f>
        <v>113.73885000000001</v>
      </c>
      <c r="AC12" s="47" t="str">
        <f>IF(U12="","",U12*'Carbon factors'!$B$5)</f>
        <v/>
      </c>
      <c r="AD12" s="267">
        <f t="shared" si="3"/>
        <v>1111.0678175675675</v>
      </c>
      <c r="AE12" s="49">
        <f>IFERROR($G12*INDEX('Carbon factors'!$C$4:$C$10,MATCH($H12,Fuel_Type,0),1)+$K12*INDEX('Carbon factors'!$C$4:$C$10,MATCH($L12,Fuel_Type,0),1),"")</f>
        <v>320.24828899715169</v>
      </c>
      <c r="AF12" s="47">
        <f>IFERROR($I12*INDEX('Carbon factors'!$C$4:$C$10,MATCH($J12,Fuel_Type,0),1)+$M12*INDEX('Carbon factors'!$C$4:$C$10,MATCH($N12,Fuel_Type,0),1),"")</f>
        <v>215.75295424609158</v>
      </c>
      <c r="AG12" s="47" t="str">
        <f>IFERROR($O12*INDEX('Carbon factors'!$C$4:$C$10,MATCH($P12,Fuel_Type,0),1),"")</f>
        <v/>
      </c>
      <c r="AH12" s="47" t="str">
        <f>IF(Q12="","",Q12*'Carbon factors'!$C$5)</f>
        <v/>
      </c>
      <c r="AI12" s="47" t="str">
        <f>IF(R12="","",R12*'Carbon factors'!$C$5)</f>
        <v/>
      </c>
      <c r="AJ12" s="47">
        <f>IF(S12="","",S12*'Carbon factors'!$C$5)</f>
        <v>75.631800000000013</v>
      </c>
      <c r="AK12" s="47">
        <f>IF(T12="","",T12*'Carbon factors'!$C$5)</f>
        <v>51.061950000000003</v>
      </c>
      <c r="AL12" s="47" t="str">
        <f>IF(U12="","",U12*'Carbon factors'!$C$5)</f>
        <v/>
      </c>
      <c r="AM12" s="222">
        <f t="shared" si="0"/>
        <v>662.69499324324329</v>
      </c>
      <c r="AN12" s="61">
        <f t="shared" si="1"/>
        <v>9.0780136060718259</v>
      </c>
    </row>
    <row r="13" spans="1:40" ht="13.5" customHeight="1">
      <c r="A13" s="287" t="str">
        <f>IF(Baseline!A12="","",Baseline!A12)</f>
        <v>B7-A-00-H1</v>
      </c>
      <c r="B13" s="141">
        <f>IF(Baseline!B12="","",Baseline!B12)</f>
        <v>125</v>
      </c>
      <c r="C13" s="141">
        <f>IF(Baseline!C12="","",Baseline!C12)</f>
        <v>1</v>
      </c>
      <c r="D13" s="288">
        <f>IF(Baseline!D12="","",Baseline!D12)</f>
        <v>125</v>
      </c>
      <c r="E13" s="96">
        <f t="shared" si="2"/>
        <v>15.097069937612808</v>
      </c>
      <c r="F13" s="109">
        <v>15.1</v>
      </c>
      <c r="G13" s="147">
        <f>1972.96*100/93.2</f>
        <v>2116.9098712446353</v>
      </c>
      <c r="H13" s="100" t="s">
        <v>11</v>
      </c>
      <c r="I13" s="100">
        <f>594.9*100/93.2</f>
        <v>638.30472103004286</v>
      </c>
      <c r="J13" s="100" t="s">
        <v>11</v>
      </c>
      <c r="K13" s="100">
        <f>4830.35*100/333</f>
        <v>1450.5555555555557</v>
      </c>
      <c r="L13" s="100" t="s">
        <v>22</v>
      </c>
      <c r="M13" s="100">
        <f>1456.48*100/333</f>
        <v>437.3813813813814</v>
      </c>
      <c r="N13" s="100" t="s">
        <v>22</v>
      </c>
      <c r="O13" s="100"/>
      <c r="P13" s="100"/>
      <c r="Q13" s="100"/>
      <c r="R13" s="100"/>
      <c r="S13" s="100">
        <v>459.08</v>
      </c>
      <c r="T13" s="100">
        <f>88.55+53.85</f>
        <v>142.4</v>
      </c>
      <c r="U13" s="100"/>
      <c r="V13" s="46">
        <f>IFERROR(($G13*INDEX('Carbon factors'!$B$4:$B$10,MATCH($H13,Fuel_Type,0),1))+($K13*INDEX('Carbon factors'!$B$4:$B$10,MATCH($L13,Fuel_Type,0),1)),"")</f>
        <v>1210.0908655221747</v>
      </c>
      <c r="W13" s="47">
        <f>IFERROR($M13*INDEX('Carbon factors'!$B$4:$B$10,MATCH($N13,Fuel_Type,0),1)+$I13*INDEX('Carbon factors'!$B$4:$B$10,MATCH($J13,Fuel_Type,0),1),"")</f>
        <v>364.87475667942624</v>
      </c>
      <c r="X13" s="47" t="str">
        <f>IFERROR($O13*INDEX('Carbon factors'!$B$4:$B$10,MATCH($P13,Fuel_Type,0),1),"")</f>
        <v/>
      </c>
      <c r="Y13" s="47" t="str">
        <f>IF(Q13="","",Q13*'Carbon factors'!$B$5)</f>
        <v/>
      </c>
      <c r="Z13" s="47" t="str">
        <f>IF(R13="","",R13*'Carbon factors'!$B$5)</f>
        <v/>
      </c>
      <c r="AA13" s="47">
        <f>IF(S13="","",S13*'Carbon factors'!$B$5)</f>
        <v>238.26251999999999</v>
      </c>
      <c r="AB13" s="47">
        <f>IF(T13="","",T13*'Carbon factors'!$B$5)</f>
        <v>73.905600000000007</v>
      </c>
      <c r="AC13" s="47" t="str">
        <f>IF(U13="","",U13*'Carbon factors'!$B$5)</f>
        <v/>
      </c>
      <c r="AD13" s="267">
        <f t="shared" si="3"/>
        <v>1887.1337422016011</v>
      </c>
      <c r="AE13" s="49">
        <f>IFERROR($G13*INDEX('Carbon factors'!$C$4:$C$10,MATCH($H13,Fuel_Type,0),1)+$K13*INDEX('Carbon factors'!$C$4:$C$10,MATCH($L13,Fuel_Type,0),1),"")</f>
        <v>782.53051740581782</v>
      </c>
      <c r="AF13" s="47">
        <f>IFERROR($I13*INDEX('Carbon factors'!$C$4:$C$10,MATCH($J13,Fuel_Type,0),1)+$M13*INDEX('Carbon factors'!$C$4:$C$10,MATCH($N13,Fuel_Type,0),1),"")</f>
        <v>235.95385327817087</v>
      </c>
      <c r="AG13" s="47" t="str">
        <f>IFERROR($O13*INDEX('Carbon factors'!$C$4:$C$10,MATCH($P13,Fuel_Type,0),1),"")</f>
        <v/>
      </c>
      <c r="AH13" s="47" t="str">
        <f>IF(Q13="","",Q13*'Carbon factors'!$C$5)</f>
        <v/>
      </c>
      <c r="AI13" s="47" t="str">
        <f>IF(R13="","",R13*'Carbon factors'!$C$5)</f>
        <v/>
      </c>
      <c r="AJ13" s="47">
        <f>IF(S13="","",S13*'Carbon factors'!$C$5)</f>
        <v>106.96564000000001</v>
      </c>
      <c r="AK13" s="47">
        <f>IF(T13="","",T13*'Carbon factors'!$C$5)</f>
        <v>33.179200000000002</v>
      </c>
      <c r="AL13" s="47" t="str">
        <f>IF(U13="","",U13*'Carbon factors'!$C$5)</f>
        <v/>
      </c>
      <c r="AM13" s="222">
        <f t="shared" si="0"/>
        <v>1158.6292106839887</v>
      </c>
      <c r="AN13" s="61">
        <f t="shared" si="1"/>
        <v>9.2690336854719106</v>
      </c>
    </row>
    <row r="14" spans="1:40" ht="13.5" customHeight="1">
      <c r="A14" s="287" t="str">
        <f>IF(Baseline!A13="","",Baseline!A13)</f>
        <v>B7-A-00-H2</v>
      </c>
      <c r="B14" s="141">
        <f>IF(Baseline!B13="","",Baseline!B13)</f>
        <v>113</v>
      </c>
      <c r="C14" s="141">
        <f>IF(Baseline!C13="","",Baseline!C13)</f>
        <v>2</v>
      </c>
      <c r="D14" s="288">
        <f>IF(Baseline!D13="","",Baseline!D13)</f>
        <v>226</v>
      </c>
      <c r="E14" s="96">
        <f t="shared" si="2"/>
        <v>15.828599456900021</v>
      </c>
      <c r="F14" s="109">
        <v>15.84</v>
      </c>
      <c r="G14" s="147">
        <f>1847.17*100/93.2</f>
        <v>1981.9420600858368</v>
      </c>
      <c r="H14" s="100" t="s">
        <v>11</v>
      </c>
      <c r="I14" s="100">
        <f>589.32*100/93.2</f>
        <v>632.31759656652366</v>
      </c>
      <c r="J14" s="100" t="s">
        <v>11</v>
      </c>
      <c r="K14" s="100">
        <f>4522.37*100/333</f>
        <v>1358.069069069069</v>
      </c>
      <c r="L14" s="100" t="s">
        <v>22</v>
      </c>
      <c r="M14" s="100">
        <f>1442.82*100/333</f>
        <v>433.27927927927925</v>
      </c>
      <c r="N14" s="100" t="s">
        <v>22</v>
      </c>
      <c r="O14" s="100"/>
      <c r="P14" s="100"/>
      <c r="Q14" s="100"/>
      <c r="R14" s="100"/>
      <c r="S14" s="100">
        <v>434.22</v>
      </c>
      <c r="T14" s="100">
        <f>84.02+48.7</f>
        <v>132.72</v>
      </c>
      <c r="U14" s="100"/>
      <c r="V14" s="46">
        <f>IFERROR(($G14*INDEX('Carbon factors'!$B$4:$B$10,MATCH($H14,Fuel_Type,0),1))+($K14*INDEX('Carbon factors'!$B$4:$B$10,MATCH($L14,Fuel_Type,0),1)),"")</f>
        <v>1132.9373318253874</v>
      </c>
      <c r="W14" s="47">
        <f>IFERROR($M14*INDEX('Carbon factors'!$B$4:$B$10,MATCH($N14,Fuel_Type,0),1)+$I14*INDEX('Carbon factors'!$B$4:$B$10,MATCH($J14,Fuel_Type,0),1),"")</f>
        <v>361.45254680431503</v>
      </c>
      <c r="X14" s="47" t="str">
        <f>IFERROR($O14*INDEX('Carbon factors'!$B$4:$B$10,MATCH($P14,Fuel_Type,0),1),"")</f>
        <v/>
      </c>
      <c r="Y14" s="47" t="str">
        <f>IF(Q14="","",Q14*'Carbon factors'!$B$5)</f>
        <v/>
      </c>
      <c r="Z14" s="47" t="str">
        <f>IF(R14="","",R14*'Carbon factors'!$B$5)</f>
        <v/>
      </c>
      <c r="AA14" s="47">
        <f>IF(S14="","",S14*'Carbon factors'!$B$5)</f>
        <v>225.36018000000001</v>
      </c>
      <c r="AB14" s="47">
        <f>IF(T14="","",T14*'Carbon factors'!$B$5)</f>
        <v>68.881680000000003</v>
      </c>
      <c r="AC14" s="47" t="str">
        <f>IF(U14="","",U14*'Carbon factors'!$B$5)</f>
        <v/>
      </c>
      <c r="AD14" s="267">
        <f t="shared" si="3"/>
        <v>1788.6317386297023</v>
      </c>
      <c r="AE14" s="49">
        <f>IFERROR($G14*INDEX('Carbon factors'!$C$4:$C$10,MATCH($H14,Fuel_Type,0),1)+$K14*INDEX('Carbon factors'!$C$4:$C$10,MATCH($L14,Fuel_Type,0),1),"")</f>
        <v>732.63792571111878</v>
      </c>
      <c r="AF14" s="47">
        <f>IFERROR($I14*INDEX('Carbon factors'!$C$4:$C$10,MATCH($J14,Fuel_Type,0),1)+$M14*INDEX('Carbon factors'!$C$4:$C$10,MATCH($N14,Fuel_Type,0),1),"")</f>
        <v>233.74076735104205</v>
      </c>
      <c r="AG14" s="47" t="str">
        <f>IFERROR($O14*INDEX('Carbon factors'!$C$4:$C$10,MATCH($P14,Fuel_Type,0),1),"")</f>
        <v/>
      </c>
      <c r="AH14" s="47" t="str">
        <f>IF(Q14="","",Q14*'Carbon factors'!$C$5)</f>
        <v/>
      </c>
      <c r="AI14" s="47" t="str">
        <f>IF(R14="","",R14*'Carbon factors'!$C$5)</f>
        <v/>
      </c>
      <c r="AJ14" s="47">
        <f>IF(S14="","",S14*'Carbon factors'!$C$5)</f>
        <v>101.17326000000001</v>
      </c>
      <c r="AK14" s="47">
        <f>IF(T14="","",T14*'Carbon factors'!$C$5)</f>
        <v>30.923760000000001</v>
      </c>
      <c r="AL14" s="47" t="str">
        <f>IF(U14="","",U14*'Carbon factors'!$C$5)</f>
        <v/>
      </c>
      <c r="AM14" s="222">
        <f t="shared" si="0"/>
        <v>1098.4757130621608</v>
      </c>
      <c r="AN14" s="61">
        <f t="shared" si="1"/>
        <v>9.7210240093996525</v>
      </c>
    </row>
    <row r="15" spans="1:40" ht="13.5" customHeight="1">
      <c r="A15" s="287" t="str">
        <f>IF(Baseline!A14="","",Baseline!A14)</f>
        <v>B7-A-00-H4</v>
      </c>
      <c r="B15" s="141">
        <f>IF(Baseline!B14="","",Baseline!B14)</f>
        <v>171</v>
      </c>
      <c r="C15" s="141">
        <f>IF(Baseline!C14="","",Baseline!C14)</f>
        <v>1</v>
      </c>
      <c r="D15" s="288">
        <f>IF(Baseline!D14="","",Baseline!D14)</f>
        <v>171</v>
      </c>
      <c r="E15" s="96">
        <f t="shared" si="2"/>
        <v>15.4359151120739</v>
      </c>
      <c r="F15" s="109">
        <v>15.44</v>
      </c>
      <c r="G15" s="147">
        <f>3071.88*100/93.2</f>
        <v>3296.0085836909871</v>
      </c>
      <c r="H15" s="100" t="s">
        <v>11</v>
      </c>
      <c r="I15" s="100">
        <f>604.37*100/93.2</f>
        <v>648.46566523605145</v>
      </c>
      <c r="J15" s="100" t="s">
        <v>11</v>
      </c>
      <c r="K15" s="100">
        <f>7520.81*100/333</f>
        <v>2258.5015015015015</v>
      </c>
      <c r="L15" s="100" t="s">
        <v>22</v>
      </c>
      <c r="M15" s="100">
        <f>1479.65*100/333</f>
        <v>444.33933933933935</v>
      </c>
      <c r="N15" s="100" t="s">
        <v>22</v>
      </c>
      <c r="O15" s="100"/>
      <c r="P15" s="100"/>
      <c r="Q15" s="100"/>
      <c r="R15" s="100"/>
      <c r="S15" s="100">
        <v>539.35</v>
      </c>
      <c r="T15" s="100">
        <f>126.77+75.23</f>
        <v>202</v>
      </c>
      <c r="U15" s="100"/>
      <c r="V15" s="46">
        <f>IFERROR(($G15*INDEX('Carbon factors'!$B$4:$B$10,MATCH($H15,Fuel_Type,0),1))+($K15*INDEX('Carbon factors'!$B$4:$B$10,MATCH($L15,Fuel_Type,0),1)),"")</f>
        <v>1884.1001333565325</v>
      </c>
      <c r="W15" s="47">
        <f>IFERROR($M15*INDEX('Carbon factors'!$B$4:$B$10,MATCH($N15,Fuel_Type,0),1)+$I15*INDEX('Carbon factors'!$B$4:$B$10,MATCH($J15,Fuel_Type,0),1),"")</f>
        <v>370.68070080810423</v>
      </c>
      <c r="X15" s="47" t="str">
        <f>IFERROR($O15*INDEX('Carbon factors'!$B$4:$B$10,MATCH($P15,Fuel_Type,0),1),"")</f>
        <v/>
      </c>
      <c r="Y15" s="47" t="str">
        <f>IF(Q15="","",Q15*'Carbon factors'!$B$5)</f>
        <v/>
      </c>
      <c r="Z15" s="47" t="str">
        <f>IF(R15="","",R15*'Carbon factors'!$B$5)</f>
        <v/>
      </c>
      <c r="AA15" s="47">
        <f>IF(S15="","",S15*'Carbon factors'!$B$5)</f>
        <v>279.92265000000003</v>
      </c>
      <c r="AB15" s="47">
        <f>IF(T15="","",T15*'Carbon factors'!$B$5)</f>
        <v>104.83800000000001</v>
      </c>
      <c r="AC15" s="47" t="str">
        <f>IF(U15="","",U15*'Carbon factors'!$B$5)</f>
        <v/>
      </c>
      <c r="AD15" s="267">
        <f t="shared" si="3"/>
        <v>2639.541484164637</v>
      </c>
      <c r="AE15" s="49">
        <f>IFERROR($G15*INDEX('Carbon factors'!$C$4:$C$10,MATCH($H15,Fuel_Type,0),1)+$K15*INDEX('Carbon factors'!$C$4:$C$10,MATCH($L15,Fuel_Type,0),1),"")</f>
        <v>1218.3926524249571</v>
      </c>
      <c r="AF15" s="47">
        <f>IFERROR($I15*INDEX('Carbon factors'!$C$4:$C$10,MATCH($J15,Fuel_Type,0),1)+$M15*INDEX('Carbon factors'!$C$4:$C$10,MATCH($N15,Fuel_Type,0),1),"")</f>
        <v>239.70885576563688</v>
      </c>
      <c r="AG15" s="47" t="str">
        <f>IFERROR($O15*INDEX('Carbon factors'!$C$4:$C$10,MATCH($P15,Fuel_Type,0),1),"")</f>
        <v/>
      </c>
      <c r="AH15" s="47" t="str">
        <f>IF(Q15="","",Q15*'Carbon factors'!$C$5)</f>
        <v/>
      </c>
      <c r="AI15" s="47" t="str">
        <f>IF(R15="","",R15*'Carbon factors'!$C$5)</f>
        <v/>
      </c>
      <c r="AJ15" s="47">
        <f>IF(S15="","",S15*'Carbon factors'!$C$5)</f>
        <v>125.66855000000001</v>
      </c>
      <c r="AK15" s="47">
        <f>IF(T15="","",T15*'Carbon factors'!$C$5)</f>
        <v>47.066000000000003</v>
      </c>
      <c r="AL15" s="47" t="str">
        <f>IF(U15="","",U15*'Carbon factors'!$C$5)</f>
        <v/>
      </c>
      <c r="AM15" s="222">
        <f t="shared" si="0"/>
        <v>1630.836058190594</v>
      </c>
      <c r="AN15" s="61">
        <f t="shared" si="1"/>
        <v>9.537052971874818</v>
      </c>
    </row>
    <row r="16" spans="1:40" ht="13.5" customHeight="1">
      <c r="A16" s="287" t="str">
        <f>IF(Baseline!A15="","",Baseline!A15)</f>
        <v>B7-A-02-02</v>
      </c>
      <c r="B16" s="141">
        <f>IF(Baseline!B15="","",Baseline!B15)</f>
        <v>90</v>
      </c>
      <c r="C16" s="141">
        <f>IF(Baseline!C15="","",Baseline!C15)</f>
        <v>2</v>
      </c>
      <c r="D16" s="288">
        <f>IF(Baseline!D15="","",Baseline!D15)</f>
        <v>180</v>
      </c>
      <c r="E16" s="96">
        <f t="shared" si="2"/>
        <v>13.52769098280684</v>
      </c>
      <c r="F16" s="109">
        <v>13.53</v>
      </c>
      <c r="G16" s="147">
        <f>806.5*100/93.2</f>
        <v>865.34334763948493</v>
      </c>
      <c r="H16" s="100" t="s">
        <v>11</v>
      </c>
      <c r="I16" s="100">
        <f>579.13*100/93.2</f>
        <v>621.38412017167377</v>
      </c>
      <c r="J16" s="100" t="s">
        <v>11</v>
      </c>
      <c r="K16" s="100">
        <f>1974.54*100/333</f>
        <v>592.95495495495493</v>
      </c>
      <c r="L16" s="100" t="s">
        <v>22</v>
      </c>
      <c r="M16" s="100">
        <f>1417.86*100/333</f>
        <v>425.7837837837838</v>
      </c>
      <c r="N16" s="100" t="s">
        <v>22</v>
      </c>
      <c r="O16" s="100"/>
      <c r="P16" s="100"/>
      <c r="Q16" s="100"/>
      <c r="R16" s="100"/>
      <c r="S16" s="100">
        <v>376.41</v>
      </c>
      <c r="T16" s="100">
        <f>47.78+284.16</f>
        <v>331.94000000000005</v>
      </c>
      <c r="U16" s="100"/>
      <c r="V16" s="46">
        <f>IFERROR(($G16*INDEX('Carbon factors'!$B$4:$B$10,MATCH($H16,Fuel_Type,0),1))+($K16*INDEX('Carbon factors'!$B$4:$B$10,MATCH($L16,Fuel_Type,0),1)),"")</f>
        <v>494.65778471175037</v>
      </c>
      <c r="W16" s="47">
        <f>IFERROR($M16*INDEX('Carbon factors'!$B$4:$B$10,MATCH($N16,Fuel_Type,0),1)+$I16*INDEX('Carbon factors'!$B$4:$B$10,MATCH($J16,Fuel_Type,0),1),"")</f>
        <v>355.20075374086537</v>
      </c>
      <c r="X16" s="47" t="str">
        <f>IFERROR($O16*INDEX('Carbon factors'!$B$4:$B$10,MATCH($P16,Fuel_Type,0),1),"")</f>
        <v/>
      </c>
      <c r="Y16" s="47" t="str">
        <f>IF(Q16="","",Q16*'Carbon factors'!$B$5)</f>
        <v/>
      </c>
      <c r="Z16" s="47" t="str">
        <f>IF(R16="","",R16*'Carbon factors'!$B$5)</f>
        <v/>
      </c>
      <c r="AA16" s="47">
        <f>IF(S16="","",S16*'Carbon factors'!$B$5)</f>
        <v>195.35679000000002</v>
      </c>
      <c r="AB16" s="47">
        <f>IF(T16="","",T16*'Carbon factors'!$B$5)</f>
        <v>172.27686000000003</v>
      </c>
      <c r="AC16" s="47" t="str">
        <f>IF(U16="","",U16*'Carbon factors'!$B$5)</f>
        <v/>
      </c>
      <c r="AD16" s="267">
        <f t="shared" si="3"/>
        <v>1217.4921884526157</v>
      </c>
      <c r="AE16" s="49">
        <f>IFERROR($G16*INDEX('Carbon factors'!$C$4:$C$10,MATCH($H16,Fuel_Type,0),1)+$K16*INDEX('Carbon factors'!$C$4:$C$10,MATCH($L16,Fuel_Type,0),1),"")</f>
        <v>319.88060750879629</v>
      </c>
      <c r="AF16" s="47">
        <f>IFERROR($I16*INDEX('Carbon factors'!$C$4:$C$10,MATCH($J16,Fuel_Type,0),1)+$M16*INDEX('Carbon factors'!$C$4:$C$10,MATCH($N16,Fuel_Type,0),1),"")</f>
        <v>229.69828685767311</v>
      </c>
      <c r="AG16" s="47" t="str">
        <f>IFERROR($O16*INDEX('Carbon factors'!$C$4:$C$10,MATCH($P16,Fuel_Type,0),1),"")</f>
        <v/>
      </c>
      <c r="AH16" s="47" t="str">
        <f>IF(Q16="","",Q16*'Carbon factors'!$C$5)</f>
        <v/>
      </c>
      <c r="AI16" s="47" t="str">
        <f>IF(R16="","",R16*'Carbon factors'!$C$5)</f>
        <v/>
      </c>
      <c r="AJ16" s="47">
        <f>IF(S16="","",S16*'Carbon factors'!$C$5)</f>
        <v>87.703530000000015</v>
      </c>
      <c r="AK16" s="47">
        <f>IF(T16="","",T16*'Carbon factors'!$C$5)</f>
        <v>77.342020000000019</v>
      </c>
      <c r="AL16" s="47" t="str">
        <f>IF(U16="","",U16*'Carbon factors'!$C$5)</f>
        <v/>
      </c>
      <c r="AM16" s="222">
        <f t="shared" si="0"/>
        <v>714.62444436646945</v>
      </c>
      <c r="AN16" s="61">
        <f t="shared" si="1"/>
        <v>7.9402716040718824</v>
      </c>
    </row>
    <row r="17" spans="1:40" ht="13.5" customHeight="1">
      <c r="A17" s="287" t="str">
        <f>IF(Baseline!A16="","",Baseline!A16)</f>
        <v>B1-A-03-01</v>
      </c>
      <c r="B17" s="141">
        <f>IF(Baseline!B16="","",Baseline!B16)</f>
        <v>74</v>
      </c>
      <c r="C17" s="141">
        <f>IF(Baseline!C16="","",Baseline!C16)</f>
        <v>1</v>
      </c>
      <c r="D17" s="288">
        <f>IF(Baseline!D16="","",Baseline!D16)</f>
        <v>74</v>
      </c>
      <c r="E17" s="96">
        <f t="shared" si="2"/>
        <v>13.454955451380508</v>
      </c>
      <c r="F17" s="109">
        <v>13.46</v>
      </c>
      <c r="G17" s="147">
        <f>568.3*100/93.2</f>
        <v>609.76394849785402</v>
      </c>
      <c r="H17" s="100" t="s">
        <v>11</v>
      </c>
      <c r="I17" s="100">
        <f>546.52*100/93.2</f>
        <v>586.3948497854077</v>
      </c>
      <c r="J17" s="100" t="s">
        <v>11</v>
      </c>
      <c r="K17" s="100">
        <f>1391.36*100/333</f>
        <v>417.8258258258258</v>
      </c>
      <c r="L17" s="100" t="s">
        <v>22</v>
      </c>
      <c r="M17" s="100">
        <f>1338.04*100/333</f>
        <v>401.81381381381379</v>
      </c>
      <c r="N17" s="100" t="s">
        <v>22</v>
      </c>
      <c r="O17" s="100"/>
      <c r="P17" s="100"/>
      <c r="Q17" s="100"/>
      <c r="R17" s="100"/>
      <c r="S17" s="100">
        <v>325.05</v>
      </c>
      <c r="T17" s="100">
        <f>38.44+178.42</f>
        <v>216.85999999999999</v>
      </c>
      <c r="U17" s="100">
        <v>59.06</v>
      </c>
      <c r="V17" s="46">
        <f>IFERROR(($G17*INDEX('Carbon factors'!$B$4:$B$10,MATCH($H17,Fuel_Type,0),1))+($K17*INDEX('Carbon factors'!$B$4:$B$10,MATCH($L17,Fuel_Type,0),1)),"")</f>
        <v>348.56061647914009</v>
      </c>
      <c r="W17" s="47">
        <f>IFERROR($M17*INDEX('Carbon factors'!$B$4:$B$10,MATCH($N17,Fuel_Type,0),1)+$I17*INDEX('Carbon factors'!$B$4:$B$10,MATCH($J17,Fuel_Type,0),1),"")</f>
        <v>335.20265692301746</v>
      </c>
      <c r="X17" s="47" t="str">
        <f>IFERROR($O17*INDEX('Carbon factors'!$B$4:$B$10,MATCH($P17,Fuel_Type,0),1),"")</f>
        <v/>
      </c>
      <c r="Y17" s="47" t="str">
        <f>IF(Q17="","",Q17*'Carbon factors'!$B$5)</f>
        <v/>
      </c>
      <c r="Z17" s="47" t="str">
        <f>IF(R17="","",R17*'Carbon factors'!$B$5)</f>
        <v/>
      </c>
      <c r="AA17" s="47">
        <f>IF(S17="","",S17*'Carbon factors'!$B$5)</f>
        <v>168.70095000000001</v>
      </c>
      <c r="AB17" s="47">
        <f>IF(T17="","",T17*'Carbon factors'!$B$5)</f>
        <v>112.55033999999999</v>
      </c>
      <c r="AC17" s="47">
        <f>IF(U17="","",U17*'Carbon factors'!$B$5)</f>
        <v>30.652140000000003</v>
      </c>
      <c r="AD17" s="267">
        <f t="shared" si="3"/>
        <v>995.66670340215762</v>
      </c>
      <c r="AE17" s="49">
        <f>IFERROR($G17*INDEX('Carbon factors'!$C$4:$C$10,MATCH($H17,Fuel_Type,0),1)+$K17*INDEX('Carbon factors'!$C$4:$C$10,MATCH($L17,Fuel_Type,0),1),"")</f>
        <v>225.40384660196673</v>
      </c>
      <c r="AF17" s="47">
        <f>IFERROR($I17*INDEX('Carbon factors'!$C$4:$C$10,MATCH($J17,Fuel_Type,0),1)+$M17*INDEX('Carbon factors'!$C$4:$C$10,MATCH($N17,Fuel_Type,0),1),"")</f>
        <v>216.76553707355424</v>
      </c>
      <c r="AG17" s="47" t="str">
        <f>IFERROR($O17*INDEX('Carbon factors'!$C$4:$C$10,MATCH($P17,Fuel_Type,0),1),"")</f>
        <v/>
      </c>
      <c r="AH17" s="47" t="str">
        <f>IF(Q17="","",Q17*'Carbon factors'!$C$5)</f>
        <v/>
      </c>
      <c r="AI17" s="47" t="str">
        <f>IF(R17="","",R17*'Carbon factors'!$C$5)</f>
        <v/>
      </c>
      <c r="AJ17" s="47">
        <f>IF(S17="","",S17*'Carbon factors'!$C$5)</f>
        <v>75.736650000000012</v>
      </c>
      <c r="AK17" s="47">
        <f>IF(T17="","",T17*'Carbon factors'!$C$5)</f>
        <v>50.528379999999999</v>
      </c>
      <c r="AL17" s="47">
        <f>IF(U17="","",U17*'Carbon factors'!$C$5)</f>
        <v>13.760980000000002</v>
      </c>
      <c r="AM17" s="222">
        <f t="shared" si="0"/>
        <v>582.19539367552102</v>
      </c>
      <c r="AN17" s="61">
        <f t="shared" si="1"/>
        <v>7.8675053199394736</v>
      </c>
    </row>
    <row r="18" spans="1:40" ht="13.5" customHeight="1">
      <c r="A18" s="287" t="str">
        <f>IF(Baseline!A17="","",Baseline!A17)</f>
        <v>B7-A-04-02</v>
      </c>
      <c r="B18" s="141">
        <f>IF(Baseline!B17="","",Baseline!B17)</f>
        <v>51</v>
      </c>
      <c r="C18" s="141">
        <f>IF(Baseline!C17="","",Baseline!C17)</f>
        <v>13</v>
      </c>
      <c r="D18" s="288">
        <f>IF(Baseline!D17="","",Baseline!D17)</f>
        <v>663</v>
      </c>
      <c r="E18" s="96">
        <f t="shared" si="2"/>
        <v>12.514300155760408</v>
      </c>
      <c r="F18" s="109">
        <v>12.51</v>
      </c>
      <c r="G18" s="147">
        <f>240.01*100/93.2</f>
        <v>257.5214592274678</v>
      </c>
      <c r="H18" s="100" t="s">
        <v>11</v>
      </c>
      <c r="I18" s="100">
        <f>476.02*100/93.2</f>
        <v>510.75107296137338</v>
      </c>
      <c r="J18" s="100" t="s">
        <v>11</v>
      </c>
      <c r="K18" s="100">
        <f>587.6*100/333</f>
        <v>176.45645645645646</v>
      </c>
      <c r="L18" s="100" t="s">
        <v>22</v>
      </c>
      <c r="M18" s="100">
        <f>1165.43*100/333</f>
        <v>349.978978978979</v>
      </c>
      <c r="N18" s="100" t="s">
        <v>22</v>
      </c>
      <c r="O18" s="100"/>
      <c r="P18" s="100"/>
      <c r="Q18" s="100"/>
      <c r="R18" s="100"/>
      <c r="S18" s="100">
        <v>235.9</v>
      </c>
      <c r="T18" s="100">
        <f>24.69+122.96</f>
        <v>147.65</v>
      </c>
      <c r="U18" s="100"/>
      <c r="V18" s="46">
        <f>IFERROR(($G18*INDEX('Carbon factors'!$B$4:$B$10,MATCH($H18,Fuel_Type,0),1))+($K18*INDEX('Carbon factors'!$B$4:$B$10,MATCH($L18,Fuel_Type,0),1)),"")</f>
        <v>147.20553609403396</v>
      </c>
      <c r="W18" s="47">
        <f>IFERROR($M18*INDEX('Carbon factors'!$B$4:$B$10,MATCH($N18,Fuel_Type,0),1)+$I18*INDEX('Carbon factors'!$B$4:$B$10,MATCH($J18,Fuel_Type,0),1),"")</f>
        <v>291.96132184974675</v>
      </c>
      <c r="X18" s="47" t="str">
        <f>IFERROR($O18*INDEX('Carbon factors'!$B$4:$B$10,MATCH($P18,Fuel_Type,0),1),"")</f>
        <v/>
      </c>
      <c r="Y18" s="47" t="str">
        <f>IF(Q18="","",Q18*'Carbon factors'!$B$5)</f>
        <v/>
      </c>
      <c r="Z18" s="47" t="str">
        <f>IF(R18="","",R18*'Carbon factors'!$B$5)</f>
        <v/>
      </c>
      <c r="AA18" s="47">
        <f>IF(S18="","",S18*'Carbon factors'!$B$5)</f>
        <v>122.43210000000001</v>
      </c>
      <c r="AB18" s="47">
        <f>IF(T18="","",T18*'Carbon factors'!$B$5)</f>
        <v>76.630350000000007</v>
      </c>
      <c r="AC18" s="47" t="str">
        <f>IF(U18="","",U18*'Carbon factors'!$B$5)</f>
        <v/>
      </c>
      <c r="AD18" s="267">
        <f t="shared" si="3"/>
        <v>638.22930794378078</v>
      </c>
      <c r="AE18" s="49">
        <f>IFERROR($G18*INDEX('Carbon factors'!$C$4:$C$10,MATCH($H18,Fuel_Type,0),1)+$K18*INDEX('Carbon factors'!$C$4:$C$10,MATCH($L18,Fuel_Type,0),1),"")</f>
        <v>95.193860792122592</v>
      </c>
      <c r="AF18" s="47">
        <f>IFERROR($I18*INDEX('Carbon factors'!$C$4:$C$10,MATCH($J18,Fuel_Type,0),1)+$M18*INDEX('Carbon factors'!$C$4:$C$10,MATCH($N18,Fuel_Type,0),1),"")</f>
        <v>188.80282742399049</v>
      </c>
      <c r="AG18" s="47" t="str">
        <f>IFERROR($O18*INDEX('Carbon factors'!$C$4:$C$10,MATCH($P18,Fuel_Type,0),1),"")</f>
        <v/>
      </c>
      <c r="AH18" s="47" t="str">
        <f>IF(Q18="","",Q18*'Carbon factors'!$C$5)</f>
        <v/>
      </c>
      <c r="AI18" s="47" t="str">
        <f>IF(R18="","",R18*'Carbon factors'!$C$5)</f>
        <v/>
      </c>
      <c r="AJ18" s="47">
        <f>IF(S18="","",S18*'Carbon factors'!$C$5)</f>
        <v>54.964700000000008</v>
      </c>
      <c r="AK18" s="47">
        <f>IF(T18="","",T18*'Carbon factors'!$C$5)</f>
        <v>34.402450000000002</v>
      </c>
      <c r="AL18" s="47" t="str">
        <f>IF(U18="","",U18*'Carbon factors'!$C$5)</f>
        <v/>
      </c>
      <c r="AM18" s="222">
        <f t="shared" si="0"/>
        <v>373.36383821611304</v>
      </c>
      <c r="AN18" s="61">
        <f t="shared" si="1"/>
        <v>7.3208595728649613</v>
      </c>
    </row>
    <row r="19" spans="1:40" ht="13.5" customHeight="1">
      <c r="A19" s="287" t="str">
        <f>IF(Baseline!A18="","",Baseline!A18)</f>
        <v>B1-A-04-03</v>
      </c>
      <c r="B19" s="141">
        <f>IF(Baseline!B18="","",Baseline!B18)</f>
        <v>73</v>
      </c>
      <c r="C19" s="141">
        <f>IF(Baseline!C18="","",Baseline!C18)</f>
        <v>10</v>
      </c>
      <c r="D19" s="288">
        <f>IF(Baseline!D18="","",Baseline!D18)</f>
        <v>730</v>
      </c>
      <c r="E19" s="96">
        <f t="shared" si="2"/>
        <v>11.300717067599082</v>
      </c>
      <c r="F19" s="109">
        <v>11.3</v>
      </c>
      <c r="G19" s="147">
        <f>288.24*100/93.2</f>
        <v>309.27038626609442</v>
      </c>
      <c r="H19" s="100" t="s">
        <v>11</v>
      </c>
      <c r="I19" s="100">
        <f>543.97*100/93.2</f>
        <v>583.65879828326183</v>
      </c>
      <c r="J19" s="100" t="s">
        <v>11</v>
      </c>
      <c r="K19" s="100">
        <f>705.68*100/333</f>
        <v>211.91591591591592</v>
      </c>
      <c r="L19" s="100" t="s">
        <v>22</v>
      </c>
      <c r="M19" s="100">
        <f>1331.78*100/333</f>
        <v>399.93393393393393</v>
      </c>
      <c r="N19" s="100" t="s">
        <v>22</v>
      </c>
      <c r="O19" s="100"/>
      <c r="P19" s="100"/>
      <c r="Q19" s="100"/>
      <c r="R19" s="100"/>
      <c r="S19" s="100">
        <v>321.49</v>
      </c>
      <c r="T19" s="100">
        <f>28.7+176</f>
        <v>204.7</v>
      </c>
      <c r="U19" s="100">
        <v>79.84</v>
      </c>
      <c r="V19" s="46">
        <f>IFERROR(($G19*INDEX('Carbon factors'!$B$4:$B$10,MATCH($H19,Fuel_Type,0),1))+($K19*INDEX('Carbon factors'!$B$4:$B$10,MATCH($L19,Fuel_Type,0),1)),"")</f>
        <v>176.78676379383677</v>
      </c>
      <c r="W19" s="47">
        <f>IFERROR($M19*INDEX('Carbon factors'!$B$4:$B$10,MATCH($N19,Fuel_Type,0),1)+$I19*INDEX('Carbon factors'!$B$4:$B$10,MATCH($J19,Fuel_Type,0),1),"")</f>
        <v>333.63601214089624</v>
      </c>
      <c r="X19" s="47" t="str">
        <f>IFERROR($O19*INDEX('Carbon factors'!$B$4:$B$10,MATCH($P19,Fuel_Type,0),1),"")</f>
        <v/>
      </c>
      <c r="Y19" s="47" t="str">
        <f>IF(Q19="","",Q19*'Carbon factors'!$B$5)</f>
        <v/>
      </c>
      <c r="Z19" s="47" t="str">
        <f>IF(R19="","",R19*'Carbon factors'!$B$5)</f>
        <v/>
      </c>
      <c r="AA19" s="47">
        <f>IF(S19="","",S19*'Carbon factors'!$B$5)</f>
        <v>166.85331000000002</v>
      </c>
      <c r="AB19" s="47">
        <f>IF(T19="","",T19*'Carbon factors'!$B$5)</f>
        <v>106.2393</v>
      </c>
      <c r="AC19" s="47">
        <f>IF(U19="","",U19*'Carbon factors'!$B$5)</f>
        <v>41.436960000000006</v>
      </c>
      <c r="AD19" s="267">
        <f t="shared" si="3"/>
        <v>824.95234593473299</v>
      </c>
      <c r="AE19" s="49">
        <f>IFERROR($G19*INDEX('Carbon factors'!$C$4:$C$10,MATCH($H19,Fuel_Type,0),1)+$K19*INDEX('Carbon factors'!$C$4:$C$10,MATCH($L19,Fuel_Type,0),1),"")</f>
        <v>114.32318952428824</v>
      </c>
      <c r="AF19" s="47">
        <f>IFERROR($I19*INDEX('Carbon factors'!$C$4:$C$10,MATCH($J19,Fuel_Type,0),1)+$M19*INDEX('Carbon factors'!$C$4:$C$10,MATCH($N19,Fuel_Type,0),1),"")</f>
        <v>215.75295424609158</v>
      </c>
      <c r="AG19" s="47" t="str">
        <f>IFERROR($O19*INDEX('Carbon factors'!$C$4:$C$10,MATCH($P19,Fuel_Type,0),1),"")</f>
        <v/>
      </c>
      <c r="AH19" s="47" t="str">
        <f>IF(Q19="","",Q19*'Carbon factors'!$C$5)</f>
        <v/>
      </c>
      <c r="AI19" s="47" t="str">
        <f>IF(R19="","",R19*'Carbon factors'!$C$5)</f>
        <v/>
      </c>
      <c r="AJ19" s="47">
        <f>IF(S19="","",S19*'Carbon factors'!$C$5)</f>
        <v>74.907170000000008</v>
      </c>
      <c r="AK19" s="47">
        <f>IF(T19="","",T19*'Carbon factors'!$C$5)</f>
        <v>47.695099999999996</v>
      </c>
      <c r="AL19" s="47">
        <f>IF(U19="","",U19*'Carbon factors'!$C$5)</f>
        <v>18.602720000000001</v>
      </c>
      <c r="AM19" s="222">
        <f t="shared" si="0"/>
        <v>471.28113377037982</v>
      </c>
      <c r="AN19" s="61">
        <f t="shared" si="1"/>
        <v>6.4559059420599976</v>
      </c>
    </row>
    <row r="20" spans="1:40" ht="13.5" customHeight="1">
      <c r="A20" s="287" t="str">
        <f>IF(Baseline!A19="","",Baseline!A19)</f>
        <v>B7-A-13-01</v>
      </c>
      <c r="B20" s="141">
        <f>IF(Baseline!B19="","",Baseline!B19)</f>
        <v>95</v>
      </c>
      <c r="C20" s="141">
        <f>IF(Baseline!C19="","",Baseline!C19)</f>
        <v>1</v>
      </c>
      <c r="D20" s="288">
        <f>IF(Baseline!D19="","",Baseline!D19)</f>
        <v>95</v>
      </c>
      <c r="E20" s="96">
        <f t="shared" si="2"/>
        <v>13.910017781301065</v>
      </c>
      <c r="F20" s="109">
        <v>13.91</v>
      </c>
      <c r="G20" s="147">
        <f>996.38*100/93.2</f>
        <v>1069.0772532188842</v>
      </c>
      <c r="H20" s="100" t="s">
        <v>11</v>
      </c>
      <c r="I20" s="100">
        <f>586.23*100/93.2</f>
        <v>629.00214592274676</v>
      </c>
      <c r="J20" s="100" t="s">
        <v>11</v>
      </c>
      <c r="K20" s="100">
        <f>2439.41*100/333</f>
        <v>732.55555555555554</v>
      </c>
      <c r="L20" s="100" t="s">
        <v>22</v>
      </c>
      <c r="M20" s="100">
        <f>1435.26*100/333</f>
        <v>431.00900900900899</v>
      </c>
      <c r="N20" s="100" t="s">
        <v>22</v>
      </c>
      <c r="O20" s="100"/>
      <c r="P20" s="100"/>
      <c r="Q20" s="100"/>
      <c r="R20" s="100"/>
      <c r="S20" s="100">
        <v>392.25</v>
      </c>
      <c r="T20" s="100">
        <f>54.57+229.05</f>
        <v>283.62</v>
      </c>
      <c r="U20" s="100"/>
      <c r="V20" s="46">
        <f>IFERROR(($G20*INDEX('Carbon factors'!$B$4:$B$10,MATCH($H20,Fuel_Type,0),1))+($K20*INDEX('Carbon factors'!$B$4:$B$10,MATCH($L20,Fuel_Type,0),1)),"")</f>
        <v>611.11702002861227</v>
      </c>
      <c r="W20" s="47">
        <f>IFERROR($M20*INDEX('Carbon factors'!$B$4:$B$10,MATCH($N20,Fuel_Type,0),1)+$I20*INDEX('Carbon factors'!$B$4:$B$10,MATCH($J20,Fuel_Type,0),1),"")</f>
        <v>359.55813919498894</v>
      </c>
      <c r="X20" s="47" t="str">
        <f>IFERROR($O20*INDEX('Carbon factors'!$B$4:$B$10,MATCH($P20,Fuel_Type,0),1),"")</f>
        <v/>
      </c>
      <c r="Y20" s="47" t="str">
        <f>IF(Q20="","",Q20*'Carbon factors'!$B$5)</f>
        <v/>
      </c>
      <c r="Z20" s="47" t="str">
        <f>IF(R20="","",R20*'Carbon factors'!$B$5)</f>
        <v/>
      </c>
      <c r="AA20" s="47">
        <f>IF(S20="","",S20*'Carbon factors'!$B$5)</f>
        <v>203.57775000000001</v>
      </c>
      <c r="AB20" s="47">
        <f>IF(T20="","",T20*'Carbon factors'!$B$5)</f>
        <v>147.19878</v>
      </c>
      <c r="AC20" s="47" t="str">
        <f>IF(U20="","",U20*'Carbon factors'!$B$5)</f>
        <v/>
      </c>
      <c r="AD20" s="267">
        <f t="shared" si="3"/>
        <v>1321.4516892236011</v>
      </c>
      <c r="AE20" s="49">
        <f>IFERROR($G20*INDEX('Carbon factors'!$C$4:$C$10,MATCH($H20,Fuel_Type,0),1)+$K20*INDEX('Carbon factors'!$C$4:$C$10,MATCH($L20,Fuel_Type,0),1),"")</f>
        <v>395.1916676204101</v>
      </c>
      <c r="AF20" s="47">
        <f>IFERROR($I20*INDEX('Carbon factors'!$C$4:$C$10,MATCH($J20,Fuel_Type,0),1)+$M20*INDEX('Carbon factors'!$C$4:$C$10,MATCH($N20,Fuel_Type,0),1),"")</f>
        <v>232.51554974287592</v>
      </c>
      <c r="AG20" s="47" t="str">
        <f>IFERROR($O20*INDEX('Carbon factors'!$C$4:$C$10,MATCH($P20,Fuel_Type,0),1),"")</f>
        <v/>
      </c>
      <c r="AH20" s="47" t="str">
        <f>IF(Q20="","",Q20*'Carbon factors'!$C$5)</f>
        <v/>
      </c>
      <c r="AI20" s="47" t="str">
        <f>IF(R20="","",R20*'Carbon factors'!$C$5)</f>
        <v/>
      </c>
      <c r="AJ20" s="47">
        <f>IF(S20="","",S20*'Carbon factors'!$C$5)</f>
        <v>91.39425</v>
      </c>
      <c r="AK20" s="47">
        <f>IF(T20="","",T20*'Carbon factors'!$C$5)</f>
        <v>66.083460000000002</v>
      </c>
      <c r="AL20" s="47" t="str">
        <f>IF(U20="","",U20*'Carbon factors'!$C$5)</f>
        <v/>
      </c>
      <c r="AM20" s="222">
        <f t="shared" si="0"/>
        <v>785.18492736328608</v>
      </c>
      <c r="AN20" s="61">
        <f t="shared" si="1"/>
        <v>8.2651044985609055</v>
      </c>
    </row>
    <row r="21" spans="1:40" ht="13.5" customHeight="1">
      <c r="A21" s="287" t="str">
        <f>IF(Baseline!A20="","",Baseline!A20)</f>
        <v>B5-B-02-03</v>
      </c>
      <c r="B21" s="141">
        <f>IF(Baseline!B20="","",Baseline!B20)</f>
        <v>53</v>
      </c>
      <c r="C21" s="141">
        <f>IF(Baseline!C20="","",Baseline!C20)</f>
        <v>4</v>
      </c>
      <c r="D21" s="288">
        <f>IF(Baseline!D20="","",Baseline!D20)</f>
        <v>212</v>
      </c>
      <c r="E21" s="96">
        <f t="shared" si="2"/>
        <v>12.706776083762115</v>
      </c>
      <c r="F21" s="109">
        <v>12.71</v>
      </c>
      <c r="G21" s="147">
        <f>271.54*100/93.2</f>
        <v>291.35193133047215</v>
      </c>
      <c r="H21" s="100" t="s">
        <v>11</v>
      </c>
      <c r="I21" s="100">
        <f>482.73*100/93.2</f>
        <v>517.95064377682399</v>
      </c>
      <c r="J21" s="100" t="s">
        <v>11</v>
      </c>
      <c r="K21" s="100">
        <f>664.79*100/333</f>
        <v>199.63663663663664</v>
      </c>
      <c r="L21" s="100" t="s">
        <v>22</v>
      </c>
      <c r="M21" s="100">
        <f>1181.86*100/333</f>
        <v>354.91291291291287</v>
      </c>
      <c r="N21" s="100" t="s">
        <v>22</v>
      </c>
      <c r="O21" s="100"/>
      <c r="P21" s="100"/>
      <c r="Q21" s="100"/>
      <c r="R21" s="100"/>
      <c r="S21" s="100">
        <v>252.45</v>
      </c>
      <c r="T21" s="100">
        <f>26.01+127.78</f>
        <v>153.79</v>
      </c>
      <c r="U21" s="100"/>
      <c r="V21" s="46">
        <f>IFERROR(($G21*INDEX('Carbon factors'!$B$4:$B$10,MATCH($H21,Fuel_Type,0),1))+($K21*INDEX('Carbon factors'!$B$4:$B$10,MATCH($L21,Fuel_Type,0),1)),"")</f>
        <v>166.5434315817964</v>
      </c>
      <c r="W21" s="47">
        <f>IFERROR($M21*INDEX('Carbon factors'!$B$4:$B$10,MATCH($N21,Fuel_Type,0),1)+$I21*INDEX('Carbon factors'!$B$4:$B$10,MATCH($J21,Fuel_Type,0),1),"")</f>
        <v>296.07714085759574</v>
      </c>
      <c r="X21" s="47" t="str">
        <f>IFERROR($O21*INDEX('Carbon factors'!$B$4:$B$10,MATCH($P21,Fuel_Type,0),1),"")</f>
        <v/>
      </c>
      <c r="Y21" s="47" t="str">
        <f>IF(Q21="","",Q21*'Carbon factors'!$B$5)</f>
        <v/>
      </c>
      <c r="Z21" s="47" t="str">
        <f>IF(R21="","",R21*'Carbon factors'!$B$5)</f>
        <v/>
      </c>
      <c r="AA21" s="47">
        <f>IF(S21="","",S21*'Carbon factors'!$B$5)</f>
        <v>131.02154999999999</v>
      </c>
      <c r="AB21" s="47">
        <f>IF(T21="","",T21*'Carbon factors'!$B$5)</f>
        <v>79.817009999999996</v>
      </c>
      <c r="AC21" s="47" t="str">
        <f>IF(U21="","",U21*'Carbon factors'!$B$5)</f>
        <v/>
      </c>
      <c r="AD21" s="267">
        <f t="shared" si="3"/>
        <v>673.45913243939208</v>
      </c>
      <c r="AE21" s="49">
        <f>IFERROR($G21*INDEX('Carbon factors'!$C$4:$C$10,MATCH($H21,Fuel_Type,0),1)+$K21*INDEX('Carbon factors'!$C$4:$C$10,MATCH($L21,Fuel_Type,0),1),"")</f>
        <v>107.69924191573548</v>
      </c>
      <c r="AF21" s="47">
        <f>IFERROR($I21*INDEX('Carbon factors'!$C$4:$C$10,MATCH($J21,Fuel_Type,0),1)+$M21*INDEX('Carbon factors'!$C$4:$C$10,MATCH($N21,Fuel_Type,0),1),"")</f>
        <v>191.46434390184174</v>
      </c>
      <c r="AG21" s="47" t="str">
        <f>IFERROR($O21*INDEX('Carbon factors'!$C$4:$C$10,MATCH($P21,Fuel_Type,0),1),"")</f>
        <v/>
      </c>
      <c r="AH21" s="47" t="str">
        <f>IF(Q21="","",Q21*'Carbon factors'!$C$5)</f>
        <v/>
      </c>
      <c r="AI21" s="47" t="str">
        <f>IF(R21="","",R21*'Carbon factors'!$C$5)</f>
        <v/>
      </c>
      <c r="AJ21" s="47">
        <f>IF(S21="","",S21*'Carbon factors'!$C$5)</f>
        <v>58.82085</v>
      </c>
      <c r="AK21" s="47">
        <f>IF(T21="","",T21*'Carbon factors'!$C$5)</f>
        <v>35.833069999999999</v>
      </c>
      <c r="AL21" s="47" t="str">
        <f>IF(U21="","",U21*'Carbon factors'!$C$5)</f>
        <v/>
      </c>
      <c r="AM21" s="222">
        <f t="shared" si="0"/>
        <v>393.81750581757723</v>
      </c>
      <c r="AN21" s="61">
        <f t="shared" si="1"/>
        <v>7.4305189776901361</v>
      </c>
    </row>
    <row r="22" spans="1:40" ht="13.5" customHeight="1">
      <c r="A22" s="287" t="str">
        <f>IF(Baseline!A21="","",Baseline!A21)</f>
        <v>B5-B-02-05</v>
      </c>
      <c r="B22" s="141">
        <f>IF(Baseline!B21="","",Baseline!B21)</f>
        <v>50</v>
      </c>
      <c r="C22" s="141">
        <f>IF(Baseline!C21="","",Baseline!C21)</f>
        <v>1</v>
      </c>
      <c r="D22" s="288">
        <f>IF(Baseline!D21="","",Baseline!D21)</f>
        <v>50</v>
      </c>
      <c r="E22" s="96">
        <f t="shared" si="2"/>
        <v>13.668643658430963</v>
      </c>
      <c r="F22" s="109">
        <v>13.67</v>
      </c>
      <c r="G22" s="147">
        <f>320.32*100/93.2</f>
        <v>343.6909871244635</v>
      </c>
      <c r="H22" s="100" t="s">
        <v>11</v>
      </c>
      <c r="I22" s="100">
        <f>472.67*100/93.2</f>
        <v>507.15665236051501</v>
      </c>
      <c r="J22" s="100" t="s">
        <v>11</v>
      </c>
      <c r="K22" s="100">
        <f>784.22*100/333</f>
        <v>235.50150150150151</v>
      </c>
      <c r="L22" s="100" t="s">
        <v>22</v>
      </c>
      <c r="M22" s="100">
        <f>1157.22*100/333</f>
        <v>347.51351351351349</v>
      </c>
      <c r="N22" s="100" t="s">
        <v>22</v>
      </c>
      <c r="O22" s="100"/>
      <c r="P22" s="100"/>
      <c r="Q22" s="100"/>
      <c r="R22" s="100"/>
      <c r="S22" s="100">
        <v>231.81</v>
      </c>
      <c r="T22" s="100">
        <f>27.34+120.55</f>
        <v>147.88999999999999</v>
      </c>
      <c r="U22" s="100"/>
      <c r="V22" s="46">
        <f>IFERROR(($G22*INDEX('Carbon factors'!$B$4:$B$10,MATCH($H22,Fuel_Type,0),1))+($K22*INDEX('Carbon factors'!$B$4:$B$10,MATCH($L22,Fuel_Type,0),1)),"")</f>
        <v>196.4625324981634</v>
      </c>
      <c r="W22" s="47">
        <f>IFERROR($M22*INDEX('Carbon factors'!$B$4:$B$10,MATCH($N22,Fuel_Type,0),1)+$I22*INDEX('Carbon factors'!$B$4:$B$10,MATCH($J22,Fuel_Type,0),1),"")</f>
        <v>289.90535042338479</v>
      </c>
      <c r="X22" s="47" t="str">
        <f>IFERROR($O22*INDEX('Carbon factors'!$B$4:$B$10,MATCH($P22,Fuel_Type,0),1),"")</f>
        <v/>
      </c>
      <c r="Y22" s="47" t="str">
        <f>IF(Q22="","",Q22*'Carbon factors'!$B$5)</f>
        <v/>
      </c>
      <c r="Z22" s="47" t="str">
        <f>IF(R22="","",R22*'Carbon factors'!$B$5)</f>
        <v/>
      </c>
      <c r="AA22" s="47">
        <f>IF(S22="","",S22*'Carbon factors'!$B$5)</f>
        <v>120.30939000000001</v>
      </c>
      <c r="AB22" s="47">
        <f>IF(T22="","",T22*'Carbon factors'!$B$5)</f>
        <v>76.754909999999995</v>
      </c>
      <c r="AC22" s="47" t="str">
        <f>IF(U22="","",U22*'Carbon factors'!$B$5)</f>
        <v/>
      </c>
      <c r="AD22" s="267">
        <f t="shared" si="3"/>
        <v>683.43218292154813</v>
      </c>
      <c r="AE22" s="49">
        <f>IFERROR($G22*INDEX('Carbon factors'!$C$4:$C$10,MATCH($H22,Fuel_Type,0),1)+$K22*INDEX('Carbon factors'!$C$4:$C$10,MATCH($L22,Fuel_Type,0),1),"")</f>
        <v>127.04695714598718</v>
      </c>
      <c r="AF22" s="47">
        <f>IFERROR($I22*INDEX('Carbon factors'!$C$4:$C$10,MATCH($J22,Fuel_Type,0),1)+$M22*INDEX('Carbon factors'!$C$4:$C$10,MATCH($N22,Fuel_Type,0),1),"")</f>
        <v>187.47354564435679</v>
      </c>
      <c r="AG22" s="47" t="str">
        <f>IFERROR($O22*INDEX('Carbon factors'!$C$4:$C$10,MATCH($P22,Fuel_Type,0),1),"")</f>
        <v/>
      </c>
      <c r="AH22" s="47" t="str">
        <f>IF(Q22="","",Q22*'Carbon factors'!$C$5)</f>
        <v/>
      </c>
      <c r="AI22" s="47" t="str">
        <f>IF(R22="","",R22*'Carbon factors'!$C$5)</f>
        <v/>
      </c>
      <c r="AJ22" s="47">
        <f>IF(S22="","",S22*'Carbon factors'!$C$5)</f>
        <v>54.01173</v>
      </c>
      <c r="AK22" s="47">
        <f>IF(T22="","",T22*'Carbon factors'!$C$5)</f>
        <v>34.458370000000002</v>
      </c>
      <c r="AL22" s="47" t="str">
        <f>IF(U22="","",U22*'Carbon factors'!$C$5)</f>
        <v/>
      </c>
      <c r="AM22" s="222">
        <f t="shared" si="0"/>
        <v>402.99060279034398</v>
      </c>
      <c r="AN22" s="61">
        <f t="shared" si="1"/>
        <v>8.05981205580688</v>
      </c>
    </row>
    <row r="23" spans="1:40" ht="13.5" customHeight="1">
      <c r="A23" s="287" t="str">
        <f>IF(Baseline!A22="","",Baseline!A22)</f>
        <v>B5-B-02-08</v>
      </c>
      <c r="B23" s="141">
        <f>IF(Baseline!B22="","",Baseline!B22)</f>
        <v>57</v>
      </c>
      <c r="C23" s="141">
        <f>IF(Baseline!C22="","",Baseline!C22)</f>
        <v>2</v>
      </c>
      <c r="D23" s="288">
        <f>IF(Baseline!D22="","",Baseline!D22)</f>
        <v>114</v>
      </c>
      <c r="E23" s="96">
        <f t="shared" si="2"/>
        <v>14.077380225601702</v>
      </c>
      <c r="F23" s="109">
        <v>14.08</v>
      </c>
      <c r="G23" s="147">
        <f>448.11*100/93.2</f>
        <v>480.80472103004291</v>
      </c>
      <c r="H23" s="100" t="s">
        <v>11</v>
      </c>
      <c r="I23" s="100">
        <f>496.06*100/93.2</f>
        <v>532.2532188841202</v>
      </c>
      <c r="J23" s="100" t="s">
        <v>11</v>
      </c>
      <c r="K23" s="100">
        <f>1097.1*100/333</f>
        <v>329.45945945945942</v>
      </c>
      <c r="L23" s="100" t="s">
        <v>22</v>
      </c>
      <c r="M23" s="100">
        <f>1214.49*100/333</f>
        <v>364.7117117117117</v>
      </c>
      <c r="N23" s="100" t="s">
        <v>22</v>
      </c>
      <c r="O23" s="100"/>
      <c r="P23" s="100"/>
      <c r="Q23" s="100"/>
      <c r="R23" s="100"/>
      <c r="S23" s="100">
        <v>260.29000000000002</v>
      </c>
      <c r="T23" s="100">
        <f>32.56+137.43</f>
        <v>169.99</v>
      </c>
      <c r="U23" s="100"/>
      <c r="V23" s="46">
        <f>IFERROR(($G23*INDEX('Carbon factors'!$B$4:$B$10,MATCH($H23,Fuel_Type,0),1))+($K23*INDEX('Carbon factors'!$B$4:$B$10,MATCH($L23,Fuel_Type,0),1)),"")</f>
        <v>274.84327920194869</v>
      </c>
      <c r="W23" s="47">
        <f>IFERROR($M23*INDEX('Carbon factors'!$B$4:$B$10,MATCH($N23,Fuel_Type,0),1)+$I23*INDEX('Carbon factors'!$B$4:$B$10,MATCH($J23,Fuel_Type,0),1),"")</f>
        <v>304.25207365734832</v>
      </c>
      <c r="X23" s="47" t="str">
        <f>IFERROR($O23*INDEX('Carbon factors'!$B$4:$B$10,MATCH($P23,Fuel_Type,0),1),"")</f>
        <v/>
      </c>
      <c r="Y23" s="47" t="str">
        <f>IF(Q23="","",Q23*'Carbon factors'!$B$5)</f>
        <v/>
      </c>
      <c r="Z23" s="47" t="str">
        <f>IF(R23="","",R23*'Carbon factors'!$B$5)</f>
        <v/>
      </c>
      <c r="AA23" s="47">
        <f>IF(S23="","",S23*'Carbon factors'!$B$5)</f>
        <v>135.09051000000002</v>
      </c>
      <c r="AB23" s="47">
        <f>IF(T23="","",T23*'Carbon factors'!$B$5)</f>
        <v>88.224810000000005</v>
      </c>
      <c r="AC23" s="47" t="str">
        <f>IF(U23="","",U23*'Carbon factors'!$B$5)</f>
        <v/>
      </c>
      <c r="AD23" s="267">
        <f t="shared" si="3"/>
        <v>802.41067285929705</v>
      </c>
      <c r="AE23" s="49">
        <f>IFERROR($G23*INDEX('Carbon factors'!$C$4:$C$10,MATCH($H23,Fuel_Type,0),1)+$K23*INDEX('Carbon factors'!$C$4:$C$10,MATCH($L23,Fuel_Type,0),1),"")</f>
        <v>177.73304547036307</v>
      </c>
      <c r="AF23" s="47">
        <f>IFERROR($I23*INDEX('Carbon factors'!$C$4:$C$10,MATCH($J23,Fuel_Type,0),1)+$M23*INDEX('Carbon factors'!$C$4:$C$10,MATCH($N23,Fuel_Type,0),1),"")</f>
        <v>196.75100479449407</v>
      </c>
      <c r="AG23" s="47" t="str">
        <f>IFERROR($O23*INDEX('Carbon factors'!$C$4:$C$10,MATCH($P23,Fuel_Type,0),1),"")</f>
        <v/>
      </c>
      <c r="AH23" s="47" t="str">
        <f>IF(Q23="","",Q23*'Carbon factors'!$C$5)</f>
        <v/>
      </c>
      <c r="AI23" s="47" t="str">
        <f>IF(R23="","",R23*'Carbon factors'!$C$5)</f>
        <v/>
      </c>
      <c r="AJ23" s="47">
        <f>IF(S23="","",S23*'Carbon factors'!$C$5)</f>
        <v>60.647570000000009</v>
      </c>
      <c r="AK23" s="47">
        <f>IF(T23="","",T23*'Carbon factors'!$C$5)</f>
        <v>39.607670000000006</v>
      </c>
      <c r="AL23" s="47" t="str">
        <f>IF(U23="","",U23*'Carbon factors'!$C$5)</f>
        <v/>
      </c>
      <c r="AM23" s="222">
        <f t="shared" si="0"/>
        <v>474.73929026485717</v>
      </c>
      <c r="AN23" s="61">
        <f t="shared" si="1"/>
        <v>8.3287594783308272</v>
      </c>
    </row>
    <row r="24" spans="1:40" ht="13.5" customHeight="1">
      <c r="A24" s="287" t="str">
        <f>IF(Baseline!A23="","",Baseline!A23)</f>
        <v>B5-02-H4</v>
      </c>
      <c r="B24" s="141">
        <f>IF(Baseline!B23="","",Baseline!B23)</f>
        <v>124</v>
      </c>
      <c r="C24" s="141">
        <f>IF(Baseline!C23="","",Baseline!C23)</f>
        <v>4</v>
      </c>
      <c r="D24" s="288">
        <f>IF(Baseline!D23="","",Baseline!D23)</f>
        <v>496</v>
      </c>
      <c r="E24" s="96">
        <f t="shared" si="2"/>
        <v>13.471330148730347</v>
      </c>
      <c r="F24" s="109">
        <v>13.47</v>
      </c>
      <c r="G24" s="147">
        <f>1617.33*100/93.2</f>
        <v>1735.3326180257511</v>
      </c>
      <c r="H24" s="100" t="s">
        <v>11</v>
      </c>
      <c r="I24" s="100">
        <f>607.78*100/93.2</f>
        <v>652.12446351931328</v>
      </c>
      <c r="J24" s="100" t="s">
        <v>11</v>
      </c>
      <c r="K24" s="100">
        <f>3959.67*100/333</f>
        <v>1189.0900900900901</v>
      </c>
      <c r="L24" s="100" t="s">
        <v>22</v>
      </c>
      <c r="M24" s="100">
        <f>1488.01*100/333</f>
        <v>446.84984984984987</v>
      </c>
      <c r="N24" s="100" t="s">
        <v>22</v>
      </c>
      <c r="O24" s="100"/>
      <c r="P24" s="100"/>
      <c r="Q24" s="100"/>
      <c r="R24" s="100"/>
      <c r="S24" s="100">
        <v>457.11</v>
      </c>
      <c r="T24" s="100">
        <f>76.73+55.18</f>
        <v>131.91</v>
      </c>
      <c r="U24" s="100"/>
      <c r="V24" s="46">
        <f>IFERROR(($G24*INDEX('Carbon factors'!$B$4:$B$10,MATCH($H24,Fuel_Type,0),1))+($K24*INDEX('Carbon factors'!$B$4:$B$10,MATCH($L24,Fuel_Type,0),1)),"")</f>
        <v>991.9696022503191</v>
      </c>
      <c r="W24" s="47">
        <f>IFERROR($M24*INDEX('Carbon factors'!$B$4:$B$10,MATCH($N24,Fuel_Type,0),1)+$I24*INDEX('Carbon factors'!$B$4:$B$10,MATCH($J24,Fuel_Type,0),1),"")</f>
        <v>372.77395619224376</v>
      </c>
      <c r="X24" s="47" t="str">
        <f>IFERROR($O24*INDEX('Carbon factors'!$B$4:$B$10,MATCH($P24,Fuel_Type,0),1),"")</f>
        <v/>
      </c>
      <c r="Y24" s="47" t="str">
        <f>IF(Q24="","",Q24*'Carbon factors'!$B$5)</f>
        <v/>
      </c>
      <c r="Z24" s="47" t="str">
        <f>IF(R24="","",R24*'Carbon factors'!$B$5)</f>
        <v/>
      </c>
      <c r="AA24" s="47">
        <f>IF(S24="","",S24*'Carbon factors'!$B$5)</f>
        <v>237.24009000000001</v>
      </c>
      <c r="AB24" s="47">
        <f>IF(T24="","",T24*'Carbon factors'!$B$5)</f>
        <v>68.461290000000005</v>
      </c>
      <c r="AC24" s="47" t="str">
        <f>IF(U24="","",U24*'Carbon factors'!$B$5)</f>
        <v/>
      </c>
      <c r="AD24" s="267">
        <f t="shared" si="3"/>
        <v>1670.4449384425629</v>
      </c>
      <c r="AE24" s="49">
        <f>IFERROR($G24*INDEX('Carbon factors'!$C$4:$C$10,MATCH($H24,Fuel_Type,0),1)+$K24*INDEX('Carbon factors'!$C$4:$C$10,MATCH($L24,Fuel_Type,0),1),"")</f>
        <v>641.47784077639881</v>
      </c>
      <c r="AF24" s="47">
        <f>IFERROR($I24*INDEX('Carbon factors'!$C$4:$C$10,MATCH($J24,Fuel_Type,0),1)+$M24*INDEX('Carbon factors'!$C$4:$C$10,MATCH($N24,Fuel_Type,0),1),"")</f>
        <v>241.0621523540708</v>
      </c>
      <c r="AG24" s="47" t="str">
        <f>IFERROR($O24*INDEX('Carbon factors'!$C$4:$C$10,MATCH($P24,Fuel_Type,0),1),"")</f>
        <v/>
      </c>
      <c r="AH24" s="47" t="str">
        <f>IF(Q24="","",Q24*'Carbon factors'!$C$5)</f>
        <v/>
      </c>
      <c r="AI24" s="47" t="str">
        <f>IF(R24="","",R24*'Carbon factors'!$C$5)</f>
        <v/>
      </c>
      <c r="AJ24" s="47">
        <f>IF(S24="","",S24*'Carbon factors'!$C$5)</f>
        <v>106.50663000000002</v>
      </c>
      <c r="AK24" s="47">
        <f>IF(T24="","",T24*'Carbon factors'!$C$5)</f>
        <v>30.735030000000002</v>
      </c>
      <c r="AL24" s="47" t="str">
        <f>IF(U24="","",U24*'Carbon factors'!$C$5)</f>
        <v/>
      </c>
      <c r="AM24" s="222">
        <f t="shared" si="0"/>
        <v>1019.7816531304696</v>
      </c>
      <c r="AN24" s="61">
        <f t="shared" si="1"/>
        <v>8.2240455897618521</v>
      </c>
    </row>
    <row r="25" spans="1:40" ht="13.5" customHeight="1">
      <c r="A25" s="287" t="str">
        <f>IF(Baseline!A24="","",Baseline!A24)</f>
        <v>B5-B-03-08</v>
      </c>
      <c r="B25" s="141">
        <f>IF(Baseline!B24="","",Baseline!B24)</f>
        <v>71</v>
      </c>
      <c r="C25" s="141">
        <f>IF(Baseline!C24="","",Baseline!C24)</f>
        <v>18</v>
      </c>
      <c r="D25" s="288">
        <f>IF(Baseline!D24="","",Baseline!D24)</f>
        <v>1278</v>
      </c>
      <c r="E25" s="96">
        <f t="shared" si="2"/>
        <v>9.8179347887106108</v>
      </c>
      <c r="F25" s="109">
        <v>9.82</v>
      </c>
      <c r="G25" s="147">
        <f>163.84*100/93.2</f>
        <v>175.79399141630901</v>
      </c>
      <c r="H25" s="100" t="s">
        <v>11</v>
      </c>
      <c r="I25" s="100">
        <f>538.67*100/93.2</f>
        <v>577.97210300429174</v>
      </c>
      <c r="J25" s="100" t="s">
        <v>11</v>
      </c>
      <c r="K25" s="100">
        <f>401.11*100/333</f>
        <v>120.45345345345345</v>
      </c>
      <c r="L25" s="100" t="s">
        <v>22</v>
      </c>
      <c r="M25" s="100">
        <f>1318.81*100/333</f>
        <v>396.03903903903904</v>
      </c>
      <c r="N25" s="100" t="s">
        <v>22</v>
      </c>
      <c r="O25" s="100"/>
      <c r="P25" s="100"/>
      <c r="Q25" s="100"/>
      <c r="R25" s="100"/>
      <c r="S25" s="100">
        <v>317.51</v>
      </c>
      <c r="T25" s="100">
        <f>24.22+171.18</f>
        <v>195.4</v>
      </c>
      <c r="U25" s="100"/>
      <c r="V25" s="46">
        <f>IFERROR(($G25*INDEX('Carbon factors'!$B$4:$B$10,MATCH($H25,Fuel_Type,0),1))+($K25*INDEX('Carbon factors'!$B$4:$B$10,MATCH($L25,Fuel_Type,0),1)),"")</f>
        <v>100.48684448826509</v>
      </c>
      <c r="W25" s="47">
        <f>IFERROR($M25*INDEX('Carbon factors'!$B$4:$B$10,MATCH($N25,Fuel_Type,0),1)+$I25*INDEX('Carbon factors'!$B$4:$B$10,MATCH($J25,Fuel_Type,0),1),"")</f>
        <v>330.38623551018827</v>
      </c>
      <c r="X25" s="47" t="str">
        <f>IFERROR($O25*INDEX('Carbon factors'!$B$4:$B$10,MATCH($P25,Fuel_Type,0),1),"")</f>
        <v/>
      </c>
      <c r="Y25" s="47" t="str">
        <f>IF(Q25="","",Q25*'Carbon factors'!$B$5)</f>
        <v/>
      </c>
      <c r="Z25" s="47" t="str">
        <f>IF(R25="","",R25*'Carbon factors'!$B$5)</f>
        <v/>
      </c>
      <c r="AA25" s="47">
        <f>IF(S25="","",S25*'Carbon factors'!$B$5)</f>
        <v>164.78769</v>
      </c>
      <c r="AB25" s="47">
        <f>IF(T25="","",T25*'Carbon factors'!$B$5)</f>
        <v>101.41260000000001</v>
      </c>
      <c r="AC25" s="47" t="str">
        <f>IF(U25="","",U25*'Carbon factors'!$B$5)</f>
        <v/>
      </c>
      <c r="AD25" s="267">
        <f t="shared" si="3"/>
        <v>697.07336999845336</v>
      </c>
      <c r="AE25" s="49">
        <f>IFERROR($G25*INDEX('Carbon factors'!$C$4:$C$10,MATCH($H25,Fuel_Type,0),1)+$K25*INDEX('Carbon factors'!$C$4:$C$10,MATCH($L25,Fuel_Type,0),1),"")</f>
        <v>64.982392852079542</v>
      </c>
      <c r="AF25" s="47">
        <f>IFERROR($I25*INDEX('Carbon factors'!$C$4:$C$10,MATCH($J25,Fuel_Type,0),1)+$M25*INDEX('Carbon factors'!$C$4:$C$10,MATCH($N25,Fuel_Type,0),1),"")</f>
        <v>213.65123772699735</v>
      </c>
      <c r="AG25" s="47" t="str">
        <f>IFERROR($O25*INDEX('Carbon factors'!$C$4:$C$10,MATCH($P25,Fuel_Type,0),1),"")</f>
        <v/>
      </c>
      <c r="AH25" s="47" t="str">
        <f>IF(Q25="","",Q25*'Carbon factors'!$C$5)</f>
        <v/>
      </c>
      <c r="AI25" s="47" t="str">
        <f>IF(R25="","",R25*'Carbon factors'!$C$5)</f>
        <v/>
      </c>
      <c r="AJ25" s="47">
        <f>IF(S25="","",S25*'Carbon factors'!$C$5)</f>
        <v>73.979830000000007</v>
      </c>
      <c r="AK25" s="47">
        <f>IF(T25="","",T25*'Carbon factors'!$C$5)</f>
        <v>45.528200000000005</v>
      </c>
      <c r="AL25" s="47" t="str">
        <f>IF(U25="","",U25*'Carbon factors'!$C$5)</f>
        <v/>
      </c>
      <c r="AM25" s="222">
        <f t="shared" si="0"/>
        <v>398.14166057907693</v>
      </c>
      <c r="AN25" s="61">
        <f t="shared" si="1"/>
        <v>5.6076290222405198</v>
      </c>
    </row>
    <row r="26" spans="1:40" ht="13.5" customHeight="1">
      <c r="A26" s="287" t="str">
        <f>IF(Baseline!A25="","",Baseline!A25)</f>
        <v>B5-A-11-01</v>
      </c>
      <c r="B26" s="141">
        <f>IF(Baseline!B25="","",Baseline!B25)</f>
        <v>53</v>
      </c>
      <c r="C26" s="141">
        <f>IF(Baseline!C25="","",Baseline!C25)</f>
        <v>9</v>
      </c>
      <c r="D26" s="288">
        <f>IF(Baseline!D25="","",Baseline!D25)</f>
        <v>477</v>
      </c>
      <c r="E26" s="96">
        <f t="shared" si="2"/>
        <v>11.520593073553753</v>
      </c>
      <c r="F26" s="109">
        <v>11.52</v>
      </c>
      <c r="G26" s="147">
        <f>178.84*100/93.2</f>
        <v>191.88841201716738</v>
      </c>
      <c r="H26" s="100" t="s">
        <v>11</v>
      </c>
      <c r="I26" s="100">
        <f>482.73*100/93.2</f>
        <v>517.95064377682399</v>
      </c>
      <c r="J26" s="100" t="s">
        <v>11</v>
      </c>
      <c r="K26" s="100">
        <f>437.86*100/333</f>
        <v>131.4894894894895</v>
      </c>
      <c r="L26" s="100" t="s">
        <v>22</v>
      </c>
      <c r="M26" s="100">
        <f>1181.86*100/333</f>
        <v>354.91291291291287</v>
      </c>
      <c r="N26" s="100" t="s">
        <v>22</v>
      </c>
      <c r="O26" s="100"/>
      <c r="P26" s="100"/>
      <c r="Q26" s="100"/>
      <c r="R26" s="100"/>
      <c r="S26" s="100">
        <v>244.06</v>
      </c>
      <c r="T26" s="100">
        <f>22.81+127.78</f>
        <v>150.59</v>
      </c>
      <c r="U26" s="100"/>
      <c r="V26" s="46">
        <f>IFERROR(($G26*INDEX('Carbon factors'!$B$4:$B$10,MATCH($H26,Fuel_Type,0),1))+($K26*INDEX('Carbon factors'!$B$4:$B$10,MATCH($L26,Fuel_Type,0),1)),"")</f>
        <v>109.69094204075321</v>
      </c>
      <c r="W26" s="47">
        <f>IFERROR($M26*INDEX('Carbon factors'!$B$4:$B$10,MATCH($N26,Fuel_Type,0),1)+$I26*INDEX('Carbon factors'!$B$4:$B$10,MATCH($J26,Fuel_Type,0),1),"")</f>
        <v>296.07714085759574</v>
      </c>
      <c r="X26" s="47" t="str">
        <f>IFERROR($O26*INDEX('Carbon factors'!$B$4:$B$10,MATCH($P26,Fuel_Type,0),1),"")</f>
        <v/>
      </c>
      <c r="Y26" s="47" t="str">
        <f>IF(Q26="","",Q26*'Carbon factors'!$B$5)</f>
        <v/>
      </c>
      <c r="Z26" s="47" t="str">
        <f>IF(R26="","",R26*'Carbon factors'!$B$5)</f>
        <v/>
      </c>
      <c r="AA26" s="47">
        <f>IF(S26="","",S26*'Carbon factors'!$B$5)</f>
        <v>126.66714</v>
      </c>
      <c r="AB26" s="47">
        <f>IF(T26="","",T26*'Carbon factors'!$B$5)</f>
        <v>78.156210000000002</v>
      </c>
      <c r="AC26" s="47" t="str">
        <f>IF(U26="","",U26*'Carbon factors'!$B$5)</f>
        <v/>
      </c>
      <c r="AD26" s="267">
        <f t="shared" si="3"/>
        <v>610.5914328983489</v>
      </c>
      <c r="AE26" s="49">
        <f>IFERROR($G26*INDEX('Carbon factors'!$C$4:$C$10,MATCH($H26,Fuel_Type,0),1)+$K26*INDEX('Carbon factors'!$C$4:$C$10,MATCH($L26,Fuel_Type,0),1),"")</f>
        <v>70.933617574656211</v>
      </c>
      <c r="AF26" s="47">
        <f>IFERROR($I26*INDEX('Carbon factors'!$C$4:$C$10,MATCH($J26,Fuel_Type,0),1)+$M26*INDEX('Carbon factors'!$C$4:$C$10,MATCH($N26,Fuel_Type,0),1),"")</f>
        <v>191.46434390184174</v>
      </c>
      <c r="AG26" s="47" t="str">
        <f>IFERROR($O26*INDEX('Carbon factors'!$C$4:$C$10,MATCH($P26,Fuel_Type,0),1),"")</f>
        <v/>
      </c>
      <c r="AH26" s="47" t="str">
        <f>IF(Q26="","",Q26*'Carbon factors'!$C$5)</f>
        <v/>
      </c>
      <c r="AI26" s="47" t="str">
        <f>IF(R26="","",R26*'Carbon factors'!$C$5)</f>
        <v/>
      </c>
      <c r="AJ26" s="47">
        <f>IF(S26="","",S26*'Carbon factors'!$C$5)</f>
        <v>56.86598</v>
      </c>
      <c r="AK26" s="47">
        <f>IF(T26="","",T26*'Carbon factors'!$C$5)</f>
        <v>35.087470000000003</v>
      </c>
      <c r="AL26" s="47" t="str">
        <f>IF(U26="","",U26*'Carbon factors'!$C$5)</f>
        <v/>
      </c>
      <c r="AM26" s="222">
        <f t="shared" si="0"/>
        <v>354.3514114764979</v>
      </c>
      <c r="AN26" s="61">
        <f t="shared" si="1"/>
        <v>6.685875688235809</v>
      </c>
    </row>
    <row r="27" spans="1:40" ht="13.5" customHeight="1">
      <c r="A27" s="287" t="str">
        <f>IF(Baseline!A26="","",Baseline!A26)</f>
        <v>B5-A-11-02</v>
      </c>
      <c r="B27" s="141">
        <f>IF(Baseline!B26="","",Baseline!B26)</f>
        <v>51</v>
      </c>
      <c r="C27" s="141">
        <f>IF(Baseline!C26="","",Baseline!C26)</f>
        <v>29</v>
      </c>
      <c r="D27" s="288">
        <f>IF(Baseline!D26="","",Baseline!D26)</f>
        <v>1479</v>
      </c>
      <c r="E27" s="96">
        <f t="shared" si="2"/>
        <v>10.295006520163183</v>
      </c>
      <c r="F27" s="109">
        <v>10.3</v>
      </c>
      <c r="G27" s="147">
        <f>54.29*100/93.2</f>
        <v>58.251072961373389</v>
      </c>
      <c r="H27" s="100" t="s">
        <v>11</v>
      </c>
      <c r="I27" s="100">
        <f>476.02*100/93.2</f>
        <v>510.75107296137338</v>
      </c>
      <c r="J27" s="100" t="s">
        <v>11</v>
      </c>
      <c r="K27" s="100">
        <f>132.93*100/333</f>
        <v>39.918918918918919</v>
      </c>
      <c r="L27" s="100" t="s">
        <v>22</v>
      </c>
      <c r="M27" s="100">
        <f>1165.43*100/333</f>
        <v>349.978978978979</v>
      </c>
      <c r="N27" s="100" t="s">
        <v>22</v>
      </c>
      <c r="O27" s="100"/>
      <c r="P27" s="100"/>
      <c r="Q27" s="100"/>
      <c r="R27" s="100"/>
      <c r="S27" s="100">
        <v>243.69</v>
      </c>
      <c r="T27" s="100">
        <f>18.29+122.96</f>
        <v>141.25</v>
      </c>
      <c r="U27" s="100"/>
      <c r="V27" s="46">
        <f>IFERROR(($G27*INDEX('Carbon factors'!$B$4:$B$10,MATCH($H27,Fuel_Type,0),1))+($K27*INDEX('Carbon factors'!$B$4:$B$10,MATCH($L27,Fuel_Type,0),1)),"")</f>
        <v>33.300150678575569</v>
      </c>
      <c r="W27" s="47">
        <f>IFERROR($M27*INDEX('Carbon factors'!$B$4:$B$10,MATCH($N27,Fuel_Type,0),1)+$I27*INDEX('Carbon factors'!$B$4:$B$10,MATCH($J27,Fuel_Type,0),1),"")</f>
        <v>291.96132184974675</v>
      </c>
      <c r="X27" s="47" t="str">
        <f>IFERROR($O27*INDEX('Carbon factors'!$B$4:$B$10,MATCH($P27,Fuel_Type,0),1),"")</f>
        <v/>
      </c>
      <c r="Y27" s="47" t="str">
        <f>IF(Q27="","",Q27*'Carbon factors'!$B$5)</f>
        <v/>
      </c>
      <c r="Z27" s="47" t="str">
        <f>IF(R27="","",R27*'Carbon factors'!$B$5)</f>
        <v/>
      </c>
      <c r="AA27" s="47">
        <f>IF(S27="","",S27*'Carbon factors'!$B$5)</f>
        <v>126.47511</v>
      </c>
      <c r="AB27" s="47">
        <f>IF(T27="","",T27*'Carbon factors'!$B$5)</f>
        <v>73.308750000000003</v>
      </c>
      <c r="AC27" s="47" t="str">
        <f>IF(U27="","",U27*'Carbon factors'!$B$5)</f>
        <v/>
      </c>
      <c r="AD27" s="267">
        <f t="shared" si="3"/>
        <v>525.04533252832232</v>
      </c>
      <c r="AE27" s="49">
        <f>IFERROR($G27*INDEX('Carbon factors'!$C$4:$C$10,MATCH($H27,Fuel_Type,0),1)+$K27*INDEX('Carbon factors'!$C$4:$C$10,MATCH($L27,Fuel_Type,0),1),"")</f>
        <v>21.53383342999652</v>
      </c>
      <c r="AF27" s="47">
        <f>IFERROR($I27*INDEX('Carbon factors'!$C$4:$C$10,MATCH($J27,Fuel_Type,0),1)+$M27*INDEX('Carbon factors'!$C$4:$C$10,MATCH($N27,Fuel_Type,0),1),"")</f>
        <v>188.80282742399049</v>
      </c>
      <c r="AG27" s="47" t="str">
        <f>IFERROR($O27*INDEX('Carbon factors'!$C$4:$C$10,MATCH($P27,Fuel_Type,0),1),"")</f>
        <v/>
      </c>
      <c r="AH27" s="47" t="str">
        <f>IF(Q27="","",Q27*'Carbon factors'!$C$5)</f>
        <v/>
      </c>
      <c r="AI27" s="47" t="str">
        <f>IF(R27="","",R27*'Carbon factors'!$C$5)</f>
        <v/>
      </c>
      <c r="AJ27" s="47">
        <f>IF(S27="","",S27*'Carbon factors'!$C$5)</f>
        <v>56.779769999999999</v>
      </c>
      <c r="AK27" s="47">
        <f>IF(T27="","",T27*'Carbon factors'!$C$5)</f>
        <v>32.911250000000003</v>
      </c>
      <c r="AL27" s="47" t="str">
        <f>IF(U27="","",U27*'Carbon factors'!$C$5)</f>
        <v/>
      </c>
      <c r="AM27" s="222">
        <f t="shared" si="0"/>
        <v>300.02768085398702</v>
      </c>
      <c r="AN27" s="61">
        <f t="shared" si="1"/>
        <v>5.8828957030193534</v>
      </c>
    </row>
    <row r="28" spans="1:40" ht="13.5" customHeight="1">
      <c r="A28" s="287" t="str">
        <f>IF(Baseline!A27="","",Baseline!A27)</f>
        <v>B5-A-13-01</v>
      </c>
      <c r="B28" s="141">
        <f>IF(Baseline!B27="","",Baseline!B27)</f>
        <v>57</v>
      </c>
      <c r="C28" s="141">
        <f>IF(Baseline!C27="","",Baseline!C27)</f>
        <v>2</v>
      </c>
      <c r="D28" s="288">
        <f>IF(Baseline!D27="","",Baseline!D27)</f>
        <v>114</v>
      </c>
      <c r="E28" s="96">
        <f t="shared" si="2"/>
        <v>13.009094542125139</v>
      </c>
      <c r="F28" s="109">
        <v>13.01</v>
      </c>
      <c r="G28" s="147">
        <f>351.65*100/93.2</f>
        <v>377.30686695278968</v>
      </c>
      <c r="H28" s="100" t="s">
        <v>11</v>
      </c>
      <c r="I28" s="100">
        <f>496.06*100/93.2</f>
        <v>532.2532188841202</v>
      </c>
      <c r="J28" s="100" t="s">
        <v>11</v>
      </c>
      <c r="K28" s="100">
        <f>860.93*100/333</f>
        <v>258.53753753753756</v>
      </c>
      <c r="L28" s="100" t="s">
        <v>22</v>
      </c>
      <c r="M28" s="100">
        <f>1214.49*100/333</f>
        <v>364.7117117117117</v>
      </c>
      <c r="N28" s="100" t="s">
        <v>22</v>
      </c>
      <c r="O28" s="100"/>
      <c r="P28" s="100"/>
      <c r="Q28" s="100"/>
      <c r="R28" s="100"/>
      <c r="S28" s="100">
        <v>260.29000000000002</v>
      </c>
      <c r="T28" s="100">
        <f>29.23+137.43</f>
        <v>166.66</v>
      </c>
      <c r="U28" s="100"/>
      <c r="V28" s="46">
        <f>IFERROR(($G28*INDEX('Carbon factors'!$B$4:$B$10,MATCH($H28,Fuel_Type,0),1))+($K28*INDEX('Carbon factors'!$B$4:$B$10,MATCH($L28,Fuel_Type,0),1)),"")</f>
        <v>215.67926524378458</v>
      </c>
      <c r="W28" s="47">
        <f>IFERROR($M28*INDEX('Carbon factors'!$B$4:$B$10,MATCH($N28,Fuel_Type,0),1)+$I28*INDEX('Carbon factors'!$B$4:$B$10,MATCH($J28,Fuel_Type,0),1),"")</f>
        <v>304.25207365734832</v>
      </c>
      <c r="X28" s="47" t="str">
        <f>IFERROR($O28*INDEX('Carbon factors'!$B$4:$B$10,MATCH($P28,Fuel_Type,0),1),"")</f>
        <v/>
      </c>
      <c r="Y28" s="47" t="str">
        <f>IF(Q28="","",Q28*'Carbon factors'!$B$5)</f>
        <v/>
      </c>
      <c r="Z28" s="47" t="str">
        <f>IF(R28="","",R28*'Carbon factors'!$B$5)</f>
        <v/>
      </c>
      <c r="AA28" s="47">
        <f>IF(S28="","",S28*'Carbon factors'!$B$5)</f>
        <v>135.09051000000002</v>
      </c>
      <c r="AB28" s="47">
        <f>IF(T28="","",T28*'Carbon factors'!$B$5)</f>
        <v>86.496539999999996</v>
      </c>
      <c r="AC28" s="47" t="str">
        <f>IF(U28="","",U28*'Carbon factors'!$B$5)</f>
        <v/>
      </c>
      <c r="AD28" s="267">
        <f t="shared" si="3"/>
        <v>741.51838890113288</v>
      </c>
      <c r="AE28" s="49">
        <f>IFERROR($G28*INDEX('Carbon factors'!$C$4:$C$10,MATCH($H28,Fuel_Type,0),1)+$K28*INDEX('Carbon factors'!$C$4:$C$10,MATCH($L28,Fuel_Type,0),1),"")</f>
        <v>139.47368830633206</v>
      </c>
      <c r="AF28" s="47">
        <f>IFERROR($I28*INDEX('Carbon factors'!$C$4:$C$10,MATCH($J28,Fuel_Type,0),1)+$M28*INDEX('Carbon factors'!$C$4:$C$10,MATCH($N28,Fuel_Type,0),1),"")</f>
        <v>196.75100479449407</v>
      </c>
      <c r="AG28" s="47" t="str">
        <f>IFERROR($O28*INDEX('Carbon factors'!$C$4:$C$10,MATCH($P28,Fuel_Type,0),1),"")</f>
        <v/>
      </c>
      <c r="AH28" s="47" t="str">
        <f>IF(Q28="","",Q28*'Carbon factors'!$C$5)</f>
        <v/>
      </c>
      <c r="AI28" s="47" t="str">
        <f>IF(R28="","",R28*'Carbon factors'!$C$5)</f>
        <v/>
      </c>
      <c r="AJ28" s="47">
        <f>IF(S28="","",S28*'Carbon factors'!$C$5)</f>
        <v>60.647570000000009</v>
      </c>
      <c r="AK28" s="47">
        <f>IF(T28="","",T28*'Carbon factors'!$C$5)</f>
        <v>38.831780000000002</v>
      </c>
      <c r="AL28" s="47" t="str">
        <f>IF(U28="","",U28*'Carbon factors'!$C$5)</f>
        <v/>
      </c>
      <c r="AM28" s="222">
        <f t="shared" si="0"/>
        <v>435.70404310082614</v>
      </c>
      <c r="AN28" s="61">
        <f t="shared" si="1"/>
        <v>7.6439305807162476</v>
      </c>
    </row>
    <row r="29" spans="1:40" ht="13.5" customHeight="1">
      <c r="A29" s="287" t="str">
        <f>IF(Baseline!A28="","",Baseline!A28)</f>
        <v>B5-A-13-05</v>
      </c>
      <c r="B29" s="141">
        <f>IF(Baseline!B28="","",Baseline!B28)</f>
        <v>53</v>
      </c>
      <c r="C29" s="141">
        <f>IF(Baseline!C28="","",Baseline!C28)</f>
        <v>2</v>
      </c>
      <c r="D29" s="288">
        <f>IF(Baseline!D28="","",Baseline!D28)</f>
        <v>106</v>
      </c>
      <c r="E29" s="96">
        <f t="shared" si="2"/>
        <v>15.374776118991289</v>
      </c>
      <c r="F29" s="109">
        <v>15.38</v>
      </c>
      <c r="G29" s="147">
        <f>502.45*100/93.2</f>
        <v>539.10944206008583</v>
      </c>
      <c r="H29" s="100" t="s">
        <v>11</v>
      </c>
      <c r="I29" s="100">
        <f>482.73*100/93.2</f>
        <v>517.95064377682399</v>
      </c>
      <c r="J29" s="100" t="s">
        <v>11</v>
      </c>
      <c r="K29" s="100">
        <f>1230.13*100/333</f>
        <v>369.40840840840843</v>
      </c>
      <c r="L29" s="100" t="s">
        <v>22</v>
      </c>
      <c r="M29" s="100">
        <f>1181.86*100/333</f>
        <v>354.91291291291287</v>
      </c>
      <c r="N29" s="100" t="s">
        <v>22</v>
      </c>
      <c r="O29" s="100"/>
      <c r="P29" s="100"/>
      <c r="Q29" s="100"/>
      <c r="R29" s="100"/>
      <c r="S29" s="100">
        <v>244.06</v>
      </c>
      <c r="T29" s="100">
        <f>33.97+127.78</f>
        <v>161.75</v>
      </c>
      <c r="U29" s="100"/>
      <c r="V29" s="46">
        <f>IFERROR(($G29*INDEX('Carbon factors'!$B$4:$B$10,MATCH($H29,Fuel_Type,0),1))+($K29*INDEX('Carbon factors'!$B$4:$B$10,MATCH($L29,Fuel_Type,0),1)),"")</f>
        <v>308.17060344894253</v>
      </c>
      <c r="W29" s="47">
        <f>IFERROR($M29*INDEX('Carbon factors'!$B$4:$B$10,MATCH($N29,Fuel_Type,0),1)+$I29*INDEX('Carbon factors'!$B$4:$B$10,MATCH($J29,Fuel_Type,0),1),"")</f>
        <v>296.07714085759574</v>
      </c>
      <c r="X29" s="47" t="str">
        <f>IFERROR($O29*INDEX('Carbon factors'!$B$4:$B$10,MATCH($P29,Fuel_Type,0),1),"")</f>
        <v/>
      </c>
      <c r="Y29" s="47" t="str">
        <f>IF(Q29="","",Q29*'Carbon factors'!$B$5)</f>
        <v/>
      </c>
      <c r="Z29" s="47" t="str">
        <f>IF(R29="","",R29*'Carbon factors'!$B$5)</f>
        <v/>
      </c>
      <c r="AA29" s="47">
        <f>IF(S29="","",S29*'Carbon factors'!$B$5)</f>
        <v>126.66714</v>
      </c>
      <c r="AB29" s="47">
        <f>IF(T29="","",T29*'Carbon factors'!$B$5)</f>
        <v>83.948250000000002</v>
      </c>
      <c r="AC29" s="47" t="str">
        <f>IF(U29="","",U29*'Carbon factors'!$B$5)</f>
        <v/>
      </c>
      <c r="AD29" s="267">
        <f t="shared" si="3"/>
        <v>814.86313430653831</v>
      </c>
      <c r="AE29" s="49">
        <f>IFERROR($G29*INDEX('Carbon factors'!$C$4:$C$10,MATCH($H29,Fuel_Type,0),1)+$K29*INDEX('Carbon factors'!$C$4:$C$10,MATCH($L29,Fuel_Type,0),1),"")</f>
        <v>199.28514199177721</v>
      </c>
      <c r="AF29" s="47">
        <f>IFERROR($I29*INDEX('Carbon factors'!$C$4:$C$10,MATCH($J29,Fuel_Type,0),1)+$M29*INDEX('Carbon factors'!$C$4:$C$10,MATCH($N29,Fuel_Type,0),1),"")</f>
        <v>191.46434390184174</v>
      </c>
      <c r="AG29" s="47" t="str">
        <f>IFERROR($O29*INDEX('Carbon factors'!$C$4:$C$10,MATCH($P29,Fuel_Type,0),1),"")</f>
        <v/>
      </c>
      <c r="AH29" s="47" t="str">
        <f>IF(Q29="","",Q29*'Carbon factors'!$C$5)</f>
        <v/>
      </c>
      <c r="AI29" s="47" t="str">
        <f>IF(R29="","",R29*'Carbon factors'!$C$5)</f>
        <v/>
      </c>
      <c r="AJ29" s="47">
        <f>IF(S29="","",S29*'Carbon factors'!$C$5)</f>
        <v>56.86598</v>
      </c>
      <c r="AK29" s="47">
        <f>IF(T29="","",T29*'Carbon factors'!$C$5)</f>
        <v>37.687750000000001</v>
      </c>
      <c r="AL29" s="47" t="str">
        <f>IF(U29="","",U29*'Carbon factors'!$C$5)</f>
        <v/>
      </c>
      <c r="AM29" s="222">
        <f t="shared" si="0"/>
        <v>485.30321589361893</v>
      </c>
      <c r="AN29" s="61">
        <f t="shared" si="1"/>
        <v>9.1566644508229977</v>
      </c>
    </row>
    <row r="30" spans="1:40" ht="13.5" customHeight="1">
      <c r="A30" s="287" t="str">
        <f>IF(Baseline!A29="","",Baseline!A29)</f>
        <v>B3-A-02-01</v>
      </c>
      <c r="B30" s="141">
        <f>IF(Baseline!B29="","",Baseline!B29)</f>
        <v>62</v>
      </c>
      <c r="C30" s="141">
        <f>IF(Baseline!C29="","",Baseline!C29)</f>
        <v>1</v>
      </c>
      <c r="D30" s="288">
        <f>IF(Baseline!D29="","",Baseline!D29)</f>
        <v>62</v>
      </c>
      <c r="E30" s="96">
        <f t="shared" si="2"/>
        <v>13.119701999942624</v>
      </c>
      <c r="F30" s="109">
        <v>13.12</v>
      </c>
      <c r="G30" s="147">
        <f>364.72*100/93.2</f>
        <v>391.3304721030043</v>
      </c>
      <c r="H30" s="100" t="s">
        <v>11</v>
      </c>
      <c r="I30" s="100">
        <f>512.21*100/93.2</f>
        <v>549.58154506437768</v>
      </c>
      <c r="J30" s="100" t="s">
        <v>11</v>
      </c>
      <c r="K30" s="100">
        <f>892.94*100/333</f>
        <v>268.15015015015013</v>
      </c>
      <c r="L30" s="100" t="s">
        <v>22</v>
      </c>
      <c r="M30" s="100">
        <f>1254.02*100/333</f>
        <v>376.58258258258257</v>
      </c>
      <c r="N30" s="100" t="s">
        <v>22</v>
      </c>
      <c r="O30" s="100"/>
      <c r="P30" s="100"/>
      <c r="Q30" s="100"/>
      <c r="R30" s="100"/>
      <c r="S30" s="100">
        <v>280.19</v>
      </c>
      <c r="T30" s="100">
        <f>30.24+149.48</f>
        <v>179.72</v>
      </c>
      <c r="U30" s="100">
        <v>71.05</v>
      </c>
      <c r="V30" s="46">
        <f>IFERROR(($G30*INDEX('Carbon factors'!$B$4:$B$10,MATCH($H30,Fuel_Type,0),1))+($K30*INDEX('Carbon factors'!$B$4:$B$10,MATCH($L30,Fuel_Type,0),1)),"")</f>
        <v>223.69730990217684</v>
      </c>
      <c r="W30" s="47">
        <f>IFERROR($M30*INDEX('Carbon factors'!$B$4:$B$10,MATCH($N30,Fuel_Type,0),1)+$I30*INDEX('Carbon factors'!$B$4:$B$10,MATCH($J30,Fuel_Type,0),1),"")</f>
        <v>314.15597409426596</v>
      </c>
      <c r="X30" s="47" t="str">
        <f>IFERROR($O30*INDEX('Carbon factors'!$B$4:$B$10,MATCH($P30,Fuel_Type,0),1),"")</f>
        <v/>
      </c>
      <c r="Y30" s="47" t="str">
        <f>IF(Q30="","",Q30*'Carbon factors'!$B$5)</f>
        <v/>
      </c>
      <c r="Z30" s="47" t="str">
        <f>IF(R30="","",R30*'Carbon factors'!$B$5)</f>
        <v/>
      </c>
      <c r="AA30" s="47">
        <f>IF(S30="","",S30*'Carbon factors'!$B$5)</f>
        <v>145.41861</v>
      </c>
      <c r="AB30" s="47">
        <f>IF(T30="","",T30*'Carbon factors'!$B$5)</f>
        <v>93.274680000000004</v>
      </c>
      <c r="AC30" s="47">
        <f>IF(U30="","",U30*'Carbon factors'!$B$5)</f>
        <v>36.874949999999998</v>
      </c>
      <c r="AD30" s="267">
        <f t="shared" si="3"/>
        <v>813.42152399644272</v>
      </c>
      <c r="AE30" s="49">
        <f>IFERROR($G30*INDEX('Carbon factors'!$C$4:$C$10,MATCH($H30,Fuel_Type,0),1)+$K30*INDEX('Carbon factors'!$C$4:$C$10,MATCH($L30,Fuel_Type,0),1),"")</f>
        <v>144.65838412661589</v>
      </c>
      <c r="AF30" s="47">
        <f>IFERROR($I30*INDEX('Carbon factors'!$C$4:$C$10,MATCH($J30,Fuel_Type,0),1)+$M30*INDEX('Carbon factors'!$C$4:$C$10,MATCH($N30,Fuel_Type,0),1),"")</f>
        <v>203.15586620526105</v>
      </c>
      <c r="AG30" s="47" t="str">
        <f>IFERROR($O30*INDEX('Carbon factors'!$C$4:$C$10,MATCH($P30,Fuel_Type,0),1),"")</f>
        <v/>
      </c>
      <c r="AH30" s="47" t="str">
        <f>IF(Q30="","",Q30*'Carbon factors'!$C$5)</f>
        <v/>
      </c>
      <c r="AI30" s="47" t="str">
        <f>IF(R30="","",R30*'Carbon factors'!$C$5)</f>
        <v/>
      </c>
      <c r="AJ30" s="47">
        <f>IF(S30="","",S30*'Carbon factors'!$C$5)</f>
        <v>65.284270000000006</v>
      </c>
      <c r="AK30" s="47">
        <f>IF(T30="","",T30*'Carbon factors'!$C$5)</f>
        <v>41.874760000000002</v>
      </c>
      <c r="AL30" s="47">
        <f>IF(U30="","",U30*'Carbon factors'!$C$5)</f>
        <v>16.554649999999999</v>
      </c>
      <c r="AM30" s="222">
        <f t="shared" si="0"/>
        <v>471.52793033187686</v>
      </c>
      <c r="AN30" s="61">
        <f t="shared" si="1"/>
        <v>7.6052891989012394</v>
      </c>
    </row>
    <row r="31" spans="1:40" ht="13.5" customHeight="1">
      <c r="A31" s="287" t="str">
        <f>IF(Baseline!A30="","",Baseline!A30)</f>
        <v>B3-A-02-02</v>
      </c>
      <c r="B31" s="141">
        <f>IF(Baseline!B30="","",Baseline!B30)</f>
        <v>57</v>
      </c>
      <c r="C31" s="141">
        <f>IF(Baseline!C30="","",Baseline!C30)</f>
        <v>3</v>
      </c>
      <c r="D31" s="288">
        <f>IF(Baseline!D30="","",Baseline!D30)</f>
        <v>171</v>
      </c>
      <c r="E31" s="96">
        <f t="shared" si="2"/>
        <v>12.724535324343996</v>
      </c>
      <c r="F31" s="109">
        <v>12.72</v>
      </c>
      <c r="G31" s="147">
        <f>263.48*100/93.2</f>
        <v>282.7038626609442</v>
      </c>
      <c r="H31" s="100" t="s">
        <v>11</v>
      </c>
      <c r="I31" s="100">
        <f>496.06*100/93.2</f>
        <v>532.2532188841202</v>
      </c>
      <c r="J31" s="100" t="s">
        <v>11</v>
      </c>
      <c r="K31" s="100">
        <f>645.08*100/333</f>
        <v>193.71771771771773</v>
      </c>
      <c r="L31" s="100" t="s">
        <v>22</v>
      </c>
      <c r="M31" s="100">
        <f>1214.49*100/333</f>
        <v>364.7117117117117</v>
      </c>
      <c r="N31" s="100" t="s">
        <v>22</v>
      </c>
      <c r="O31" s="100"/>
      <c r="P31" s="100"/>
      <c r="Q31" s="100"/>
      <c r="R31" s="100"/>
      <c r="S31" s="100">
        <v>260.29000000000002</v>
      </c>
      <c r="T31" s="100">
        <f>26.19+137.43</f>
        <v>163.62</v>
      </c>
      <c r="U31" s="100">
        <v>75.98</v>
      </c>
      <c r="V31" s="46">
        <f>IFERROR(($G31*INDEX('Carbon factors'!$B$4:$B$10,MATCH($H31,Fuel_Type,0),1))+($K31*INDEX('Carbon factors'!$B$4:$B$10,MATCH($L31,Fuel_Type,0),1)),"")</f>
        <v>161.60352983025945</v>
      </c>
      <c r="W31" s="47">
        <f>IFERROR($M31*INDEX('Carbon factors'!$B$4:$B$10,MATCH($N31,Fuel_Type,0),1)+$I31*INDEX('Carbon factors'!$B$4:$B$10,MATCH($J31,Fuel_Type,0),1),"")</f>
        <v>304.25207365734832</v>
      </c>
      <c r="X31" s="47" t="str">
        <f>IFERROR($O31*INDEX('Carbon factors'!$B$4:$B$10,MATCH($P31,Fuel_Type,0),1),"")</f>
        <v/>
      </c>
      <c r="Y31" s="47" t="str">
        <f>IF(Q31="","",Q31*'Carbon factors'!$B$5)</f>
        <v/>
      </c>
      <c r="Z31" s="47" t="str">
        <f>IF(R31="","",R31*'Carbon factors'!$B$5)</f>
        <v/>
      </c>
      <c r="AA31" s="47">
        <f>IF(S31="","",S31*'Carbon factors'!$B$5)</f>
        <v>135.09051000000002</v>
      </c>
      <c r="AB31" s="47">
        <f>IF(T31="","",T31*'Carbon factors'!$B$5)</f>
        <v>84.918779999999998</v>
      </c>
      <c r="AC31" s="47">
        <f>IF(U31="","",U31*'Carbon factors'!$B$5)</f>
        <v>39.433620000000005</v>
      </c>
      <c r="AD31" s="267">
        <f t="shared" si="3"/>
        <v>725.29851348760781</v>
      </c>
      <c r="AE31" s="49">
        <f>IFERROR($G31*INDEX('Carbon factors'!$C$4:$C$10,MATCH($H31,Fuel_Type,0),1)+$K31*INDEX('Carbon factors'!$C$4:$C$10,MATCH($L31,Fuel_Type,0),1),"")</f>
        <v>104.50403938702651</v>
      </c>
      <c r="AF31" s="47">
        <f>IFERROR($I31*INDEX('Carbon factors'!$C$4:$C$10,MATCH($J31,Fuel_Type,0),1)+$M31*INDEX('Carbon factors'!$C$4:$C$10,MATCH($N31,Fuel_Type,0),1),"")</f>
        <v>196.75100479449407</v>
      </c>
      <c r="AG31" s="47" t="str">
        <f>IFERROR($O31*INDEX('Carbon factors'!$C$4:$C$10,MATCH($P31,Fuel_Type,0),1),"")</f>
        <v/>
      </c>
      <c r="AH31" s="47" t="str">
        <f>IF(Q31="","",Q31*'Carbon factors'!$C$5)</f>
        <v/>
      </c>
      <c r="AI31" s="47" t="str">
        <f>IF(R31="","",R31*'Carbon factors'!$C$5)</f>
        <v/>
      </c>
      <c r="AJ31" s="47">
        <f>IF(S31="","",S31*'Carbon factors'!$C$5)</f>
        <v>60.647570000000009</v>
      </c>
      <c r="AK31" s="47">
        <f>IF(T31="","",T31*'Carbon factors'!$C$5)</f>
        <v>38.123460000000001</v>
      </c>
      <c r="AL31" s="47">
        <f>IF(U31="","",U31*'Carbon factors'!$C$5)</f>
        <v>17.703340000000001</v>
      </c>
      <c r="AM31" s="222">
        <f t="shared" si="0"/>
        <v>417.72941418152067</v>
      </c>
      <c r="AN31" s="61">
        <f t="shared" si="1"/>
        <v>7.3285862137108886</v>
      </c>
    </row>
    <row r="32" spans="1:40" ht="13.5" customHeight="1">
      <c r="A32" s="287" t="str">
        <f>IF(Baseline!A31="","",Baseline!A31)</f>
        <v>B3-A-02-06</v>
      </c>
      <c r="B32" s="141">
        <f>IF(Baseline!B31="","",Baseline!B31)</f>
        <v>71</v>
      </c>
      <c r="C32" s="141">
        <f>IF(Baseline!C31="","",Baseline!C31)</f>
        <v>5</v>
      </c>
      <c r="D32" s="288">
        <f>IF(Baseline!D31="","",Baseline!D31)</f>
        <v>355</v>
      </c>
      <c r="E32" s="96">
        <f t="shared" si="2"/>
        <v>14.285809490565944</v>
      </c>
      <c r="F32" s="109">
        <v>14.29</v>
      </c>
      <c r="G32" s="147">
        <f>616.56*100/93.2</f>
        <v>661.54506437768225</v>
      </c>
      <c r="H32" s="100" t="s">
        <v>11</v>
      </c>
      <c r="I32" s="100">
        <f>538.67*100/93.2</f>
        <v>577.97210300429174</v>
      </c>
      <c r="J32" s="100" t="s">
        <v>11</v>
      </c>
      <c r="K32" s="100">
        <f>1509.5*100/333</f>
        <v>453.30330330330332</v>
      </c>
      <c r="L32" s="100" t="s">
        <v>22</v>
      </c>
      <c r="M32" s="100">
        <f>1318.81*100/333</f>
        <v>396.03903903903904</v>
      </c>
      <c r="N32" s="100" t="s">
        <v>22</v>
      </c>
      <c r="O32" s="100"/>
      <c r="P32" s="100"/>
      <c r="Q32" s="100"/>
      <c r="R32" s="100"/>
      <c r="S32" s="100">
        <v>314.29000000000002</v>
      </c>
      <c r="T32" s="100">
        <f>39.84+171.18</f>
        <v>211.02</v>
      </c>
      <c r="U32" s="100">
        <v>63.8</v>
      </c>
      <c r="V32" s="46">
        <f>IFERROR(($G32*INDEX('Carbon factors'!$B$4:$B$10,MATCH($H32,Fuel_Type,0),1))+($K32*INDEX('Carbon factors'!$B$4:$B$10,MATCH($L32,Fuel_Type,0),1)),"")</f>
        <v>378.15814831999376</v>
      </c>
      <c r="W32" s="47">
        <f>IFERROR($M32*INDEX('Carbon factors'!$B$4:$B$10,MATCH($N32,Fuel_Type,0),1)+$I32*INDEX('Carbon factors'!$B$4:$B$10,MATCH($J32,Fuel_Type,0),1),"")</f>
        <v>330.38623551018827</v>
      </c>
      <c r="X32" s="47" t="str">
        <f>IFERROR($O32*INDEX('Carbon factors'!$B$4:$B$10,MATCH($P32,Fuel_Type,0),1),"")</f>
        <v/>
      </c>
      <c r="Y32" s="47" t="str">
        <f>IF(Q32="","",Q32*'Carbon factors'!$B$5)</f>
        <v/>
      </c>
      <c r="Z32" s="47" t="str">
        <f>IF(R32="","",R32*'Carbon factors'!$B$5)</f>
        <v/>
      </c>
      <c r="AA32" s="47">
        <f>IF(S32="","",S32*'Carbon factors'!$B$5)</f>
        <v>163.11651000000001</v>
      </c>
      <c r="AB32" s="47">
        <f>IF(T32="","",T32*'Carbon factors'!$B$5)</f>
        <v>109.51938000000001</v>
      </c>
      <c r="AC32" s="47">
        <f>IF(U32="","",U32*'Carbon factors'!$B$5)</f>
        <v>33.112200000000001</v>
      </c>
      <c r="AD32" s="267">
        <f t="shared" si="3"/>
        <v>1014.292473830182</v>
      </c>
      <c r="AE32" s="49">
        <f>IFERROR($G32*INDEX('Carbon factors'!$C$4:$C$10,MATCH($H32,Fuel_Type,0),1)+$K32*INDEX('Carbon factors'!$C$4:$C$10,MATCH($L32,Fuel_Type,0),1),"")</f>
        <v>244.54413318898293</v>
      </c>
      <c r="AF32" s="47">
        <f>IFERROR($I32*INDEX('Carbon factors'!$C$4:$C$10,MATCH($J32,Fuel_Type,0),1)+$M32*INDEX('Carbon factors'!$C$4:$C$10,MATCH($N32,Fuel_Type,0),1),"")</f>
        <v>213.65123772699735</v>
      </c>
      <c r="AG32" s="47" t="str">
        <f>IFERROR($O32*INDEX('Carbon factors'!$C$4:$C$10,MATCH($P32,Fuel_Type,0),1),"")</f>
        <v/>
      </c>
      <c r="AH32" s="47" t="str">
        <f>IF(Q32="","",Q32*'Carbon factors'!$C$5)</f>
        <v/>
      </c>
      <c r="AI32" s="47" t="str">
        <f>IF(R32="","",R32*'Carbon factors'!$C$5)</f>
        <v/>
      </c>
      <c r="AJ32" s="47">
        <f>IF(S32="","",S32*'Carbon factors'!$C$5)</f>
        <v>73.22957000000001</v>
      </c>
      <c r="AK32" s="47">
        <f>IF(T32="","",T32*'Carbon factors'!$C$5)</f>
        <v>49.167660000000005</v>
      </c>
      <c r="AL32" s="47">
        <f>IF(U32="","",U32*'Carbon factors'!$C$5)</f>
        <v>14.865399999999999</v>
      </c>
      <c r="AM32" s="222">
        <f t="shared" si="0"/>
        <v>595.45800091598028</v>
      </c>
      <c r="AN32" s="61">
        <f t="shared" si="1"/>
        <v>8.3867324072673277</v>
      </c>
    </row>
    <row r="33" spans="1:40" ht="13.5" customHeight="1">
      <c r="A33" s="287" t="str">
        <f>IF(Baseline!A32="","",Baseline!A32)</f>
        <v>B3-A-02-08</v>
      </c>
      <c r="B33" s="141">
        <f>IF(Baseline!B32="","",Baseline!B32)</f>
        <v>83</v>
      </c>
      <c r="C33" s="141">
        <f>IF(Baseline!C32="","",Baseline!C32)</f>
        <v>1</v>
      </c>
      <c r="D33" s="288">
        <f>IF(Baseline!D32="","",Baseline!D32)</f>
        <v>83</v>
      </c>
      <c r="E33" s="96">
        <f t="shared" si="2"/>
        <v>13.254513513299226</v>
      </c>
      <c r="F33" s="109">
        <v>13.25</v>
      </c>
      <c r="G33" s="147">
        <f>667.7*100/93.2</f>
        <v>716.41630901287556</v>
      </c>
      <c r="H33" s="100" t="s">
        <v>11</v>
      </c>
      <c r="I33" s="100">
        <f>566.79*100/93.2</f>
        <v>608.14377682403426</v>
      </c>
      <c r="J33" s="100" t="s">
        <v>11</v>
      </c>
      <c r="K33" s="100">
        <f>1634.7*100/333</f>
        <v>490.90090090090092</v>
      </c>
      <c r="L33" s="100" t="s">
        <v>22</v>
      </c>
      <c r="M33" s="100">
        <f>1387.67*100/333</f>
        <v>416.71771771771773</v>
      </c>
      <c r="N33" s="100" t="s">
        <v>22</v>
      </c>
      <c r="O33" s="100"/>
      <c r="P33" s="100"/>
      <c r="Q33" s="100"/>
      <c r="R33" s="100"/>
      <c r="S33" s="100">
        <v>355.19</v>
      </c>
      <c r="T33" s="100">
        <f>42.57+200.12</f>
        <v>242.69</v>
      </c>
      <c r="U33" s="100">
        <v>62.94</v>
      </c>
      <c r="V33" s="46">
        <f>IFERROR(($G33*INDEX('Carbon factors'!$B$4:$B$10,MATCH($H33,Fuel_Type,0),1))+($K33*INDEX('Carbon factors'!$B$4:$B$10,MATCH($L33,Fuel_Type,0),1)),"")</f>
        <v>409.52349031434869</v>
      </c>
      <c r="W33" s="47">
        <f>IFERROR($M33*INDEX('Carbon factors'!$B$4:$B$10,MATCH($N33,Fuel_Type,0),1)+$I33*INDEX('Carbon factors'!$B$4:$B$10,MATCH($J33,Fuel_Type,0),1),"")</f>
        <v>347.6355512894869</v>
      </c>
      <c r="X33" s="47" t="str">
        <f>IFERROR($O33*INDEX('Carbon factors'!$B$4:$B$10,MATCH($P33,Fuel_Type,0),1),"")</f>
        <v/>
      </c>
      <c r="Y33" s="47" t="str">
        <f>IF(Q33="","",Q33*'Carbon factors'!$B$5)</f>
        <v/>
      </c>
      <c r="Z33" s="47" t="str">
        <f>IF(R33="","",R33*'Carbon factors'!$B$5)</f>
        <v/>
      </c>
      <c r="AA33" s="47">
        <f>IF(S33="","",S33*'Carbon factors'!$B$5)</f>
        <v>184.34361000000001</v>
      </c>
      <c r="AB33" s="47">
        <f>IF(T33="","",T33*'Carbon factors'!$B$5)</f>
        <v>125.95611000000001</v>
      </c>
      <c r="AC33" s="47">
        <f>IF(U33="","",U33*'Carbon factors'!$B$5)</f>
        <v>32.665860000000002</v>
      </c>
      <c r="AD33" s="267">
        <f t="shared" si="3"/>
        <v>1100.1246216038357</v>
      </c>
      <c r="AE33" s="49">
        <f>IFERROR($G33*INDEX('Carbon factors'!$C$4:$C$10,MATCH($H33,Fuel_Type,0),1)+$K33*INDEX('Carbon factors'!$C$4:$C$10,MATCH($L33,Fuel_Type,0),1),"")</f>
        <v>264.82733480261379</v>
      </c>
      <c r="AF33" s="47">
        <f>IFERROR($I33*INDEX('Carbon factors'!$C$4:$C$10,MATCH($J33,Fuel_Type,0),1)+$M33*INDEX('Carbon factors'!$C$4:$C$10,MATCH($N33,Fuel_Type,0),1),"")</f>
        <v>224.80542136127542</v>
      </c>
      <c r="AG33" s="47" t="str">
        <f>IFERROR($O33*INDEX('Carbon factors'!$C$4:$C$10,MATCH($P33,Fuel_Type,0),1),"")</f>
        <v/>
      </c>
      <c r="AH33" s="47" t="str">
        <f>IF(Q33="","",Q33*'Carbon factors'!$C$5)</f>
        <v/>
      </c>
      <c r="AI33" s="47" t="str">
        <f>IF(R33="","",R33*'Carbon factors'!$C$5)</f>
        <v/>
      </c>
      <c r="AJ33" s="47">
        <f>IF(S33="","",S33*'Carbon factors'!$C$5)</f>
        <v>82.759270000000001</v>
      </c>
      <c r="AK33" s="47">
        <f>IF(T33="","",T33*'Carbon factors'!$C$5)</f>
        <v>56.546770000000002</v>
      </c>
      <c r="AL33" s="47">
        <f>IF(U33="","",U33*'Carbon factors'!$C$5)</f>
        <v>14.66502</v>
      </c>
      <c r="AM33" s="222">
        <f t="shared" si="0"/>
        <v>643.60381616388929</v>
      </c>
      <c r="AN33" s="61">
        <f t="shared" si="1"/>
        <v>7.7542628453480633</v>
      </c>
    </row>
    <row r="34" spans="1:40" ht="13.5" customHeight="1">
      <c r="A34" s="287" t="str">
        <f>IF(Baseline!A33="","",Baseline!A33)</f>
        <v>B3-A-03-01</v>
      </c>
      <c r="B34" s="141">
        <f>IF(Baseline!B33="","",Baseline!B33)</f>
        <v>62</v>
      </c>
      <c r="C34" s="141">
        <f>IF(Baseline!C33="","",Baseline!C33)</f>
        <v>16</v>
      </c>
      <c r="D34" s="288">
        <f>IF(Baseline!D33="","",Baseline!D33)</f>
        <v>992</v>
      </c>
      <c r="E34" s="96">
        <f t="shared" si="2"/>
        <v>10.820953453650938</v>
      </c>
      <c r="F34" s="109">
        <v>10.82</v>
      </c>
      <c r="G34" s="147">
        <f>123.47*100/93.2</f>
        <v>132.4785407725322</v>
      </c>
      <c r="H34" s="100" t="s">
        <v>11</v>
      </c>
      <c r="I34" s="100">
        <f>512.21*100/93.2</f>
        <v>549.58154506437768</v>
      </c>
      <c r="J34" s="100" t="s">
        <v>11</v>
      </c>
      <c r="K34" s="100">
        <f>302.3*100/333</f>
        <v>90.780780780780788</v>
      </c>
      <c r="L34" s="100" t="s">
        <v>22</v>
      </c>
      <c r="M34" s="100">
        <f>1254.02*100/333</f>
        <v>376.58258258258257</v>
      </c>
      <c r="N34" s="100" t="s">
        <v>22</v>
      </c>
      <c r="O34" s="100"/>
      <c r="P34" s="100"/>
      <c r="Q34" s="100"/>
      <c r="R34" s="100"/>
      <c r="S34" s="100">
        <v>280.19</v>
      </c>
      <c r="T34" s="100">
        <f>21.92+149.48</f>
        <v>171.39999999999998</v>
      </c>
      <c r="U34" s="100">
        <v>89.86</v>
      </c>
      <c r="V34" s="46">
        <f>IFERROR(($G34*INDEX('Carbon factors'!$B$4:$B$10,MATCH($H34,Fuel_Type,0),1))+($K34*INDEX('Carbon factors'!$B$4:$B$10,MATCH($L34,Fuel_Type,0),1)),"")</f>
        <v>75.730590032092181</v>
      </c>
      <c r="W34" s="47">
        <f>IFERROR($M34*INDEX('Carbon factors'!$B$4:$B$10,MATCH($N34,Fuel_Type,0),1)+$I34*INDEX('Carbon factors'!$B$4:$B$10,MATCH($J34,Fuel_Type,0),1),"")</f>
        <v>314.15597409426596</v>
      </c>
      <c r="X34" s="47" t="str">
        <f>IFERROR($O34*INDEX('Carbon factors'!$B$4:$B$10,MATCH($P34,Fuel_Type,0),1),"")</f>
        <v/>
      </c>
      <c r="Y34" s="47" t="str">
        <f>IF(Q34="","",Q34*'Carbon factors'!$B$5)</f>
        <v/>
      </c>
      <c r="Z34" s="47" t="str">
        <f>IF(R34="","",R34*'Carbon factors'!$B$5)</f>
        <v/>
      </c>
      <c r="AA34" s="47">
        <f>IF(S34="","",S34*'Carbon factors'!$B$5)</f>
        <v>145.41861</v>
      </c>
      <c r="AB34" s="47">
        <f>IF(T34="","",T34*'Carbon factors'!$B$5)</f>
        <v>88.956599999999995</v>
      </c>
      <c r="AC34" s="47">
        <f>IF(U34="","",U34*'Carbon factors'!$B$5)</f>
        <v>46.637340000000002</v>
      </c>
      <c r="AD34" s="267">
        <f t="shared" si="3"/>
        <v>670.8991141263582</v>
      </c>
      <c r="AE34" s="49">
        <f>IFERROR($G34*INDEX('Carbon factors'!$C$4:$C$10,MATCH($H34,Fuel_Type,0),1)+$K34*INDEX('Carbon factors'!$C$4:$C$10,MATCH($L34,Fuel_Type,0),1),"")</f>
        <v>48.972415484153686</v>
      </c>
      <c r="AF34" s="47">
        <f>IFERROR($I34*INDEX('Carbon factors'!$C$4:$C$10,MATCH($J34,Fuel_Type,0),1)+$M34*INDEX('Carbon factors'!$C$4:$C$10,MATCH($N34,Fuel_Type,0),1),"")</f>
        <v>203.15586620526105</v>
      </c>
      <c r="AG34" s="47" t="str">
        <f>IFERROR($O34*INDEX('Carbon factors'!$C$4:$C$10,MATCH($P34,Fuel_Type,0),1),"")</f>
        <v/>
      </c>
      <c r="AH34" s="47" t="str">
        <f>IF(Q34="","",Q34*'Carbon factors'!$C$5)</f>
        <v/>
      </c>
      <c r="AI34" s="47" t="str">
        <f>IF(R34="","",R34*'Carbon factors'!$C$5)</f>
        <v/>
      </c>
      <c r="AJ34" s="47">
        <f>IF(S34="","",S34*'Carbon factors'!$C$5)</f>
        <v>65.284270000000006</v>
      </c>
      <c r="AK34" s="47">
        <f>IF(T34="","",T34*'Carbon factors'!$C$5)</f>
        <v>39.936199999999999</v>
      </c>
      <c r="AL34" s="47">
        <f>IF(U34="","",U34*'Carbon factors'!$C$5)</f>
        <v>20.937380000000001</v>
      </c>
      <c r="AM34" s="222">
        <f t="shared" si="0"/>
        <v>378.28613168941473</v>
      </c>
      <c r="AN34" s="61">
        <f t="shared" si="1"/>
        <v>6.101389220797012</v>
      </c>
    </row>
    <row r="35" spans="1:40" ht="13.5" customHeight="1">
      <c r="A35" s="287" t="str">
        <f>IF(Baseline!A34="","",Baseline!A34)</f>
        <v>B3-A-03-02</v>
      </c>
      <c r="B35" s="141">
        <f>IF(Baseline!B34="","",Baseline!B34)</f>
        <v>57</v>
      </c>
      <c r="C35" s="141">
        <f>IF(Baseline!C34="","",Baseline!C34)</f>
        <v>34</v>
      </c>
      <c r="D35" s="288">
        <f>IF(Baseline!D34="","",Baseline!D34)</f>
        <v>1938</v>
      </c>
      <c r="E35" s="96">
        <f t="shared" si="2"/>
        <v>10.43251717142487</v>
      </c>
      <c r="F35" s="109">
        <v>10.43</v>
      </c>
      <c r="G35" s="147">
        <f>57*100/93.2</f>
        <v>61.158798283261802</v>
      </c>
      <c r="H35" s="100" t="s">
        <v>11</v>
      </c>
      <c r="I35" s="100">
        <f>496.06*100/93.2</f>
        <v>532.2532188841202</v>
      </c>
      <c r="J35" s="100" t="s">
        <v>11</v>
      </c>
      <c r="K35" s="100">
        <f>139.55*100/333</f>
        <v>41.906906906906912</v>
      </c>
      <c r="L35" s="100" t="s">
        <v>22</v>
      </c>
      <c r="M35" s="100">
        <f>1214.49*100/333</f>
        <v>364.7117117117117</v>
      </c>
      <c r="N35" s="100" t="s">
        <v>22</v>
      </c>
      <c r="O35" s="100"/>
      <c r="P35" s="100"/>
      <c r="Q35" s="100"/>
      <c r="R35" s="100"/>
      <c r="S35" s="100">
        <v>260.83</v>
      </c>
      <c r="T35" s="100">
        <f>19.07+137.43</f>
        <v>156.5</v>
      </c>
      <c r="U35" s="100">
        <v>74.849999999999994</v>
      </c>
      <c r="V35" s="46">
        <f>IFERROR(($G35*INDEX('Carbon factors'!$B$4:$B$10,MATCH($H35,Fuel_Type,0),1))+($K35*INDEX('Carbon factors'!$B$4:$B$10,MATCH($L35,Fuel_Type,0),1)),"")</f>
        <v>34.959985113869237</v>
      </c>
      <c r="W35" s="47">
        <f>IFERROR($M35*INDEX('Carbon factors'!$B$4:$B$10,MATCH($N35,Fuel_Type,0),1)+$I35*INDEX('Carbon factors'!$B$4:$B$10,MATCH($J35,Fuel_Type,0),1),"")</f>
        <v>304.25207365734832</v>
      </c>
      <c r="X35" s="47" t="str">
        <f>IFERROR($O35*INDEX('Carbon factors'!$B$4:$B$10,MATCH($P35,Fuel_Type,0),1),"")</f>
        <v/>
      </c>
      <c r="Y35" s="47" t="str">
        <f>IF(Q35="","",Q35*'Carbon factors'!$B$5)</f>
        <v/>
      </c>
      <c r="Z35" s="47" t="str">
        <f>IF(R35="","",R35*'Carbon factors'!$B$5)</f>
        <v/>
      </c>
      <c r="AA35" s="47">
        <f>IF(S35="","",S35*'Carbon factors'!$B$5)</f>
        <v>135.37076999999999</v>
      </c>
      <c r="AB35" s="47">
        <f>IF(T35="","",T35*'Carbon factors'!$B$5)</f>
        <v>81.223500000000001</v>
      </c>
      <c r="AC35" s="47">
        <f>IF(U35="","",U35*'Carbon factors'!$B$5)</f>
        <v>38.847149999999999</v>
      </c>
      <c r="AD35" s="267">
        <f t="shared" si="3"/>
        <v>594.65347877121758</v>
      </c>
      <c r="AE35" s="49">
        <f>IFERROR($G35*INDEX('Carbon factors'!$C$4:$C$10,MATCH($H35,Fuel_Type,0),1)+$K35*INDEX('Carbon factors'!$C$4:$C$10,MATCH($L35,Fuel_Type,0),1),"")</f>
        <v>22.60765694879429</v>
      </c>
      <c r="AF35" s="47">
        <f>IFERROR($I35*INDEX('Carbon factors'!$C$4:$C$10,MATCH($J35,Fuel_Type,0),1)+$M35*INDEX('Carbon factors'!$C$4:$C$10,MATCH($N35,Fuel_Type,0),1),"")</f>
        <v>196.75100479449407</v>
      </c>
      <c r="AG35" s="47" t="str">
        <f>IFERROR($O35*INDEX('Carbon factors'!$C$4:$C$10,MATCH($P35,Fuel_Type,0),1),"")</f>
        <v/>
      </c>
      <c r="AH35" s="47" t="str">
        <f>IF(Q35="","",Q35*'Carbon factors'!$C$5)</f>
        <v/>
      </c>
      <c r="AI35" s="47" t="str">
        <f>IF(R35="","",R35*'Carbon factors'!$C$5)</f>
        <v/>
      </c>
      <c r="AJ35" s="47">
        <f>IF(S35="","",S35*'Carbon factors'!$C$5)</f>
        <v>60.773389999999999</v>
      </c>
      <c r="AK35" s="47">
        <f>IF(T35="","",T35*'Carbon factors'!$C$5)</f>
        <v>36.464500000000001</v>
      </c>
      <c r="AL35" s="47">
        <f>IF(U35="","",U35*'Carbon factors'!$C$5)</f>
        <v>17.440049999999999</v>
      </c>
      <c r="AM35" s="222">
        <f t="shared" si="0"/>
        <v>334.03660174328832</v>
      </c>
      <c r="AN35" s="61">
        <f t="shared" si="1"/>
        <v>5.8602912586541809</v>
      </c>
    </row>
    <row r="36" spans="1:40" ht="13.5" customHeight="1">
      <c r="A36" s="287" t="str">
        <f>IF(Baseline!A35="","",Baseline!A35)</f>
        <v>B3-A-03-07</v>
      </c>
      <c r="B36" s="141">
        <f>IF(Baseline!B35="","",Baseline!B35)</f>
        <v>78</v>
      </c>
      <c r="C36" s="141">
        <f>IF(Baseline!C35="","",Baseline!C35)</f>
        <v>22</v>
      </c>
      <c r="D36" s="288">
        <f>IF(Baseline!D35="","",Baseline!D35)</f>
        <v>1716</v>
      </c>
      <c r="E36" s="96">
        <f t="shared" si="2"/>
        <v>11.767779943107518</v>
      </c>
      <c r="F36" s="109">
        <v>11.77</v>
      </c>
      <c r="G36" s="147">
        <f>419.18*100/93.2</f>
        <v>449.76394849785407</v>
      </c>
      <c r="H36" s="100" t="s">
        <v>11</v>
      </c>
      <c r="I36" s="100">
        <f>556.15*100/93.2</f>
        <v>596.72746781115882</v>
      </c>
      <c r="J36" s="100" t="s">
        <v>11</v>
      </c>
      <c r="K36" s="100">
        <f>1026.27*100/333</f>
        <v>308.18918918918916</v>
      </c>
      <c r="L36" s="100" t="s">
        <v>22</v>
      </c>
      <c r="M36" s="100">
        <f>1361.62*100/333</f>
        <v>408.89489489489489</v>
      </c>
      <c r="N36" s="100" t="s">
        <v>22</v>
      </c>
      <c r="O36" s="100"/>
      <c r="P36" s="100"/>
      <c r="Q36" s="100"/>
      <c r="R36" s="100"/>
      <c r="S36" s="100">
        <v>338.83</v>
      </c>
      <c r="T36" s="100">
        <f>33.63+188.06</f>
        <v>221.69</v>
      </c>
      <c r="U36" s="100">
        <v>55.43</v>
      </c>
      <c r="V36" s="46">
        <f>IFERROR(($G36*INDEX('Carbon factors'!$B$4:$B$10,MATCH($H36,Fuel_Type,0),1))+($K36*INDEX('Carbon factors'!$B$4:$B$10,MATCH($L36,Fuel_Type,0),1)),"")</f>
        <v>257.09920206472566</v>
      </c>
      <c r="W36" s="47">
        <f>IFERROR($M36*INDEX('Carbon factors'!$B$4:$B$10,MATCH($N36,Fuel_Type,0),1)+$I36*INDEX('Carbon factors'!$B$4:$B$10,MATCH($J36,Fuel_Type,0),1),"")</f>
        <v>341.10958349766076</v>
      </c>
      <c r="X36" s="47" t="str">
        <f>IFERROR($O36*INDEX('Carbon factors'!$B$4:$B$10,MATCH($P36,Fuel_Type,0),1),"")</f>
        <v/>
      </c>
      <c r="Y36" s="47" t="str">
        <f>IF(Q36="","",Q36*'Carbon factors'!$B$5)</f>
        <v/>
      </c>
      <c r="Z36" s="47" t="str">
        <f>IF(R36="","",R36*'Carbon factors'!$B$5)</f>
        <v/>
      </c>
      <c r="AA36" s="47">
        <f>IF(S36="","",S36*'Carbon factors'!$B$5)</f>
        <v>175.85276999999999</v>
      </c>
      <c r="AB36" s="47">
        <f>IF(T36="","",T36*'Carbon factors'!$B$5)</f>
        <v>115.05711000000001</v>
      </c>
      <c r="AC36" s="47">
        <f>IF(U36="","",U36*'Carbon factors'!$B$5)</f>
        <v>28.768170000000001</v>
      </c>
      <c r="AD36" s="267">
        <f t="shared" si="3"/>
        <v>917.88683556238641</v>
      </c>
      <c r="AE36" s="49">
        <f>IFERROR($G36*INDEX('Carbon factors'!$C$4:$C$10,MATCH($H36,Fuel_Type,0),1)+$K36*INDEX('Carbon factors'!$C$4:$C$10,MATCH($L36,Fuel_Type,0),1),"")</f>
        <v>166.25851026563043</v>
      </c>
      <c r="AF36" s="47">
        <f>IFERROR($I36*INDEX('Carbon factors'!$C$4:$C$10,MATCH($J36,Fuel_Type,0),1)+$M36*INDEX('Carbon factors'!$C$4:$C$10,MATCH($N36,Fuel_Type,0),1),"")</f>
        <v>220.58527875085386</v>
      </c>
      <c r="AG36" s="47" t="str">
        <f>IFERROR($O36*INDEX('Carbon factors'!$C$4:$C$10,MATCH($P36,Fuel_Type,0),1),"")</f>
        <v/>
      </c>
      <c r="AH36" s="47" t="str">
        <f>IF(Q36="","",Q36*'Carbon factors'!$C$5)</f>
        <v/>
      </c>
      <c r="AI36" s="47" t="str">
        <f>IF(R36="","",R36*'Carbon factors'!$C$5)</f>
        <v/>
      </c>
      <c r="AJ36" s="47">
        <f>IF(S36="","",S36*'Carbon factors'!$C$5)</f>
        <v>78.947389999999999</v>
      </c>
      <c r="AK36" s="47">
        <f>IF(T36="","",T36*'Carbon factors'!$C$5)</f>
        <v>51.653770000000002</v>
      </c>
      <c r="AL36" s="47">
        <f>IF(U36="","",U36*'Carbon factors'!$C$5)</f>
        <v>12.915190000000001</v>
      </c>
      <c r="AM36" s="222">
        <f t="shared" si="0"/>
        <v>530.36013901648425</v>
      </c>
      <c r="AN36" s="61">
        <f t="shared" si="1"/>
        <v>6.7994889617497982</v>
      </c>
    </row>
    <row r="37" spans="1:40" ht="13.5" customHeight="1">
      <c r="A37" s="287" t="str">
        <f>IF(Baseline!A36="","",Baseline!A36)</f>
        <v>B3-A-03-08</v>
      </c>
      <c r="B37" s="141">
        <f>IF(Baseline!B36="","",Baseline!B36)</f>
        <v>77</v>
      </c>
      <c r="C37" s="141">
        <f>IF(Baseline!C36="","",Baseline!C36)</f>
        <v>16</v>
      </c>
      <c r="D37" s="288">
        <f>IF(Baseline!D36="","",Baseline!D36)</f>
        <v>1232</v>
      </c>
      <c r="E37" s="96">
        <f t="shared" si="2"/>
        <v>10.924723965008429</v>
      </c>
      <c r="F37" s="109">
        <v>10.92</v>
      </c>
      <c r="G37" s="147">
        <f>286.51*100/93.2</f>
        <v>307.41416309012874</v>
      </c>
      <c r="H37" s="100" t="s">
        <v>11</v>
      </c>
      <c r="I37" s="100">
        <f>553.84*100/93.2</f>
        <v>594.24892703862656</v>
      </c>
      <c r="J37" s="100" t="s">
        <v>11</v>
      </c>
      <c r="K37" s="100">
        <f>701.45*100/333</f>
        <v>210.64564564564566</v>
      </c>
      <c r="L37" s="100" t="s">
        <v>22</v>
      </c>
      <c r="M37" s="100">
        <f>1355.95*100/333</f>
        <v>407.19219219219218</v>
      </c>
      <c r="N37" s="100" t="s">
        <v>22</v>
      </c>
      <c r="O37" s="100"/>
      <c r="P37" s="100"/>
      <c r="Q37" s="100"/>
      <c r="R37" s="100"/>
      <c r="S37" s="100">
        <v>335.44</v>
      </c>
      <c r="T37" s="100">
        <f>28.98+185.65</f>
        <v>214.63</v>
      </c>
      <c r="U37" s="100">
        <v>77.650000000000006</v>
      </c>
      <c r="V37" s="46">
        <f>IFERROR(($G37*INDEX('Carbon factors'!$B$4:$B$10,MATCH($H37,Fuel_Type,0),1))+($K37*INDEX('Carbon factors'!$B$4:$B$10,MATCH($L37,Fuel_Type,0),1)),"")</f>
        <v>175.7265493175579</v>
      </c>
      <c r="W37" s="47">
        <f>IFERROR($M37*INDEX('Carbon factors'!$B$4:$B$10,MATCH($N37,Fuel_Type,0),1)+$I37*INDEX('Carbon factors'!$B$4:$B$10,MATCH($J37,Fuel_Type,0),1),"")</f>
        <v>339.69051598809108</v>
      </c>
      <c r="X37" s="47" t="str">
        <f>IFERROR($O37*INDEX('Carbon factors'!$B$4:$B$10,MATCH($P37,Fuel_Type,0),1),"")</f>
        <v/>
      </c>
      <c r="Y37" s="47" t="str">
        <f>IF(Q37="","",Q37*'Carbon factors'!$B$5)</f>
        <v/>
      </c>
      <c r="Z37" s="47" t="str">
        <f>IF(R37="","",R37*'Carbon factors'!$B$5)</f>
        <v/>
      </c>
      <c r="AA37" s="47">
        <f>IF(S37="","",S37*'Carbon factors'!$B$5)</f>
        <v>174.09336000000002</v>
      </c>
      <c r="AB37" s="47">
        <f>IF(T37="","",T37*'Carbon factors'!$B$5)</f>
        <v>111.39297000000001</v>
      </c>
      <c r="AC37" s="47">
        <f>IF(U37="","",U37*'Carbon factors'!$B$5)</f>
        <v>40.300350000000002</v>
      </c>
      <c r="AD37" s="267">
        <f t="shared" si="3"/>
        <v>841.20374530564902</v>
      </c>
      <c r="AE37" s="49">
        <f>IFERROR($G37*INDEX('Carbon factors'!$C$4:$C$10,MATCH($H37,Fuel_Type,0),1)+$K37*INDEX('Carbon factors'!$C$4:$C$10,MATCH($L37,Fuel_Type,0),1),"")</f>
        <v>113.63740968436247</v>
      </c>
      <c r="AF37" s="47">
        <f>IFERROR($I37*INDEX('Carbon factors'!$C$4:$C$10,MATCH($J37,Fuel_Type,0),1)+$M37*INDEX('Carbon factors'!$C$4:$C$10,MATCH($N37,Fuel_Type,0),1),"")</f>
        <v>219.66805545889235</v>
      </c>
      <c r="AG37" s="47" t="str">
        <f>IFERROR($O37*INDEX('Carbon factors'!$C$4:$C$10,MATCH($P37,Fuel_Type,0),1),"")</f>
        <v/>
      </c>
      <c r="AH37" s="47" t="str">
        <f>IF(Q37="","",Q37*'Carbon factors'!$C$5)</f>
        <v/>
      </c>
      <c r="AI37" s="47" t="str">
        <f>IF(R37="","",R37*'Carbon factors'!$C$5)</f>
        <v/>
      </c>
      <c r="AJ37" s="47">
        <f>IF(S37="","",S37*'Carbon factors'!$C$5)</f>
        <v>78.157520000000005</v>
      </c>
      <c r="AK37" s="47">
        <f>IF(T37="","",T37*'Carbon factors'!$C$5)</f>
        <v>50.008790000000005</v>
      </c>
      <c r="AL37" s="47">
        <f>IF(U37="","",U37*'Carbon factors'!$C$5)</f>
        <v>18.092450000000003</v>
      </c>
      <c r="AM37" s="222">
        <f t="shared" si="0"/>
        <v>479.56422514325482</v>
      </c>
      <c r="AN37" s="61">
        <f t="shared" si="1"/>
        <v>6.22810682004227</v>
      </c>
    </row>
    <row r="38" spans="1:40" ht="13.5" customHeight="1">
      <c r="A38" s="287" t="str">
        <f>IF(Baseline!A37="","",Baseline!A37)</f>
        <v>B3-A-09-05</v>
      </c>
      <c r="B38" s="141">
        <f>IF(Baseline!B37="","",Baseline!B37)</f>
        <v>97</v>
      </c>
      <c r="C38" s="141">
        <f>IF(Baseline!C37="","",Baseline!C37)</f>
        <v>3</v>
      </c>
      <c r="D38" s="288">
        <f>IF(Baseline!D37="","",Baseline!D37)</f>
        <v>291</v>
      </c>
      <c r="E38" s="96">
        <f t="shared" si="2"/>
        <v>11.909065691089966</v>
      </c>
      <c r="F38" s="109">
        <v>11.91</v>
      </c>
      <c r="G38" s="147">
        <f>645.96*100/93.2</f>
        <v>693.09012875536473</v>
      </c>
      <c r="H38" s="100" t="s">
        <v>11</v>
      </c>
      <c r="I38" s="100">
        <f>588.71*100/93.2</f>
        <v>631.66309012875536</v>
      </c>
      <c r="J38" s="100" t="s">
        <v>11</v>
      </c>
      <c r="K38" s="100">
        <f>1581.5*100/333</f>
        <v>474.92492492492494</v>
      </c>
      <c r="L38" s="100" t="s">
        <v>22</v>
      </c>
      <c r="M38" s="100">
        <f>1441.33*100/333</f>
        <v>432.83183183183183</v>
      </c>
      <c r="N38" s="100" t="s">
        <v>22</v>
      </c>
      <c r="O38" s="100"/>
      <c r="P38" s="100"/>
      <c r="Q38" s="100"/>
      <c r="R38" s="100"/>
      <c r="S38" s="100">
        <v>395.79</v>
      </c>
      <c r="T38" s="100">
        <f>42.58+233.87</f>
        <v>276.45</v>
      </c>
      <c r="U38" s="100">
        <v>94.44</v>
      </c>
      <c r="V38" s="46">
        <f>IFERROR(($G38*INDEX('Carbon factors'!$B$4:$B$10,MATCH($H38,Fuel_Type,0),1))+($K38*INDEX('Carbon factors'!$B$4:$B$10,MATCH($L38,Fuel_Type,0),1)),"")</f>
        <v>396.19350384719485</v>
      </c>
      <c r="W38" s="47">
        <f>IFERROR($M38*INDEX('Carbon factors'!$B$4:$B$10,MATCH($N38,Fuel_Type,0),1)+$I38*INDEX('Carbon factors'!$B$4:$B$10,MATCH($J38,Fuel_Type,0),1),"")</f>
        <v>361.07894818853185</v>
      </c>
      <c r="X38" s="47" t="str">
        <f>IFERROR($O38*INDEX('Carbon factors'!$B$4:$B$10,MATCH($P38,Fuel_Type,0),1),"")</f>
        <v/>
      </c>
      <c r="Y38" s="47" t="str">
        <f>IF(Q38="","",Q38*'Carbon factors'!$B$5)</f>
        <v/>
      </c>
      <c r="Z38" s="47" t="str">
        <f>IF(R38="","",R38*'Carbon factors'!$B$5)</f>
        <v/>
      </c>
      <c r="AA38" s="47">
        <f>IF(S38="","",S38*'Carbon factors'!$B$5)</f>
        <v>205.41501000000002</v>
      </c>
      <c r="AB38" s="47">
        <f>IF(T38="","",T38*'Carbon factors'!$B$5)</f>
        <v>143.47755000000001</v>
      </c>
      <c r="AC38" s="47">
        <f>IF(U38="","",U38*'Carbon factors'!$B$5)</f>
        <v>49.014360000000003</v>
      </c>
      <c r="AD38" s="267">
        <f t="shared" si="3"/>
        <v>1155.1793720357266</v>
      </c>
      <c r="AE38" s="49">
        <f>IFERROR($G38*INDEX('Carbon factors'!$C$4:$C$10,MATCH($H38,Fuel_Type,0),1)+$K38*INDEX('Carbon factors'!$C$4:$C$10,MATCH($L38,Fuel_Type,0),1),"")</f>
        <v>256.20643454613412</v>
      </c>
      <c r="AF38" s="47">
        <f>IFERROR($I38*INDEX('Carbon factors'!$C$4:$C$10,MATCH($J38,Fuel_Type,0),1)+$M38*INDEX('Carbon factors'!$C$4:$C$10,MATCH($N38,Fuel_Type,0),1),"")</f>
        <v>233.49906574385545</v>
      </c>
      <c r="AG38" s="47" t="str">
        <f>IFERROR($O38*INDEX('Carbon factors'!$C$4:$C$10,MATCH($P38,Fuel_Type,0),1),"")</f>
        <v/>
      </c>
      <c r="AH38" s="47" t="str">
        <f>IF(Q38="","",Q38*'Carbon factors'!$C$5)</f>
        <v/>
      </c>
      <c r="AI38" s="47" t="str">
        <f>IF(R38="","",R38*'Carbon factors'!$C$5)</f>
        <v/>
      </c>
      <c r="AJ38" s="47">
        <f>IF(S38="","",S38*'Carbon factors'!$C$5)</f>
        <v>92.219070000000016</v>
      </c>
      <c r="AK38" s="47">
        <f>IF(T38="","",T38*'Carbon factors'!$C$5)</f>
        <v>64.412850000000006</v>
      </c>
      <c r="AL38" s="47">
        <f>IF(U38="","",U38*'Carbon factors'!$C$5)</f>
        <v>22.004519999999999</v>
      </c>
      <c r="AM38" s="222">
        <f t="shared" si="0"/>
        <v>668.34194028998957</v>
      </c>
      <c r="AN38" s="61">
        <f t="shared" si="1"/>
        <v>6.8901230957730881</v>
      </c>
    </row>
    <row r="39" spans="1:40" ht="13.5" customHeight="1">
      <c r="A39" s="287" t="str">
        <f>IF(Baseline!A38="","",Baseline!A38)</f>
        <v>B3-A-09-06</v>
      </c>
      <c r="B39" s="141">
        <f>IF(Baseline!B38="","",Baseline!B38)</f>
        <v>78</v>
      </c>
      <c r="C39" s="141">
        <f>IF(Baseline!C38="","",Baseline!C38)</f>
        <v>3</v>
      </c>
      <c r="D39" s="288">
        <f>IF(Baseline!D38="","",Baseline!D38)</f>
        <v>234</v>
      </c>
      <c r="E39" s="96">
        <f t="shared" si="2"/>
        <v>11.374075874296219</v>
      </c>
      <c r="F39" s="109">
        <v>11.37</v>
      </c>
      <c r="G39" s="147">
        <f>350.25*100/93.2</f>
        <v>375.80472103004291</v>
      </c>
      <c r="H39" s="100" t="s">
        <v>11</v>
      </c>
      <c r="I39" s="100">
        <f>556.15*100/93.2</f>
        <v>596.72746781115882</v>
      </c>
      <c r="J39" s="100" t="s">
        <v>11</v>
      </c>
      <c r="K39" s="100">
        <f>857.51*100/333</f>
        <v>257.51051051051053</v>
      </c>
      <c r="L39" s="100" t="s">
        <v>22</v>
      </c>
      <c r="M39" s="100">
        <f>1361.62*100/333</f>
        <v>408.89489489489489</v>
      </c>
      <c r="N39" s="100" t="s">
        <v>22</v>
      </c>
      <c r="O39" s="100"/>
      <c r="P39" s="100"/>
      <c r="Q39" s="100"/>
      <c r="R39" s="100"/>
      <c r="S39" s="100">
        <v>338.83</v>
      </c>
      <c r="T39" s="100">
        <f>31.26+188.06</f>
        <v>219.32</v>
      </c>
      <c r="U39" s="100">
        <v>80.09</v>
      </c>
      <c r="V39" s="46">
        <f>IFERROR(($G39*INDEX('Carbon factors'!$B$4:$B$10,MATCH($H39,Fuel_Type,0),1))+($K39*INDEX('Carbon factors'!$B$4:$B$10,MATCH($L39,Fuel_Type,0),1)),"")</f>
        <v>214.82177469744425</v>
      </c>
      <c r="W39" s="47">
        <f>IFERROR($M39*INDEX('Carbon factors'!$B$4:$B$10,MATCH($N39,Fuel_Type,0),1)+$I39*INDEX('Carbon factors'!$B$4:$B$10,MATCH($J39,Fuel_Type,0),1),"")</f>
        <v>341.10958349766076</v>
      </c>
      <c r="X39" s="47" t="str">
        <f>IFERROR($O39*INDEX('Carbon factors'!$B$4:$B$10,MATCH($P39,Fuel_Type,0),1),"")</f>
        <v/>
      </c>
      <c r="Y39" s="47" t="str">
        <f>IF(Q39="","",Q39*'Carbon factors'!$B$5)</f>
        <v/>
      </c>
      <c r="Z39" s="47" t="str">
        <f>IF(R39="","",R39*'Carbon factors'!$B$5)</f>
        <v/>
      </c>
      <c r="AA39" s="47">
        <f>IF(S39="","",S39*'Carbon factors'!$B$5)</f>
        <v>175.85276999999999</v>
      </c>
      <c r="AB39" s="47">
        <f>IF(T39="","",T39*'Carbon factors'!$B$5)</f>
        <v>113.82708</v>
      </c>
      <c r="AC39" s="47">
        <f>IF(U39="","",U39*'Carbon factors'!$B$5)</f>
        <v>41.56671</v>
      </c>
      <c r="AD39" s="267">
        <f t="shared" si="3"/>
        <v>887.17791819510512</v>
      </c>
      <c r="AE39" s="49">
        <f>IFERROR($G39*INDEX('Carbon factors'!$C$4:$C$10,MATCH($H39,Fuel_Type,0),1)+$K39*INDEX('Carbon factors'!$C$4:$C$10,MATCH($L39,Fuel_Type,0),1),"")</f>
        <v>138.91894036525798</v>
      </c>
      <c r="AF39" s="47">
        <f>IFERROR($I39*INDEX('Carbon factors'!$C$4:$C$10,MATCH($J39,Fuel_Type,0),1)+$M39*INDEX('Carbon factors'!$C$4:$C$10,MATCH($N39,Fuel_Type,0),1),"")</f>
        <v>220.58527875085386</v>
      </c>
      <c r="AG39" s="47" t="str">
        <f>IFERROR($O39*INDEX('Carbon factors'!$C$4:$C$10,MATCH($P39,Fuel_Type,0),1),"")</f>
        <v/>
      </c>
      <c r="AH39" s="47" t="str">
        <f>IF(Q39="","",Q39*'Carbon factors'!$C$5)</f>
        <v/>
      </c>
      <c r="AI39" s="47" t="str">
        <f>IF(R39="","",R39*'Carbon factors'!$C$5)</f>
        <v/>
      </c>
      <c r="AJ39" s="47">
        <f>IF(S39="","",S39*'Carbon factors'!$C$5)</f>
        <v>78.947389999999999</v>
      </c>
      <c r="AK39" s="47">
        <f>IF(T39="","",T39*'Carbon factors'!$C$5)</f>
        <v>51.101559999999999</v>
      </c>
      <c r="AL39" s="47">
        <f>IF(U39="","",U39*'Carbon factors'!$C$5)</f>
        <v>18.660970000000002</v>
      </c>
      <c r="AM39" s="222">
        <f t="shared" si="0"/>
        <v>508.21413911611182</v>
      </c>
      <c r="AN39" s="61">
        <f t="shared" si="1"/>
        <v>6.5155658861039978</v>
      </c>
    </row>
    <row r="40" spans="1:40" ht="13.5" customHeight="1">
      <c r="A40" s="287" t="str">
        <f>IF(Baseline!A39="","",Baseline!A39)</f>
        <v>B3-A-12-B3-01</v>
      </c>
      <c r="B40" s="141">
        <f>IF(Baseline!B39="","",Baseline!B39)</f>
        <v>149</v>
      </c>
      <c r="C40" s="141">
        <f>IF(Baseline!C39="","",Baseline!C39)</f>
        <v>2</v>
      </c>
      <c r="D40" s="288">
        <f>IF(Baseline!D39="","",Baseline!D39)</f>
        <v>298</v>
      </c>
      <c r="E40" s="96">
        <f t="shared" si="2"/>
        <v>11.548515771422833</v>
      </c>
      <c r="F40" s="109">
        <v>11.55</v>
      </c>
      <c r="G40" s="147">
        <f>1268.57*100/93.2</f>
        <v>1361.12660944206</v>
      </c>
      <c r="H40" s="100" t="s">
        <v>11</v>
      </c>
      <c r="I40" s="100">
        <f>614.05*100/93.2</f>
        <v>658.85193133047198</v>
      </c>
      <c r="J40" s="100" t="s">
        <v>11</v>
      </c>
      <c r="K40" s="100">
        <f>3105.81*100/333</f>
        <v>932.67567567567562</v>
      </c>
      <c r="L40" s="100" t="s">
        <v>22</v>
      </c>
      <c r="M40" s="100">
        <f>1503.36*100/333</f>
        <v>451.45945945945948</v>
      </c>
      <c r="N40" s="100" t="s">
        <v>22</v>
      </c>
      <c r="O40" s="100"/>
      <c r="P40" s="100"/>
      <c r="Q40" s="100"/>
      <c r="R40" s="100"/>
      <c r="S40" s="100">
        <v>502.92</v>
      </c>
      <c r="T40" s="100">
        <f>64.92+382.42</f>
        <v>447.34000000000003</v>
      </c>
      <c r="U40" s="100">
        <v>140.38999999999999</v>
      </c>
      <c r="V40" s="46">
        <f>IFERROR(($G40*INDEX('Carbon factors'!$B$4:$B$10,MATCH($H40,Fuel_Type,0),1))+($K40*INDEX('Carbon factors'!$B$4:$B$10,MATCH($L40,Fuel_Type,0),1)),"")</f>
        <v>778.06202331516056</v>
      </c>
      <c r="W40" s="47">
        <f>IFERROR($M40*INDEX('Carbon factors'!$B$4:$B$10,MATCH($N40,Fuel_Type,0),1)+$I40*INDEX('Carbon factors'!$B$4:$B$10,MATCH($J40,Fuel_Type,0),1),"")</f>
        <v>376.61947662684145</v>
      </c>
      <c r="X40" s="47" t="str">
        <f>IFERROR($O40*INDEX('Carbon factors'!$B$4:$B$10,MATCH($P40,Fuel_Type,0),1),"")</f>
        <v/>
      </c>
      <c r="Y40" s="47" t="str">
        <f>IF(Q40="","",Q40*'Carbon factors'!$B$5)</f>
        <v/>
      </c>
      <c r="Z40" s="47" t="str">
        <f>IF(R40="","",R40*'Carbon factors'!$B$5)</f>
        <v/>
      </c>
      <c r="AA40" s="47">
        <f>IF(S40="","",S40*'Carbon factors'!$B$5)</f>
        <v>261.01548000000003</v>
      </c>
      <c r="AB40" s="47">
        <f>IF(T40="","",T40*'Carbon factors'!$B$5)</f>
        <v>232.16946000000002</v>
      </c>
      <c r="AC40" s="47">
        <f>IF(U40="","",U40*'Carbon factors'!$B$5)</f>
        <v>72.862409999999997</v>
      </c>
      <c r="AD40" s="267">
        <f t="shared" si="3"/>
        <v>1720.7288499420022</v>
      </c>
      <c r="AE40" s="49">
        <f>IFERROR($G40*INDEX('Carbon factors'!$C$4:$C$10,MATCH($H40,Fuel_Type,0),1)+$K40*INDEX('Carbon factors'!$C$4:$C$10,MATCH($L40,Fuel_Type,0),1),"")</f>
        <v>503.15002041526503</v>
      </c>
      <c r="AF40" s="47">
        <f>IFERROR($I40*INDEX('Carbon factors'!$C$4:$C$10,MATCH($J40,Fuel_Type,0),1)+$M40*INDEX('Carbon factors'!$C$4:$C$10,MATCH($N40,Fuel_Type,0),1),"")</f>
        <v>243.54895963345317</v>
      </c>
      <c r="AG40" s="47" t="str">
        <f>IFERROR($O40*INDEX('Carbon factors'!$C$4:$C$10,MATCH($P40,Fuel_Type,0),1),"")</f>
        <v/>
      </c>
      <c r="AH40" s="47" t="str">
        <f>IF(Q40="","",Q40*'Carbon factors'!$C$5)</f>
        <v/>
      </c>
      <c r="AI40" s="47" t="str">
        <f>IF(R40="","",R40*'Carbon factors'!$C$5)</f>
        <v/>
      </c>
      <c r="AJ40" s="47">
        <f>IF(S40="","",S40*'Carbon factors'!$C$5)</f>
        <v>117.18036000000001</v>
      </c>
      <c r="AK40" s="47">
        <f>IF(T40="","",T40*'Carbon factors'!$C$5)</f>
        <v>104.23022000000002</v>
      </c>
      <c r="AL40" s="47">
        <f>IF(U40="","",U40*'Carbon factors'!$C$5)</f>
        <v>32.71087</v>
      </c>
      <c r="AM40" s="222">
        <f t="shared" si="0"/>
        <v>1000.8204300487182</v>
      </c>
      <c r="AN40" s="61">
        <f t="shared" si="1"/>
        <v>6.7169156379108603</v>
      </c>
    </row>
    <row r="41" spans="1:40" ht="13.5" customHeight="1">
      <c r="A41" s="287" t="str">
        <f>IF(Baseline!A40="","",Baseline!A40)</f>
        <v>B2-A-03-01</v>
      </c>
      <c r="B41" s="141">
        <f>IF(Baseline!B40="","",Baseline!B40)</f>
        <v>81</v>
      </c>
      <c r="C41" s="141">
        <f>IF(Baseline!C40="","",Baseline!C40)</f>
        <v>1</v>
      </c>
      <c r="D41" s="288">
        <f>IF(Baseline!D40="","",Baseline!D40)</f>
        <v>81</v>
      </c>
      <c r="E41" s="96">
        <f t="shared" si="2"/>
        <v>10.367290509622638</v>
      </c>
      <c r="F41" s="109">
        <v>10.37</v>
      </c>
      <c r="G41" s="147">
        <f>207.46*100/93.2</f>
        <v>222.59656652360513</v>
      </c>
      <c r="H41" s="100" t="s">
        <v>11</v>
      </c>
      <c r="I41" s="100">
        <f>562.72*100/93.2</f>
        <v>603.77682403433471</v>
      </c>
      <c r="J41" s="100" t="s">
        <v>11</v>
      </c>
      <c r="K41" s="100">
        <f>507.92*100/333</f>
        <v>152.52852852852854</v>
      </c>
      <c r="L41" s="100" t="s">
        <v>22</v>
      </c>
      <c r="M41" s="100">
        <f>1377.7*100/333</f>
        <v>413.72372372372371</v>
      </c>
      <c r="N41" s="100" t="s">
        <v>22</v>
      </c>
      <c r="O41" s="100"/>
      <c r="P41" s="100"/>
      <c r="Q41" s="100"/>
      <c r="R41" s="100"/>
      <c r="S41" s="100">
        <v>348.76</v>
      </c>
      <c r="T41" s="100">
        <f>26.56+195.29</f>
        <v>221.85</v>
      </c>
      <c r="U41" s="100">
        <v>137.22999999999999</v>
      </c>
      <c r="V41" s="46">
        <f>IFERROR(($G41*INDEX('Carbon factors'!$B$4:$B$10,MATCH($H41,Fuel_Type,0),1))+($K41*INDEX('Carbon factors'!$B$4:$B$10,MATCH($L41,Fuel_Type,0),1)),"")</f>
        <v>127.24316467540503</v>
      </c>
      <c r="W41" s="47">
        <f>IFERROR($M41*INDEX('Carbon factors'!$B$4:$B$10,MATCH($N41,Fuel_Type,0),1)+$I41*INDEX('Carbon factors'!$B$4:$B$10,MATCH($J41,Fuel_Type,0),1),"")</f>
        <v>345.13840660402889</v>
      </c>
      <c r="X41" s="47" t="str">
        <f>IFERROR($O41*INDEX('Carbon factors'!$B$4:$B$10,MATCH($P41,Fuel_Type,0),1),"")</f>
        <v/>
      </c>
      <c r="Y41" s="47" t="str">
        <f>IF(Q41="","",Q41*'Carbon factors'!$B$5)</f>
        <v/>
      </c>
      <c r="Z41" s="47" t="str">
        <f>IF(R41="","",R41*'Carbon factors'!$B$5)</f>
        <v/>
      </c>
      <c r="AA41" s="47">
        <f>IF(S41="","",S41*'Carbon factors'!$B$5)</f>
        <v>181.00644</v>
      </c>
      <c r="AB41" s="47">
        <f>IF(T41="","",T41*'Carbon factors'!$B$5)</f>
        <v>115.14015000000001</v>
      </c>
      <c r="AC41" s="47">
        <f>IF(U41="","",U41*'Carbon factors'!$B$5)</f>
        <v>71.222369999999998</v>
      </c>
      <c r="AD41" s="267">
        <f t="shared" si="3"/>
        <v>839.75053127943374</v>
      </c>
      <c r="AE41" s="49">
        <f>IFERROR($G41*INDEX('Carbon factors'!$C$4:$C$10,MATCH($H41,Fuel_Type,0),1)+$K41*INDEX('Carbon factors'!$C$4:$C$10,MATCH($L41,Fuel_Type,0),1),"")</f>
        <v>82.284426117104232</v>
      </c>
      <c r="AF41" s="47">
        <f>IFERROR($I41*INDEX('Carbon factors'!$C$4:$C$10,MATCH($J41,Fuel_Type,0),1)+$M41*INDEX('Carbon factors'!$C$4:$C$10,MATCH($N41,Fuel_Type,0),1),"")</f>
        <v>223.19076067483792</v>
      </c>
      <c r="AG41" s="47" t="str">
        <f>IFERROR($O41*INDEX('Carbon factors'!$C$4:$C$10,MATCH($P41,Fuel_Type,0),1),"")</f>
        <v/>
      </c>
      <c r="AH41" s="47" t="str">
        <f>IF(Q41="","",Q41*'Carbon factors'!$C$5)</f>
        <v/>
      </c>
      <c r="AI41" s="47" t="str">
        <f>IF(R41="","",R41*'Carbon factors'!$C$5)</f>
        <v/>
      </c>
      <c r="AJ41" s="47">
        <f>IF(S41="","",S41*'Carbon factors'!$C$5)</f>
        <v>81.261080000000007</v>
      </c>
      <c r="AK41" s="47">
        <f>IF(T41="","",T41*'Carbon factors'!$C$5)</f>
        <v>51.691050000000004</v>
      </c>
      <c r="AL41" s="47">
        <f>IF(U41="","",U41*'Carbon factors'!$C$5)</f>
        <v>31.974589999999999</v>
      </c>
      <c r="AM41" s="222">
        <f t="shared" si="0"/>
        <v>470.40190679194217</v>
      </c>
      <c r="AN41" s="61">
        <f t="shared" si="1"/>
        <v>5.807430948048669</v>
      </c>
    </row>
    <row r="42" spans="1:40" ht="13.5" customHeight="1">
      <c r="A42" s="287" t="str">
        <f>IF(Baseline!A41="","",Baseline!A41)</f>
        <v>B2-A-03-02</v>
      </c>
      <c r="B42" s="141">
        <f>IF(Baseline!B41="","",Baseline!B41)</f>
        <v>41</v>
      </c>
      <c r="C42" s="141">
        <f>IF(Baseline!C41="","",Baseline!C41)</f>
        <v>1</v>
      </c>
      <c r="D42" s="288">
        <f>IF(Baseline!D41="","",Baseline!D41)</f>
        <v>41</v>
      </c>
      <c r="E42" s="96">
        <f t="shared" si="2"/>
        <v>12.287384437104331</v>
      </c>
      <c r="F42" s="109">
        <v>12.28</v>
      </c>
      <c r="G42" s="147">
        <f>72.38*100/93.2</f>
        <v>77.66094420600858</v>
      </c>
      <c r="H42" s="100" t="s">
        <v>11</v>
      </c>
      <c r="I42" s="100">
        <f>443.43*100/93.2</f>
        <v>475.78326180257511</v>
      </c>
      <c r="J42" s="100" t="s">
        <v>11</v>
      </c>
      <c r="K42" s="100">
        <f>177.21*100/333</f>
        <v>53.216216216216218</v>
      </c>
      <c r="L42" s="100" t="s">
        <v>22</v>
      </c>
      <c r="M42" s="100">
        <f>1086.64*100/333</f>
        <v>326.31831831831835</v>
      </c>
      <c r="N42" s="100" t="s">
        <v>22</v>
      </c>
      <c r="O42" s="100"/>
      <c r="P42" s="100"/>
      <c r="Q42" s="100"/>
      <c r="R42" s="100"/>
      <c r="S42" s="100">
        <v>196.04</v>
      </c>
      <c r="T42" s="100">
        <f>17.79+98.85</f>
        <v>116.63999999999999</v>
      </c>
      <c r="U42" s="100">
        <v>48.13</v>
      </c>
      <c r="V42" s="46">
        <f>IFERROR(($G42*INDEX('Carbon factors'!$B$4:$B$10,MATCH($H42,Fuel_Type,0),1))+($K42*INDEX('Carbon factors'!$B$4:$B$10,MATCH($L42,Fuel_Type,0),1)),"")</f>
        <v>44.393980164714065</v>
      </c>
      <c r="W42" s="47">
        <f>IFERROR($M42*INDEX('Carbon factors'!$B$4:$B$10,MATCH($N42,Fuel_Type,0),1)+$I42*INDEX('Carbon factors'!$B$4:$B$10,MATCH($J42,Fuel_Type,0),1),"")</f>
        <v>272.12839175656347</v>
      </c>
      <c r="X42" s="47" t="str">
        <f>IFERROR($O42*INDEX('Carbon factors'!$B$4:$B$10,MATCH($P42,Fuel_Type,0),1),"")</f>
        <v/>
      </c>
      <c r="Y42" s="47" t="str">
        <f>IF(Q42="","",Q42*'Carbon factors'!$B$5)</f>
        <v/>
      </c>
      <c r="Z42" s="47" t="str">
        <f>IF(R42="","",R42*'Carbon factors'!$B$5)</f>
        <v/>
      </c>
      <c r="AA42" s="47">
        <f>IF(S42="","",S42*'Carbon factors'!$B$5)</f>
        <v>101.74476</v>
      </c>
      <c r="AB42" s="47">
        <f>IF(T42="","",T42*'Carbon factors'!$B$5)</f>
        <v>60.536159999999995</v>
      </c>
      <c r="AC42" s="47">
        <f>IF(U42="","",U42*'Carbon factors'!$B$5)</f>
        <v>24.979470000000003</v>
      </c>
      <c r="AD42" s="267">
        <f t="shared" si="3"/>
        <v>503.78276192127754</v>
      </c>
      <c r="AE42" s="49">
        <f>IFERROR($G42*INDEX('Carbon factors'!$C$4:$C$10,MATCH($H42,Fuel_Type,0),1)+$K42*INDEX('Carbon factors'!$C$4:$C$10,MATCH($L42,Fuel_Type,0),1),"")</f>
        <v>28.708176661640181</v>
      </c>
      <c r="AF42" s="47">
        <f>IFERROR($I42*INDEX('Carbon factors'!$C$4:$C$10,MATCH($J42,Fuel_Type,0),1)+$M42*INDEX('Carbon factors'!$C$4:$C$10,MATCH($N42,Fuel_Type,0),1),"")</f>
        <v>175.94665314670897</v>
      </c>
      <c r="AG42" s="47" t="str">
        <f>IFERROR($O42*INDEX('Carbon factors'!$C$4:$C$10,MATCH($P42,Fuel_Type,0),1),"")</f>
        <v/>
      </c>
      <c r="AH42" s="47" t="str">
        <f>IF(Q42="","",Q42*'Carbon factors'!$C$5)</f>
        <v/>
      </c>
      <c r="AI42" s="47" t="str">
        <f>IF(R42="","",R42*'Carbon factors'!$C$5)</f>
        <v/>
      </c>
      <c r="AJ42" s="47">
        <f>IF(S42="","",S42*'Carbon factors'!$C$5)</f>
        <v>45.677320000000002</v>
      </c>
      <c r="AK42" s="47">
        <f>IF(T42="","",T42*'Carbon factors'!$C$5)</f>
        <v>27.177119999999999</v>
      </c>
      <c r="AL42" s="47">
        <f>IF(U42="","",U42*'Carbon factors'!$C$5)</f>
        <v>11.214290000000002</v>
      </c>
      <c r="AM42" s="222">
        <f t="shared" si="0"/>
        <v>288.72355980834914</v>
      </c>
      <c r="AN42" s="61">
        <f t="shared" si="1"/>
        <v>7.0420380441060768</v>
      </c>
    </row>
    <row r="43" spans="1:40" ht="13.5" customHeight="1">
      <c r="A43" s="287" t="str">
        <f>IF(Baseline!A42="","",Baseline!A42)</f>
        <v>B2-A-03-03</v>
      </c>
      <c r="B43" s="141">
        <f>IF(Baseline!B42="","",Baseline!B42)</f>
        <v>77</v>
      </c>
      <c r="C43" s="141">
        <f>IF(Baseline!C42="","",Baseline!C42)</f>
        <v>2</v>
      </c>
      <c r="D43" s="288">
        <f>IF(Baseline!D42="","",Baseline!D42)</f>
        <v>154</v>
      </c>
      <c r="E43" s="96">
        <f t="shared" si="2"/>
        <v>15.178578205805719</v>
      </c>
      <c r="F43" s="109">
        <v>15.18</v>
      </c>
      <c r="G43" s="147">
        <f>803.82*100/93.2</f>
        <v>862.46781115879821</v>
      </c>
      <c r="H43" s="100" t="s">
        <v>11</v>
      </c>
      <c r="I43" s="100">
        <f>553.84*100/93.2</f>
        <v>594.24892703862656</v>
      </c>
      <c r="J43" s="100" t="s">
        <v>11</v>
      </c>
      <c r="K43" s="100">
        <f>1967.97*100/333</f>
        <v>590.98198198198202</v>
      </c>
      <c r="L43" s="100" t="s">
        <v>22</v>
      </c>
      <c r="M43" s="100">
        <f>1355.95*100/333</f>
        <v>407.19219219219218</v>
      </c>
      <c r="N43" s="100" t="s">
        <v>22</v>
      </c>
      <c r="O43" s="100"/>
      <c r="P43" s="100"/>
      <c r="Q43" s="100"/>
      <c r="R43" s="100"/>
      <c r="S43" s="100">
        <v>335.44</v>
      </c>
      <c r="T43" s="100">
        <f>46.82+185.65</f>
        <v>232.47</v>
      </c>
      <c r="U43" s="100">
        <v>79.58</v>
      </c>
      <c r="V43" s="46">
        <f>IFERROR(($G43*INDEX('Carbon factors'!$B$4:$B$10,MATCH($H43,Fuel_Type,0),1))+($K43*INDEX('Carbon factors'!$B$4:$B$10,MATCH($L43,Fuel_Type,0),1)),"")</f>
        <v>493.01269585894909</v>
      </c>
      <c r="W43" s="47">
        <f>IFERROR($M43*INDEX('Carbon factors'!$B$4:$B$10,MATCH($N43,Fuel_Type,0),1)+$I43*INDEX('Carbon factors'!$B$4:$B$10,MATCH($J43,Fuel_Type,0),1),"")</f>
        <v>339.69051598809108</v>
      </c>
      <c r="X43" s="47" t="str">
        <f>IFERROR($O43*INDEX('Carbon factors'!$B$4:$B$10,MATCH($P43,Fuel_Type,0),1),"")</f>
        <v/>
      </c>
      <c r="Y43" s="47" t="str">
        <f>IF(Q43="","",Q43*'Carbon factors'!$B$5)</f>
        <v/>
      </c>
      <c r="Z43" s="47" t="str">
        <f>IF(R43="","",R43*'Carbon factors'!$B$5)</f>
        <v/>
      </c>
      <c r="AA43" s="47">
        <f>IF(S43="","",S43*'Carbon factors'!$B$5)</f>
        <v>174.09336000000002</v>
      </c>
      <c r="AB43" s="47">
        <f>IF(T43="","",T43*'Carbon factors'!$B$5)</f>
        <v>120.65193000000001</v>
      </c>
      <c r="AC43" s="47">
        <f>IF(U43="","",U43*'Carbon factors'!$B$5)</f>
        <v>41.302019999999999</v>
      </c>
      <c r="AD43" s="267">
        <f t="shared" si="3"/>
        <v>1168.7505218470403</v>
      </c>
      <c r="AE43" s="49">
        <f>IFERROR($G43*INDEX('Carbon factors'!$C$4:$C$10,MATCH($H43,Fuel_Type,0),1)+$K43*INDEX('Carbon factors'!$C$4:$C$10,MATCH($L43,Fuel_Type,0),1),"")</f>
        <v>318.81704214514946</v>
      </c>
      <c r="AF43" s="47">
        <f>IFERROR($I43*INDEX('Carbon factors'!$C$4:$C$10,MATCH($J43,Fuel_Type,0),1)+$M43*INDEX('Carbon factors'!$C$4:$C$10,MATCH($N43,Fuel_Type,0),1),"")</f>
        <v>219.66805545889235</v>
      </c>
      <c r="AG43" s="47" t="str">
        <f>IFERROR($O43*INDEX('Carbon factors'!$C$4:$C$10,MATCH($P43,Fuel_Type,0),1),"")</f>
        <v/>
      </c>
      <c r="AH43" s="47" t="str">
        <f>IF(Q43="","",Q43*'Carbon factors'!$C$5)</f>
        <v/>
      </c>
      <c r="AI43" s="47" t="str">
        <f>IF(R43="","",R43*'Carbon factors'!$C$5)</f>
        <v/>
      </c>
      <c r="AJ43" s="47">
        <f>IF(S43="","",S43*'Carbon factors'!$C$5)</f>
        <v>78.157520000000005</v>
      </c>
      <c r="AK43" s="47">
        <f>IF(T43="","",T43*'Carbon factors'!$C$5)</f>
        <v>54.165510000000005</v>
      </c>
      <c r="AL43" s="47">
        <f>IF(U43="","",U43*'Carbon factors'!$C$5)</f>
        <v>18.54214</v>
      </c>
      <c r="AM43" s="222">
        <f t="shared" si="0"/>
        <v>689.35026760404185</v>
      </c>
      <c r="AN43" s="61">
        <f t="shared" si="1"/>
        <v>8.9526008779745698</v>
      </c>
    </row>
    <row r="44" spans="1:40" ht="13.5" customHeight="1">
      <c r="A44" s="287" t="str">
        <f>IF(Baseline!A43="","",Baseline!A43)</f>
        <v>B2-A-04-01</v>
      </c>
      <c r="B44" s="141">
        <f>IF(Baseline!B43="","",Baseline!B43)</f>
        <v>77</v>
      </c>
      <c r="C44" s="141">
        <f>IF(Baseline!C43="","",Baseline!C43)</f>
        <v>18</v>
      </c>
      <c r="D44" s="288">
        <f>IF(Baseline!D43="","",Baseline!D43)</f>
        <v>1386</v>
      </c>
      <c r="E44" s="96">
        <f t="shared" si="2"/>
        <v>10.897894445688094</v>
      </c>
      <c r="F44" s="109">
        <v>10.9</v>
      </c>
      <c r="G44" s="147">
        <f>237.14*100/93.2</f>
        <v>254.44206008583691</v>
      </c>
      <c r="H44" s="100" t="s">
        <v>11</v>
      </c>
      <c r="I44" s="100">
        <f>553.84*100/93.2</f>
        <v>594.24892703862656</v>
      </c>
      <c r="J44" s="100" t="s">
        <v>11</v>
      </c>
      <c r="K44" s="100">
        <f>580.59*100/333</f>
        <v>174.35135135135135</v>
      </c>
      <c r="L44" s="100" t="s">
        <v>22</v>
      </c>
      <c r="M44" s="100">
        <f>1355.95*100/333</f>
        <v>407.19219219219218</v>
      </c>
      <c r="N44" s="100" t="s">
        <v>22</v>
      </c>
      <c r="O44" s="100"/>
      <c r="P44" s="100"/>
      <c r="Q44" s="100"/>
      <c r="R44" s="100"/>
      <c r="S44" s="100">
        <v>335.44</v>
      </c>
      <c r="T44" s="100">
        <f>27.28+185.65</f>
        <v>212.93</v>
      </c>
      <c r="U44" s="100">
        <v>133.71</v>
      </c>
      <c r="V44" s="46">
        <f>IFERROR(($G44*INDEX('Carbon factors'!$B$4:$B$10,MATCH($H44,Fuel_Type,0),1))+($K44*INDEX('Carbon factors'!$B$4:$B$10,MATCH($L44,Fuel_Type,0),1)),"")</f>
        <v>145.44783632989214</v>
      </c>
      <c r="W44" s="47">
        <f>IFERROR($M44*INDEX('Carbon factors'!$B$4:$B$10,MATCH($N44,Fuel_Type,0),1)+$I44*INDEX('Carbon factors'!$B$4:$B$10,MATCH($J44,Fuel_Type,0),1),"")</f>
        <v>339.69051598809108</v>
      </c>
      <c r="X44" s="47" t="str">
        <f>IFERROR($O44*INDEX('Carbon factors'!$B$4:$B$10,MATCH($P44,Fuel_Type,0),1),"")</f>
        <v/>
      </c>
      <c r="Y44" s="47" t="str">
        <f>IF(Q44="","",Q44*'Carbon factors'!$B$5)</f>
        <v/>
      </c>
      <c r="Z44" s="47" t="str">
        <f>IF(R44="","",R44*'Carbon factors'!$B$5)</f>
        <v/>
      </c>
      <c r="AA44" s="47">
        <f>IF(S44="","",S44*'Carbon factors'!$B$5)</f>
        <v>174.09336000000002</v>
      </c>
      <c r="AB44" s="47">
        <f>IF(T44="","",T44*'Carbon factors'!$B$5)</f>
        <v>110.51067</v>
      </c>
      <c r="AC44" s="47">
        <f>IF(U44="","",U44*'Carbon factors'!$B$5)</f>
        <v>69.395490000000009</v>
      </c>
      <c r="AD44" s="267">
        <f t="shared" si="3"/>
        <v>839.13787231798324</v>
      </c>
      <c r="AE44" s="49">
        <f>IFERROR($G44*INDEX('Carbon factors'!$C$4:$C$10,MATCH($H44,Fuel_Type,0),1)+$K44*INDEX('Carbon factors'!$C$4:$C$10,MATCH($L44,Fuel_Type,0),1),"")</f>
        <v>94.056697482890627</v>
      </c>
      <c r="AF44" s="47">
        <f>IFERROR($I44*INDEX('Carbon factors'!$C$4:$C$10,MATCH($J44,Fuel_Type,0),1)+$M44*INDEX('Carbon factors'!$C$4:$C$10,MATCH($N44,Fuel_Type,0),1),"")</f>
        <v>219.66805545889235</v>
      </c>
      <c r="AG44" s="47" t="str">
        <f>IFERROR($O44*INDEX('Carbon factors'!$C$4:$C$10,MATCH($P44,Fuel_Type,0),1),"")</f>
        <v/>
      </c>
      <c r="AH44" s="47" t="str">
        <f>IF(Q44="","",Q44*'Carbon factors'!$C$5)</f>
        <v/>
      </c>
      <c r="AI44" s="47" t="str">
        <f>IF(R44="","",R44*'Carbon factors'!$C$5)</f>
        <v/>
      </c>
      <c r="AJ44" s="47">
        <f>IF(S44="","",S44*'Carbon factors'!$C$5)</f>
        <v>78.157520000000005</v>
      </c>
      <c r="AK44" s="47">
        <f>IF(T44="","",T44*'Carbon factors'!$C$5)</f>
        <v>49.612690000000008</v>
      </c>
      <c r="AL44" s="47">
        <f>IF(U44="","",U44*'Carbon factors'!$C$5)</f>
        <v>31.154430000000005</v>
      </c>
      <c r="AM44" s="222">
        <f t="shared" si="0"/>
        <v>472.64939294178293</v>
      </c>
      <c r="AN44" s="61">
        <f t="shared" si="1"/>
        <v>6.1383038044387392</v>
      </c>
    </row>
    <row r="45" spans="1:40" ht="13.5" customHeight="1">
      <c r="A45" s="287" t="str">
        <f>IF(Baseline!A44="","",Baseline!A44)</f>
        <v>B2-A-04-04</v>
      </c>
      <c r="B45" s="141">
        <f>IF(Baseline!B44="","",Baseline!B44)</f>
        <v>77</v>
      </c>
      <c r="C45" s="141">
        <f>IF(Baseline!C44="","",Baseline!C44)</f>
        <v>34</v>
      </c>
      <c r="D45" s="288">
        <f>IF(Baseline!D44="","",Baseline!D44)</f>
        <v>2618</v>
      </c>
      <c r="E45" s="96">
        <f t="shared" si="2"/>
        <v>12.31958836799399</v>
      </c>
      <c r="F45" s="109">
        <v>12.32</v>
      </c>
      <c r="G45" s="147">
        <f>436.01*100/93.2</f>
        <v>467.82188841201713</v>
      </c>
      <c r="H45" s="100" t="s">
        <v>11</v>
      </c>
      <c r="I45" s="100">
        <f>553.84*100/93.2</f>
        <v>594.24892703862656</v>
      </c>
      <c r="J45" s="100" t="s">
        <v>11</v>
      </c>
      <c r="K45" s="100">
        <f>1067.47*100/333</f>
        <v>320.56156156156158</v>
      </c>
      <c r="L45" s="100" t="s">
        <v>22</v>
      </c>
      <c r="M45" s="100">
        <f>1355.95*100/333</f>
        <v>407.19219219219218</v>
      </c>
      <c r="N45" s="100" t="s">
        <v>22</v>
      </c>
      <c r="O45" s="100"/>
      <c r="P45" s="100"/>
      <c r="Q45" s="100"/>
      <c r="R45" s="100"/>
      <c r="S45" s="100">
        <v>335.44</v>
      </c>
      <c r="T45" s="100">
        <f>34.13+185.65</f>
        <v>219.78</v>
      </c>
      <c r="U45" s="100">
        <v>102.77</v>
      </c>
      <c r="V45" s="46">
        <f>IFERROR(($G45*INDEX('Carbon factors'!$B$4:$B$10,MATCH($H45,Fuel_Type,0),1))+($K45*INDEX('Carbon factors'!$B$4:$B$10,MATCH($L45,Fuel_Type,0),1)),"")</f>
        <v>267.42097834744618</v>
      </c>
      <c r="W45" s="47">
        <f>IFERROR($M45*INDEX('Carbon factors'!$B$4:$B$10,MATCH($N45,Fuel_Type,0),1)+$I45*INDEX('Carbon factors'!$B$4:$B$10,MATCH($J45,Fuel_Type,0),1),"")</f>
        <v>339.69051598809108</v>
      </c>
      <c r="X45" s="47" t="str">
        <f>IFERROR($O45*INDEX('Carbon factors'!$B$4:$B$10,MATCH($P45,Fuel_Type,0),1),"")</f>
        <v/>
      </c>
      <c r="Y45" s="47" t="str">
        <f>IF(Q45="","",Q45*'Carbon factors'!$B$5)</f>
        <v/>
      </c>
      <c r="Z45" s="47" t="str">
        <f>IF(R45="","",R45*'Carbon factors'!$B$5)</f>
        <v/>
      </c>
      <c r="AA45" s="47">
        <f>IF(S45="","",S45*'Carbon factors'!$B$5)</f>
        <v>174.09336000000002</v>
      </c>
      <c r="AB45" s="47">
        <f>IF(T45="","",T45*'Carbon factors'!$B$5)</f>
        <v>114.06582</v>
      </c>
      <c r="AC45" s="47">
        <f>IF(U45="","",U45*'Carbon factors'!$B$5)</f>
        <v>53.337629999999997</v>
      </c>
      <c r="AD45" s="267">
        <f t="shared" si="3"/>
        <v>948.60830433553724</v>
      </c>
      <c r="AE45" s="49">
        <f>IFERROR($G45*INDEX('Carbon factors'!$C$4:$C$10,MATCH($H45,Fuel_Type,0),1)+$K45*INDEX('Carbon factors'!$C$4:$C$10,MATCH($L45,Fuel_Type,0),1),"")</f>
        <v>172.93344041036744</v>
      </c>
      <c r="AF45" s="47">
        <f>IFERROR($I45*INDEX('Carbon factors'!$C$4:$C$10,MATCH($J45,Fuel_Type,0),1)+$M45*INDEX('Carbon factors'!$C$4:$C$10,MATCH($N45,Fuel_Type,0),1),"")</f>
        <v>219.66805545889235</v>
      </c>
      <c r="AG45" s="47" t="str">
        <f>IFERROR($O45*INDEX('Carbon factors'!$C$4:$C$10,MATCH($P45,Fuel_Type,0),1),"")</f>
        <v/>
      </c>
      <c r="AH45" s="47" t="str">
        <f>IF(Q45="","",Q45*'Carbon factors'!$C$5)</f>
        <v/>
      </c>
      <c r="AI45" s="47" t="str">
        <f>IF(R45="","",R45*'Carbon factors'!$C$5)</f>
        <v/>
      </c>
      <c r="AJ45" s="47">
        <f>IF(S45="","",S45*'Carbon factors'!$C$5)</f>
        <v>78.157520000000005</v>
      </c>
      <c r="AK45" s="47">
        <f>IF(T45="","",T45*'Carbon factors'!$C$5)</f>
        <v>51.208740000000006</v>
      </c>
      <c r="AL45" s="47">
        <f>IF(U45="","",U45*'Carbon factors'!$C$5)</f>
        <v>23.945409999999999</v>
      </c>
      <c r="AM45" s="222">
        <f t="shared" si="0"/>
        <v>545.91316586925984</v>
      </c>
      <c r="AN45" s="61">
        <f t="shared" si="1"/>
        <v>7.0897813749254528</v>
      </c>
    </row>
    <row r="46" spans="1:40" ht="13.5" customHeight="1">
      <c r="A46" s="287" t="str">
        <f>IF(Baseline!A45="","",Baseline!A45)</f>
        <v>B2-A-08-02</v>
      </c>
      <c r="B46" s="141">
        <f>IF(Baseline!B45="","",Baseline!B45)</f>
        <v>51</v>
      </c>
      <c r="C46" s="141">
        <f>IF(Baseline!C45="","",Baseline!C45)</f>
        <v>16</v>
      </c>
      <c r="D46" s="288">
        <f>IF(Baseline!D45="","",Baseline!D45)</f>
        <v>816</v>
      </c>
      <c r="E46" s="96">
        <f t="shared" si="2"/>
        <v>12.303094715563835</v>
      </c>
      <c r="F46" s="109">
        <v>12.3</v>
      </c>
      <c r="G46" s="147">
        <f>180.62*100/93.2</f>
        <v>193.79828326180257</v>
      </c>
      <c r="H46" s="100" t="s">
        <v>11</v>
      </c>
      <c r="I46" s="100">
        <f>476.02*100/93.2</f>
        <v>510.75107296137338</v>
      </c>
      <c r="J46" s="100" t="s">
        <v>11</v>
      </c>
      <c r="K46" s="100">
        <f>442.2*100/333</f>
        <v>132.7927927927928</v>
      </c>
      <c r="L46" s="100" t="s">
        <v>22</v>
      </c>
      <c r="M46" s="100">
        <f>1165.43*100/333</f>
        <v>349.978978978979</v>
      </c>
      <c r="N46" s="100" t="s">
        <v>22</v>
      </c>
      <c r="O46" s="100"/>
      <c r="P46" s="100"/>
      <c r="Q46" s="100"/>
      <c r="R46" s="100"/>
      <c r="S46" s="100">
        <v>235.9</v>
      </c>
      <c r="T46" s="100">
        <f>22.64+122.96</f>
        <v>145.6</v>
      </c>
      <c r="U46" s="100">
        <v>51.48</v>
      </c>
      <c r="V46" s="46">
        <f>IFERROR(($G46*INDEX('Carbon factors'!$B$4:$B$10,MATCH($H46,Fuel_Type,0),1))+($K46*INDEX('Carbon factors'!$B$4:$B$10,MATCH($L46,Fuel_Type,0),1)),"")</f>
        <v>110.77988864400882</v>
      </c>
      <c r="W46" s="47">
        <f>IFERROR($M46*INDEX('Carbon factors'!$B$4:$B$10,MATCH($N46,Fuel_Type,0),1)+$I46*INDEX('Carbon factors'!$B$4:$B$10,MATCH($J46,Fuel_Type,0),1),"")</f>
        <v>291.96132184974675</v>
      </c>
      <c r="X46" s="47" t="str">
        <f>IFERROR($O46*INDEX('Carbon factors'!$B$4:$B$10,MATCH($P46,Fuel_Type,0),1),"")</f>
        <v/>
      </c>
      <c r="Y46" s="47" t="str">
        <f>IF(Q46="","",Q46*'Carbon factors'!$B$5)</f>
        <v/>
      </c>
      <c r="Z46" s="47" t="str">
        <f>IF(R46="","",R46*'Carbon factors'!$B$5)</f>
        <v/>
      </c>
      <c r="AA46" s="47">
        <f>IF(S46="","",S46*'Carbon factors'!$B$5)</f>
        <v>122.43210000000001</v>
      </c>
      <c r="AB46" s="47">
        <f>IF(T46="","",T46*'Carbon factors'!$B$5)</f>
        <v>75.566400000000002</v>
      </c>
      <c r="AC46" s="47">
        <f>IF(U46="","",U46*'Carbon factors'!$B$5)</f>
        <v>26.718119999999999</v>
      </c>
      <c r="AD46" s="267">
        <f t="shared" si="3"/>
        <v>627.45783049375564</v>
      </c>
      <c r="AE46" s="49">
        <f>IFERROR($G46*INDEX('Carbon factors'!$C$4:$C$10,MATCH($H46,Fuel_Type,0),1)+$K46*INDEX('Carbon factors'!$C$4:$C$10,MATCH($L46,Fuel_Type,0),1),"")</f>
        <v>71.638360205699257</v>
      </c>
      <c r="AF46" s="47">
        <f>IFERROR($I46*INDEX('Carbon factors'!$C$4:$C$10,MATCH($J46,Fuel_Type,0),1)+$M46*INDEX('Carbon factors'!$C$4:$C$10,MATCH($N46,Fuel_Type,0),1),"")</f>
        <v>188.80282742399049</v>
      </c>
      <c r="AG46" s="47" t="str">
        <f>IFERROR($O46*INDEX('Carbon factors'!$C$4:$C$10,MATCH($P46,Fuel_Type,0),1),"")</f>
        <v/>
      </c>
      <c r="AH46" s="47" t="str">
        <f>IF(Q46="","",Q46*'Carbon factors'!$C$5)</f>
        <v/>
      </c>
      <c r="AI46" s="47" t="str">
        <f>IF(R46="","",R46*'Carbon factors'!$C$5)</f>
        <v/>
      </c>
      <c r="AJ46" s="47">
        <f>IF(S46="","",S46*'Carbon factors'!$C$5)</f>
        <v>54.964700000000008</v>
      </c>
      <c r="AK46" s="47">
        <f>IF(T46="","",T46*'Carbon factors'!$C$5)</f>
        <v>33.924799999999998</v>
      </c>
      <c r="AL46" s="47">
        <f>IF(U46="","",U46*'Carbon factors'!$C$5)</f>
        <v>11.99484</v>
      </c>
      <c r="AM46" s="222">
        <f t="shared" si="0"/>
        <v>361.32552762968976</v>
      </c>
      <c r="AN46" s="61">
        <f t="shared" si="1"/>
        <v>7.0848142672488192</v>
      </c>
    </row>
    <row r="47" spans="1:40" ht="13.5" customHeight="1">
      <c r="A47" s="287" t="str">
        <f>IF(Baseline!A46="","",Baseline!A46)</f>
        <v>B2-A-12-03</v>
      </c>
      <c r="B47" s="141">
        <f>IF(Baseline!B46="","",Baseline!B46)</f>
        <v>74</v>
      </c>
      <c r="C47" s="141">
        <f>IF(Baseline!C46="","",Baseline!C46)</f>
        <v>16</v>
      </c>
      <c r="D47" s="288">
        <f>IF(Baseline!D46="","",Baseline!D46)</f>
        <v>1184</v>
      </c>
      <c r="E47" s="96">
        <f t="shared" si="2"/>
        <v>11.51893766598114</v>
      </c>
      <c r="F47" s="109">
        <v>11.52</v>
      </c>
      <c r="G47" s="147">
        <f>338.44*100/93.2</f>
        <v>363.13304721030039</v>
      </c>
      <c r="H47" s="100" t="s">
        <v>11</v>
      </c>
      <c r="I47" s="100">
        <f>546.52*100/93.2</f>
        <v>586.3948497854077</v>
      </c>
      <c r="J47" s="100" t="s">
        <v>11</v>
      </c>
      <c r="K47" s="100">
        <f>828.6*100/333</f>
        <v>248.82882882882882</v>
      </c>
      <c r="L47" s="100" t="s">
        <v>22</v>
      </c>
      <c r="M47" s="100">
        <f>1338.04*100/333</f>
        <v>401.81381381381379</v>
      </c>
      <c r="N47" s="100" t="s">
        <v>22</v>
      </c>
      <c r="O47" s="100"/>
      <c r="P47" s="100"/>
      <c r="Q47" s="100"/>
      <c r="R47" s="100"/>
      <c r="S47" s="100">
        <v>325.04000000000002</v>
      </c>
      <c r="T47" s="100">
        <f>30.52+178.42</f>
        <v>208.94</v>
      </c>
      <c r="U47" s="100">
        <v>62.59</v>
      </c>
      <c r="V47" s="46">
        <f>IFERROR(($G47*INDEX('Carbon factors'!$B$4:$B$10,MATCH($H47,Fuel_Type,0),1))+($K47*INDEX('Carbon factors'!$B$4:$B$10,MATCH($L47,Fuel_Type,0),1)),"")</f>
        <v>207.57890035958704</v>
      </c>
      <c r="W47" s="47">
        <f>IFERROR($M47*INDEX('Carbon factors'!$B$4:$B$10,MATCH($N47,Fuel_Type,0),1)+$I47*INDEX('Carbon factors'!$B$4:$B$10,MATCH($J47,Fuel_Type,0),1),"")</f>
        <v>335.20265692301746</v>
      </c>
      <c r="X47" s="47" t="str">
        <f>IFERROR($O47*INDEX('Carbon factors'!$B$4:$B$10,MATCH($P47,Fuel_Type,0),1),"")</f>
        <v/>
      </c>
      <c r="Y47" s="47" t="str">
        <f>IF(Q47="","",Q47*'Carbon factors'!$B$5)</f>
        <v/>
      </c>
      <c r="Z47" s="47" t="str">
        <f>IF(R47="","",R47*'Carbon factors'!$B$5)</f>
        <v/>
      </c>
      <c r="AA47" s="47">
        <f>IF(S47="","",S47*'Carbon factors'!$B$5)</f>
        <v>168.69576000000001</v>
      </c>
      <c r="AB47" s="47">
        <f>IF(T47="","",T47*'Carbon factors'!$B$5)</f>
        <v>108.43986</v>
      </c>
      <c r="AC47" s="47">
        <f>IF(U47="","",U47*'Carbon factors'!$B$5)</f>
        <v>32.484210000000004</v>
      </c>
      <c r="AD47" s="267">
        <f t="shared" si="3"/>
        <v>852.40138728260433</v>
      </c>
      <c r="AE47" s="49">
        <f>IFERROR($G47*INDEX('Carbon factors'!$C$4:$C$10,MATCH($H47,Fuel_Type,0),1)+$K47*INDEX('Carbon factors'!$C$4:$C$10,MATCH($L47,Fuel_Type,0),1),"")</f>
        <v>134.23505703128018</v>
      </c>
      <c r="AF47" s="47">
        <f>IFERROR($I47*INDEX('Carbon factors'!$C$4:$C$10,MATCH($J47,Fuel_Type,0),1)+$M47*INDEX('Carbon factors'!$C$4:$C$10,MATCH($N47,Fuel_Type,0),1),"")</f>
        <v>216.76553707355424</v>
      </c>
      <c r="AG47" s="47" t="str">
        <f>IFERROR($O47*INDEX('Carbon factors'!$C$4:$C$10,MATCH($P47,Fuel_Type,0),1),"")</f>
        <v/>
      </c>
      <c r="AH47" s="47" t="str">
        <f>IF(Q47="","",Q47*'Carbon factors'!$C$5)</f>
        <v/>
      </c>
      <c r="AI47" s="47" t="str">
        <f>IF(R47="","",R47*'Carbon factors'!$C$5)</f>
        <v/>
      </c>
      <c r="AJ47" s="47">
        <f>IF(S47="","",S47*'Carbon factors'!$C$5)</f>
        <v>75.734320000000011</v>
      </c>
      <c r="AK47" s="47">
        <f>IF(T47="","",T47*'Carbon factors'!$C$5)</f>
        <v>48.683019999999999</v>
      </c>
      <c r="AL47" s="47">
        <f>IF(U47="","",U47*'Carbon factors'!$C$5)</f>
        <v>14.583470000000002</v>
      </c>
      <c r="AM47" s="222">
        <f t="shared" si="0"/>
        <v>490.00140410483442</v>
      </c>
      <c r="AN47" s="61">
        <f t="shared" si="1"/>
        <v>6.6216405960112761</v>
      </c>
    </row>
    <row r="48" spans="1:40" ht="13.5" customHeight="1">
      <c r="A48" s="287" t="str">
        <f>IF(Baseline!A47="","",Baseline!A47)</f>
        <v>B4-A-02-02</v>
      </c>
      <c r="B48" s="141">
        <f>IF(Baseline!B47="","",Baseline!B47)</f>
        <v>57</v>
      </c>
      <c r="C48" s="141">
        <f>IF(Baseline!C47="","",Baseline!C47)</f>
        <v>2</v>
      </c>
      <c r="D48" s="288">
        <f>IF(Baseline!D47="","",Baseline!D47)</f>
        <v>114</v>
      </c>
      <c r="E48" s="96">
        <f t="shared" ref="E48:E57" si="4">IFERROR(AD48/$B48,"")</f>
        <v>12.724535324343996</v>
      </c>
      <c r="F48" s="109">
        <v>12.72</v>
      </c>
      <c r="G48" s="147">
        <f>263.48*100/93.2</f>
        <v>282.7038626609442</v>
      </c>
      <c r="H48" s="100" t="s">
        <v>11</v>
      </c>
      <c r="I48" s="100">
        <f>496.06*100/93.2</f>
        <v>532.2532188841202</v>
      </c>
      <c r="J48" s="100" t="s">
        <v>11</v>
      </c>
      <c r="K48" s="100">
        <f>645.08*100/333</f>
        <v>193.71771771771773</v>
      </c>
      <c r="L48" s="100" t="s">
        <v>22</v>
      </c>
      <c r="M48" s="100">
        <f>1214.49*100/333</f>
        <v>364.7117117117117</v>
      </c>
      <c r="N48" s="100" t="s">
        <v>22</v>
      </c>
      <c r="O48" s="100"/>
      <c r="P48" s="100"/>
      <c r="Q48" s="100"/>
      <c r="R48" s="100"/>
      <c r="S48" s="100">
        <v>260.29000000000002</v>
      </c>
      <c r="T48" s="100">
        <f>26.19+137.43</f>
        <v>163.62</v>
      </c>
      <c r="U48" s="100">
        <v>75.98</v>
      </c>
      <c r="V48" s="46">
        <f>IFERROR(($G48*INDEX('Carbon factors'!$B$4:$B$10,MATCH($H48,Fuel_Type,0),1))+($K48*INDEX('Carbon factors'!$B$4:$B$10,MATCH($L48,Fuel_Type,0),1)),"")</f>
        <v>161.60352983025945</v>
      </c>
      <c r="W48" s="47">
        <f>IFERROR($M48*INDEX('Carbon factors'!$B$4:$B$10,MATCH($N48,Fuel_Type,0),1)+$I48*INDEX('Carbon factors'!$B$4:$B$10,MATCH($J48,Fuel_Type,0),1),"")</f>
        <v>304.25207365734832</v>
      </c>
      <c r="X48" s="47" t="str">
        <f>IFERROR($O48*INDEX('Carbon factors'!$B$4:$B$10,MATCH($P48,Fuel_Type,0),1),"")</f>
        <v/>
      </c>
      <c r="Y48" s="47" t="str">
        <f>IF(Q48="","",Q48*'Carbon factors'!$B$5)</f>
        <v/>
      </c>
      <c r="Z48" s="47" t="str">
        <f>IF(R48="","",R48*'Carbon factors'!$B$5)</f>
        <v/>
      </c>
      <c r="AA48" s="47">
        <f>IF(S48="","",S48*'Carbon factors'!$B$5)</f>
        <v>135.09051000000002</v>
      </c>
      <c r="AB48" s="47">
        <f>IF(T48="","",T48*'Carbon factors'!$B$5)</f>
        <v>84.918779999999998</v>
      </c>
      <c r="AC48" s="47">
        <f>IF(U48="","",U48*'Carbon factors'!$B$5)</f>
        <v>39.433620000000005</v>
      </c>
      <c r="AD48" s="267">
        <f t="shared" si="3"/>
        <v>725.29851348760781</v>
      </c>
      <c r="AE48" s="49">
        <f>IFERROR($G48*INDEX('Carbon factors'!$C$4:$C$10,MATCH($H48,Fuel_Type,0),1)+$K48*INDEX('Carbon factors'!$C$4:$C$10,MATCH($L48,Fuel_Type,0),1),"")</f>
        <v>104.50403938702651</v>
      </c>
      <c r="AF48" s="47">
        <f>IFERROR($I48*INDEX('Carbon factors'!$C$4:$C$10,MATCH($J48,Fuel_Type,0),1)+$M48*INDEX('Carbon factors'!$C$4:$C$10,MATCH($N48,Fuel_Type,0),1),"")</f>
        <v>196.75100479449407</v>
      </c>
      <c r="AG48" s="47" t="str">
        <f>IFERROR($O48*INDEX('Carbon factors'!$C$4:$C$10,MATCH($P48,Fuel_Type,0),1),"")</f>
        <v/>
      </c>
      <c r="AH48" s="47" t="str">
        <f>IF(Q48="","",Q48*'Carbon factors'!$C$5)</f>
        <v/>
      </c>
      <c r="AI48" s="47" t="str">
        <f>IF(R48="","",R48*'Carbon factors'!$C$5)</f>
        <v/>
      </c>
      <c r="AJ48" s="47">
        <f>IF(S48="","",S48*'Carbon factors'!$C$5)</f>
        <v>60.647570000000009</v>
      </c>
      <c r="AK48" s="47">
        <f>IF(T48="","",T48*'Carbon factors'!$C$5)</f>
        <v>38.123460000000001</v>
      </c>
      <c r="AL48" s="47">
        <f>IF(U48="","",U48*'Carbon factors'!$C$5)</f>
        <v>17.703340000000001</v>
      </c>
      <c r="AM48" s="222">
        <f t="shared" si="0"/>
        <v>417.72941418152067</v>
      </c>
      <c r="AN48" s="61">
        <f t="shared" si="1"/>
        <v>7.3285862137108886</v>
      </c>
    </row>
    <row r="49" spans="1:40" ht="13.5" customHeight="1">
      <c r="A49" s="287" t="str">
        <f>IF(Baseline!A48="","",Baseline!A48)</f>
        <v>B4-A-03-07</v>
      </c>
      <c r="B49" s="141">
        <f>IF(Baseline!B48="","",Baseline!B48)</f>
        <v>78</v>
      </c>
      <c r="C49" s="141">
        <f>IF(Baseline!C48="","",Baseline!C48)</f>
        <v>42</v>
      </c>
      <c r="D49" s="288">
        <f>IF(Baseline!D48="","",Baseline!D48)</f>
        <v>3276</v>
      </c>
      <c r="E49" s="96">
        <f t="shared" si="4"/>
        <v>11.76425320483078</v>
      </c>
      <c r="F49" s="109">
        <v>11.77</v>
      </c>
      <c r="G49" s="147">
        <f>419.18*100/93.2</f>
        <v>449.76394849785407</v>
      </c>
      <c r="H49" s="100" t="s">
        <v>11</v>
      </c>
      <c r="I49" s="100">
        <f>556.15*100/93.2</f>
        <v>596.72746781115882</v>
      </c>
      <c r="J49" s="100" t="s">
        <v>11</v>
      </c>
      <c r="K49" s="100">
        <f>1026.17*100/333</f>
        <v>308.15915915915917</v>
      </c>
      <c r="L49" s="100" t="s">
        <v>22</v>
      </c>
      <c r="M49" s="100">
        <f>1361.62*100/333</f>
        <v>408.89489489489489</v>
      </c>
      <c r="N49" s="100" t="s">
        <v>22</v>
      </c>
      <c r="O49" s="100"/>
      <c r="P49" s="100"/>
      <c r="Q49" s="100"/>
      <c r="R49" s="100"/>
      <c r="S49" s="100">
        <v>338.33</v>
      </c>
      <c r="T49" s="100">
        <f>33.63+188.06</f>
        <v>221.69</v>
      </c>
      <c r="U49" s="100">
        <v>55.43</v>
      </c>
      <c r="V49" s="46">
        <f>IFERROR(($G49*INDEX('Carbon factors'!$B$4:$B$10,MATCH($H49,Fuel_Type,0),1))+($K49*INDEX('Carbon factors'!$B$4:$B$10,MATCH($L49,Fuel_Type,0),1)),"")</f>
        <v>257.08361647914012</v>
      </c>
      <c r="W49" s="47">
        <f>IFERROR($M49*INDEX('Carbon factors'!$B$4:$B$10,MATCH($N49,Fuel_Type,0),1)+$I49*INDEX('Carbon factors'!$B$4:$B$10,MATCH($J49,Fuel_Type,0),1),"")</f>
        <v>341.10958349766076</v>
      </c>
      <c r="X49" s="47" t="str">
        <f>IFERROR($O49*INDEX('Carbon factors'!$B$4:$B$10,MATCH($P49,Fuel_Type,0),1),"")</f>
        <v/>
      </c>
      <c r="Y49" s="47" t="str">
        <f>IF(Q49="","",Q49*'Carbon factors'!$B$5)</f>
        <v/>
      </c>
      <c r="Z49" s="47" t="str">
        <f>IF(R49="","",R49*'Carbon factors'!$B$5)</f>
        <v/>
      </c>
      <c r="AA49" s="47">
        <f>IF(S49="","",S49*'Carbon factors'!$B$5)</f>
        <v>175.59326999999999</v>
      </c>
      <c r="AB49" s="47">
        <f>IF(T49="","",T49*'Carbon factors'!$B$5)</f>
        <v>115.05711000000001</v>
      </c>
      <c r="AC49" s="47">
        <f>IF(U49="","",U49*'Carbon factors'!$B$5)</f>
        <v>28.768170000000001</v>
      </c>
      <c r="AD49" s="267">
        <f t="shared" si="3"/>
        <v>917.61174997680087</v>
      </c>
      <c r="AE49" s="49">
        <f>IFERROR($G49*INDEX('Carbon factors'!$C$4:$C$10,MATCH($H49,Fuel_Type,0),1)+$K49*INDEX('Carbon factors'!$C$4:$C$10,MATCH($L49,Fuel_Type,0),1),"")</f>
        <v>166.25151326863346</v>
      </c>
      <c r="AF49" s="47">
        <f>IFERROR($I49*INDEX('Carbon factors'!$C$4:$C$10,MATCH($J49,Fuel_Type,0),1)+$M49*INDEX('Carbon factors'!$C$4:$C$10,MATCH($N49,Fuel_Type,0),1),"")</f>
        <v>220.58527875085386</v>
      </c>
      <c r="AG49" s="47" t="str">
        <f>IFERROR($O49*INDEX('Carbon factors'!$C$4:$C$10,MATCH($P49,Fuel_Type,0),1),"")</f>
        <v/>
      </c>
      <c r="AH49" s="47" t="str">
        <f>IF(Q49="","",Q49*'Carbon factors'!$C$5)</f>
        <v/>
      </c>
      <c r="AI49" s="47" t="str">
        <f>IF(R49="","",R49*'Carbon factors'!$C$5)</f>
        <v/>
      </c>
      <c r="AJ49" s="47">
        <f>IF(S49="","",S49*'Carbon factors'!$C$5)</f>
        <v>78.830889999999997</v>
      </c>
      <c r="AK49" s="47">
        <f>IF(T49="","",T49*'Carbon factors'!$C$5)</f>
        <v>51.653770000000002</v>
      </c>
      <c r="AL49" s="47">
        <f>IF(U49="","",U49*'Carbon factors'!$C$5)</f>
        <v>12.915190000000001</v>
      </c>
      <c r="AM49" s="222">
        <f t="shared" si="0"/>
        <v>530.23664201948736</v>
      </c>
      <c r="AN49" s="61">
        <f t="shared" si="1"/>
        <v>6.7979056669165043</v>
      </c>
    </row>
    <row r="50" spans="1:40" ht="13.5" customHeight="1">
      <c r="A50" s="287" t="str">
        <f>IF(Baseline!A49="","",Baseline!A49)</f>
        <v>B4-A-09-06</v>
      </c>
      <c r="B50" s="141">
        <f>IF(Baseline!B49="","",Baseline!B49)</f>
        <v>78</v>
      </c>
      <c r="C50" s="141">
        <f>IF(Baseline!C49="","",Baseline!C49)</f>
        <v>10</v>
      </c>
      <c r="D50" s="288">
        <f>IF(Baseline!D49="","",Baseline!D49)</f>
        <v>780</v>
      </c>
      <c r="E50" s="96">
        <f t="shared" si="4"/>
        <v>11.374075874296219</v>
      </c>
      <c r="F50" s="109">
        <v>11.37</v>
      </c>
      <c r="G50" s="147">
        <f>350.25*100/93.2</f>
        <v>375.80472103004291</v>
      </c>
      <c r="H50" s="100" t="s">
        <v>11</v>
      </c>
      <c r="I50" s="100">
        <f>556.15*100/93.2</f>
        <v>596.72746781115882</v>
      </c>
      <c r="J50" s="100" t="s">
        <v>11</v>
      </c>
      <c r="K50" s="100">
        <f>857.51*100/333</f>
        <v>257.51051051051053</v>
      </c>
      <c r="L50" s="100" t="s">
        <v>22</v>
      </c>
      <c r="M50" s="100">
        <f>1361.62*100/333</f>
        <v>408.89489489489489</v>
      </c>
      <c r="N50" s="100" t="s">
        <v>22</v>
      </c>
      <c r="O50" s="100"/>
      <c r="P50" s="100"/>
      <c r="Q50" s="100"/>
      <c r="R50" s="100"/>
      <c r="S50" s="100">
        <v>338.83</v>
      </c>
      <c r="T50" s="100">
        <f>31.26+188.06</f>
        <v>219.32</v>
      </c>
      <c r="U50" s="100">
        <v>80.09</v>
      </c>
      <c r="V50" s="46">
        <f>IFERROR(($G50*INDEX('Carbon factors'!$B$4:$B$10,MATCH($H50,Fuel_Type,0),1))+($K50*INDEX('Carbon factors'!$B$4:$B$10,MATCH($L50,Fuel_Type,0),1)),"")</f>
        <v>214.82177469744425</v>
      </c>
      <c r="W50" s="47">
        <f>IFERROR($M50*INDEX('Carbon factors'!$B$4:$B$10,MATCH($N50,Fuel_Type,0),1)+$I50*INDEX('Carbon factors'!$B$4:$B$10,MATCH($J50,Fuel_Type,0),1),"")</f>
        <v>341.10958349766076</v>
      </c>
      <c r="X50" s="47" t="str">
        <f>IFERROR($O50*INDEX('Carbon factors'!$B$4:$B$10,MATCH($P50,Fuel_Type,0),1),"")</f>
        <v/>
      </c>
      <c r="Y50" s="47" t="str">
        <f>IF(Q50="","",Q50*'Carbon factors'!$B$5)</f>
        <v/>
      </c>
      <c r="Z50" s="47" t="str">
        <f>IF(R50="","",R50*'Carbon factors'!$B$5)</f>
        <v/>
      </c>
      <c r="AA50" s="47">
        <f>IF(S50="","",S50*'Carbon factors'!$B$5)</f>
        <v>175.85276999999999</v>
      </c>
      <c r="AB50" s="47">
        <f>IF(T50="","",T50*'Carbon factors'!$B$5)</f>
        <v>113.82708</v>
      </c>
      <c r="AC50" s="47">
        <f>IF(U50="","",U50*'Carbon factors'!$B$5)</f>
        <v>41.56671</v>
      </c>
      <c r="AD50" s="267">
        <f t="shared" si="3"/>
        <v>887.17791819510512</v>
      </c>
      <c r="AE50" s="49">
        <f>IFERROR($G50*INDEX('Carbon factors'!$C$4:$C$10,MATCH($H50,Fuel_Type,0),1)+$K50*INDEX('Carbon factors'!$C$4:$C$10,MATCH($L50,Fuel_Type,0),1),"")</f>
        <v>138.91894036525798</v>
      </c>
      <c r="AF50" s="47">
        <f>IFERROR($I50*INDEX('Carbon factors'!$C$4:$C$10,MATCH($J50,Fuel_Type,0),1)+$M50*INDEX('Carbon factors'!$C$4:$C$10,MATCH($N50,Fuel_Type,0),1),"")</f>
        <v>220.58527875085386</v>
      </c>
      <c r="AG50" s="47" t="str">
        <f>IFERROR($O50*INDEX('Carbon factors'!$C$4:$C$10,MATCH($P50,Fuel_Type,0),1),"")</f>
        <v/>
      </c>
      <c r="AH50" s="47" t="str">
        <f>IF(Q50="","",Q50*'Carbon factors'!$C$5)</f>
        <v/>
      </c>
      <c r="AI50" s="47" t="str">
        <f>IF(R50="","",R50*'Carbon factors'!$C$5)</f>
        <v/>
      </c>
      <c r="AJ50" s="47">
        <f>IF(S50="","",S50*'Carbon factors'!$C$5)</f>
        <v>78.947389999999999</v>
      </c>
      <c r="AK50" s="47">
        <f>IF(T50="","",T50*'Carbon factors'!$C$5)</f>
        <v>51.101559999999999</v>
      </c>
      <c r="AL50" s="47">
        <f>IF(U50="","",U50*'Carbon factors'!$C$5)</f>
        <v>18.660970000000002</v>
      </c>
      <c r="AM50" s="222">
        <f t="shared" si="0"/>
        <v>508.21413911611182</v>
      </c>
      <c r="AN50" s="61">
        <f t="shared" si="1"/>
        <v>6.5155658861039978</v>
      </c>
    </row>
    <row r="51" spans="1:40" ht="13.5" customHeight="1">
      <c r="A51" s="287" t="str">
        <f>IF(Baseline!A50="","",Baseline!A50)</f>
        <v/>
      </c>
      <c r="B51" s="141" t="str">
        <f>IF(Baseline!B50="","",Baseline!B50)</f>
        <v/>
      </c>
      <c r="C51" s="141" t="str">
        <f>IF(Baseline!C50="","",Baseline!C50)</f>
        <v/>
      </c>
      <c r="D51" s="288" t="str">
        <f>IF(Baseline!D50="","",Baseline!D50)</f>
        <v/>
      </c>
      <c r="E51" s="96" t="str">
        <f t="shared" si="4"/>
        <v/>
      </c>
      <c r="F51" s="109"/>
      <c r="G51" s="147">
        <f t="shared" ref="G51" si="5">207.46*100/93.2</f>
        <v>222.59656652360513</v>
      </c>
      <c r="H51" s="100"/>
      <c r="I51" s="100">
        <f t="shared" ref="I51" si="6">562.72*100/93.2</f>
        <v>603.77682403433471</v>
      </c>
      <c r="J51" s="100"/>
      <c r="K51" s="100">
        <f t="shared" ref="K51" si="7">507.92*100/333</f>
        <v>152.52852852852854</v>
      </c>
      <c r="L51" s="100"/>
      <c r="M51" s="100">
        <f t="shared" ref="M51" si="8">1377.7*100/333</f>
        <v>413.72372372372371</v>
      </c>
      <c r="N51" s="100"/>
      <c r="O51" s="100"/>
      <c r="P51" s="100"/>
      <c r="Q51" s="100"/>
      <c r="R51" s="100"/>
      <c r="S51" s="100"/>
      <c r="T51" s="100">
        <f t="shared" ref="T51:T53" si="9">26.56+195.29</f>
        <v>221.85</v>
      </c>
      <c r="U51" s="100"/>
      <c r="V51" s="46" t="str">
        <f>IFERROR(($G51*INDEX('Carbon factors'!$B$4:$B$10,MATCH($H51,Fuel_Type,0),1))+($K51*INDEX('Carbon factors'!$B$4:$B$10,MATCH($L51,Fuel_Type,0),1)),"")</f>
        <v/>
      </c>
      <c r="W51" s="47" t="str">
        <f>IFERROR($M51*INDEX('Carbon factors'!$B$4:$B$10,MATCH($N51,Fuel_Type,0),1)+$I51*INDEX('Carbon factors'!$B$4:$B$10,MATCH($J51,Fuel_Type,0),1),"")</f>
        <v/>
      </c>
      <c r="X51" s="47" t="str">
        <f>IFERROR($O51*INDEX('Carbon factors'!$B$4:$B$10,MATCH($P51,Fuel_Type,0),1),"")</f>
        <v/>
      </c>
      <c r="Y51" s="47" t="str">
        <f>IF(Q51="","",Q51*'Carbon factors'!$B$5)</f>
        <v/>
      </c>
      <c r="Z51" s="47" t="str">
        <f>IF(R51="","",R51*'Carbon factors'!$B$5)</f>
        <v/>
      </c>
      <c r="AA51" s="47" t="str">
        <f>IF(S51="","",S51*'Carbon factors'!$B$5)</f>
        <v/>
      </c>
      <c r="AB51" s="47">
        <f>IF(T51="","",T51*'Carbon factors'!$B$5)</f>
        <v>115.14015000000001</v>
      </c>
      <c r="AC51" s="47" t="str">
        <f>IF(U51="","",U51*'Carbon factors'!$B$5)</f>
        <v/>
      </c>
      <c r="AD51" s="267">
        <f t="shared" si="3"/>
        <v>115.14015000000001</v>
      </c>
      <c r="AE51" s="49" t="str">
        <f>IFERROR($G51*INDEX('Carbon factors'!$C$4:$C$10,MATCH($H51,Fuel_Type,0),1)+$K51*INDEX('Carbon factors'!$C$4:$C$10,MATCH($L51,Fuel_Type,0),1),"")</f>
        <v/>
      </c>
      <c r="AF51" s="47" t="str">
        <f>IFERROR($I51*INDEX('Carbon factors'!$C$4:$C$10,MATCH($J51,Fuel_Type,0),1)+$M51*INDEX('Carbon factors'!$C$4:$C$10,MATCH($N51,Fuel_Type,0),1),"")</f>
        <v/>
      </c>
      <c r="AG51" s="47" t="str">
        <f>IFERROR($O51*INDEX('Carbon factors'!$C$4:$C$10,MATCH($P51,Fuel_Type,0),1),"")</f>
        <v/>
      </c>
      <c r="AH51" s="47" t="str">
        <f>IF(Q51="","",Q51*'Carbon factors'!$C$5)</f>
        <v/>
      </c>
      <c r="AI51" s="47" t="str">
        <f>IF(R51="","",R51*'Carbon factors'!$C$5)</f>
        <v/>
      </c>
      <c r="AJ51" s="47" t="str">
        <f>IF(S51="","",S51*'Carbon factors'!$C$5)</f>
        <v/>
      </c>
      <c r="AK51" s="47">
        <f>IF(T51="","",T51*'Carbon factors'!$C$5)</f>
        <v>51.691050000000004</v>
      </c>
      <c r="AL51" s="47" t="str">
        <f>IF(U51="","",U51*'Carbon factors'!$C$5)</f>
        <v/>
      </c>
      <c r="AM51" s="222">
        <f t="shared" si="0"/>
        <v>51.691050000000004</v>
      </c>
      <c r="AN51" s="61" t="str">
        <f t="shared" si="1"/>
        <v/>
      </c>
    </row>
    <row r="52" spans="1:40" ht="13.5" customHeight="1">
      <c r="A52" s="287" t="str">
        <f>IF(Baseline!A51="","",Baseline!A51)</f>
        <v/>
      </c>
      <c r="B52" s="141" t="str">
        <f>IF(Baseline!B51="","",Baseline!B51)</f>
        <v/>
      </c>
      <c r="C52" s="141" t="str">
        <f>IF(Baseline!C51="","",Baseline!C51)</f>
        <v/>
      </c>
      <c r="D52" s="288" t="str">
        <f>IF(Baseline!D51="","",Baseline!D51)</f>
        <v/>
      </c>
      <c r="E52" s="96" t="str">
        <f t="shared" si="4"/>
        <v/>
      </c>
      <c r="F52" s="109"/>
      <c r="G52" s="147"/>
      <c r="H52" s="100"/>
      <c r="I52" s="100"/>
      <c r="J52" s="100"/>
      <c r="K52" s="100"/>
      <c r="L52" s="100"/>
      <c r="M52" s="100"/>
      <c r="N52" s="100"/>
      <c r="O52" s="100"/>
      <c r="P52" s="100"/>
      <c r="Q52" s="100"/>
      <c r="R52" s="100"/>
      <c r="S52" s="100"/>
      <c r="T52" s="100">
        <f t="shared" si="9"/>
        <v>221.85</v>
      </c>
      <c r="U52" s="100"/>
      <c r="V52" s="46" t="str">
        <f>IFERROR(($G52*INDEX('Carbon factors'!$B$4:$B$10,MATCH($H52,Fuel_Type,0),1))+($K52*INDEX('Carbon factors'!$B$4:$B$10,MATCH($L52,Fuel_Type,0),1)),"")</f>
        <v/>
      </c>
      <c r="W52" s="47" t="str">
        <f>IFERROR($M52*INDEX('Carbon factors'!$B$4:$B$10,MATCH($N52,Fuel_Type,0),1)+$I52*INDEX('Carbon factors'!$B$4:$B$10,MATCH($J52,Fuel_Type,0),1),"")</f>
        <v/>
      </c>
      <c r="X52" s="47" t="str">
        <f>IFERROR($O52*INDEX('Carbon factors'!$B$4:$B$10,MATCH($P52,Fuel_Type,0),1),"")</f>
        <v/>
      </c>
      <c r="Y52" s="47" t="str">
        <f>IF(Q52="","",Q52*'Carbon factors'!$B$5)</f>
        <v/>
      </c>
      <c r="Z52" s="47" t="str">
        <f>IF(R52="","",R52*'Carbon factors'!$B$5)</f>
        <v/>
      </c>
      <c r="AA52" s="47" t="str">
        <f>IF(S52="","",S52*'Carbon factors'!$B$5)</f>
        <v/>
      </c>
      <c r="AB52" s="47">
        <f>IF(T52="","",T52*'Carbon factors'!$B$5)</f>
        <v>115.14015000000001</v>
      </c>
      <c r="AC52" s="47" t="str">
        <f>IF(U52="","",U52*'Carbon factors'!$B$5)</f>
        <v/>
      </c>
      <c r="AD52" s="267">
        <f t="shared" si="3"/>
        <v>115.14015000000001</v>
      </c>
      <c r="AE52" s="49" t="str">
        <f>IFERROR($G52*INDEX('Carbon factors'!$C$4:$C$10,MATCH($H52,Fuel_Type,0),1)+$K52*INDEX('Carbon factors'!$C$4:$C$10,MATCH($L52,Fuel_Type,0),1),"")</f>
        <v/>
      </c>
      <c r="AF52" s="47" t="str">
        <f>IFERROR($I52*INDEX('Carbon factors'!$C$4:$C$10,MATCH($J52,Fuel_Type,0),1)+$M52*INDEX('Carbon factors'!$C$4:$C$10,MATCH($N52,Fuel_Type,0),1),"")</f>
        <v/>
      </c>
      <c r="AG52" s="47" t="str">
        <f>IFERROR($O52*INDEX('Carbon factors'!$C$4:$C$10,MATCH($P52,Fuel_Type,0),1),"")</f>
        <v/>
      </c>
      <c r="AH52" s="47" t="str">
        <f>IF(Q52="","",Q52*'Carbon factors'!$C$5)</f>
        <v/>
      </c>
      <c r="AI52" s="47" t="str">
        <f>IF(R52="","",R52*'Carbon factors'!$C$5)</f>
        <v/>
      </c>
      <c r="AJ52" s="47" t="str">
        <f>IF(S52="","",S52*'Carbon factors'!$C$5)</f>
        <v/>
      </c>
      <c r="AK52" s="47">
        <f>IF(T52="","",T52*'Carbon factors'!$C$5)</f>
        <v>51.691050000000004</v>
      </c>
      <c r="AL52" s="47" t="str">
        <f>IF(U52="","",U52*'Carbon factors'!$C$5)</f>
        <v/>
      </c>
      <c r="AM52" s="222">
        <f t="shared" si="0"/>
        <v>51.691050000000004</v>
      </c>
      <c r="AN52" s="61" t="str">
        <f t="shared" si="1"/>
        <v/>
      </c>
    </row>
    <row r="53" spans="1:40" ht="13.5" customHeight="1">
      <c r="A53" s="287" t="str">
        <f>IF(Baseline!A52="","",Baseline!A52)</f>
        <v/>
      </c>
      <c r="B53" s="141" t="str">
        <f>IF(Baseline!B52="","",Baseline!B52)</f>
        <v/>
      </c>
      <c r="C53" s="141" t="str">
        <f>IF(Baseline!C52="","",Baseline!C52)</f>
        <v/>
      </c>
      <c r="D53" s="288" t="str">
        <f>IF(Baseline!D52="","",Baseline!D52)</f>
        <v/>
      </c>
      <c r="E53" s="96" t="str">
        <f t="shared" si="4"/>
        <v/>
      </c>
      <c r="F53" s="109"/>
      <c r="G53" s="147"/>
      <c r="H53" s="100"/>
      <c r="I53" s="100"/>
      <c r="J53" s="100"/>
      <c r="K53" s="100"/>
      <c r="L53" s="100"/>
      <c r="M53" s="100"/>
      <c r="N53" s="100"/>
      <c r="O53" s="100"/>
      <c r="P53" s="100"/>
      <c r="Q53" s="100"/>
      <c r="R53" s="100"/>
      <c r="S53" s="100"/>
      <c r="T53" s="100">
        <f t="shared" si="9"/>
        <v>221.85</v>
      </c>
      <c r="U53" s="100"/>
      <c r="V53" s="46" t="str">
        <f>IFERROR(($G53*INDEX('Carbon factors'!$B$4:$B$10,MATCH($H53,Fuel_Type,0),1))+($K53*INDEX('Carbon factors'!$B$4:$B$10,MATCH($L53,Fuel_Type,0),1)),"")</f>
        <v/>
      </c>
      <c r="W53" s="47" t="str">
        <f>IFERROR($M53*INDEX('Carbon factors'!$B$4:$B$10,MATCH($N53,Fuel_Type,0),1)+$I53*INDEX('Carbon factors'!$B$4:$B$10,MATCH($J53,Fuel_Type,0),1),"")</f>
        <v/>
      </c>
      <c r="X53" s="47" t="str">
        <f>IFERROR($O53*INDEX('Carbon factors'!$B$4:$B$10,MATCH($P53,Fuel_Type,0),1),"")</f>
        <v/>
      </c>
      <c r="Y53" s="47" t="str">
        <f>IF(Q53="","",Q53*'Carbon factors'!$B$5)</f>
        <v/>
      </c>
      <c r="Z53" s="47" t="str">
        <f>IF(R53="","",R53*'Carbon factors'!$B$5)</f>
        <v/>
      </c>
      <c r="AA53" s="47" t="str">
        <f>IF(S53="","",S53*'Carbon factors'!$B$5)</f>
        <v/>
      </c>
      <c r="AB53" s="47">
        <f>IF(T53="","",T53*'Carbon factors'!$B$5)</f>
        <v>115.14015000000001</v>
      </c>
      <c r="AC53" s="47" t="str">
        <f>IF(U53="","",U53*'Carbon factors'!$B$5)</f>
        <v/>
      </c>
      <c r="AD53" s="267">
        <f t="shared" si="3"/>
        <v>115.14015000000001</v>
      </c>
      <c r="AE53" s="49" t="str">
        <f>IFERROR($G53*INDEX('Carbon factors'!$C$4:$C$10,MATCH($H53,Fuel_Type,0),1)+$K53*INDEX('Carbon factors'!$C$4:$C$10,MATCH($L53,Fuel_Type,0),1),"")</f>
        <v/>
      </c>
      <c r="AF53" s="47" t="str">
        <f>IFERROR($I53*INDEX('Carbon factors'!$C$4:$C$10,MATCH($J53,Fuel_Type,0),1)+$M53*INDEX('Carbon factors'!$C$4:$C$10,MATCH($N53,Fuel_Type,0),1),"")</f>
        <v/>
      </c>
      <c r="AG53" s="47" t="str">
        <f>IFERROR($O53*INDEX('Carbon factors'!$C$4:$C$10,MATCH($P53,Fuel_Type,0),1),"")</f>
        <v/>
      </c>
      <c r="AH53" s="47" t="str">
        <f>IF(Q53="","",Q53*'Carbon factors'!$C$5)</f>
        <v/>
      </c>
      <c r="AI53" s="47" t="str">
        <f>IF(R53="","",R53*'Carbon factors'!$C$5)</f>
        <v/>
      </c>
      <c r="AJ53" s="47" t="str">
        <f>IF(S53="","",S53*'Carbon factors'!$C$5)</f>
        <v/>
      </c>
      <c r="AK53" s="47">
        <f>IF(T53="","",T53*'Carbon factors'!$C$5)</f>
        <v>51.691050000000004</v>
      </c>
      <c r="AL53" s="47" t="str">
        <f>IF(U53="","",U53*'Carbon factors'!$C$5)</f>
        <v/>
      </c>
      <c r="AM53" s="222">
        <f t="shared" si="0"/>
        <v>51.691050000000004</v>
      </c>
      <c r="AN53" s="61" t="str">
        <f t="shared" si="1"/>
        <v/>
      </c>
    </row>
    <row r="54" spans="1:40" ht="13.5" customHeight="1">
      <c r="A54" s="287" t="str">
        <f>IF(Baseline!A53="","",Baseline!A53)</f>
        <v/>
      </c>
      <c r="B54" s="141" t="str">
        <f>IF(Baseline!B53="","",Baseline!B53)</f>
        <v/>
      </c>
      <c r="C54" s="141" t="str">
        <f>IF(Baseline!C53="","",Baseline!C53)</f>
        <v/>
      </c>
      <c r="D54" s="288" t="str">
        <f>IF(Baseline!D53="","",Baseline!D53)</f>
        <v/>
      </c>
      <c r="E54" s="96" t="str">
        <f t="shared" si="4"/>
        <v/>
      </c>
      <c r="F54" s="109"/>
      <c r="G54" s="147"/>
      <c r="H54" s="100"/>
      <c r="I54" s="100"/>
      <c r="J54" s="100"/>
      <c r="K54" s="100"/>
      <c r="L54" s="100"/>
      <c r="M54" s="100"/>
      <c r="N54" s="100"/>
      <c r="O54" s="100"/>
      <c r="P54" s="100"/>
      <c r="Q54" s="100"/>
      <c r="R54" s="100"/>
      <c r="S54" s="100"/>
      <c r="T54" s="100"/>
      <c r="U54" s="100"/>
      <c r="V54" s="46" t="str">
        <f>IFERROR(($G54*INDEX('Carbon factors'!$B$4:$B$10,MATCH($H54,Fuel_Type,0),1))+($K54*INDEX('Carbon factors'!$B$4:$B$10,MATCH($L54,Fuel_Type,0),1)),"")</f>
        <v/>
      </c>
      <c r="W54" s="47" t="str">
        <f>IFERROR($M54*INDEX('Carbon factors'!$B$4:$B$10,MATCH($N54,Fuel_Type,0),1)+$I54*INDEX('Carbon factors'!$B$4:$B$10,MATCH($J54,Fuel_Type,0),1),"")</f>
        <v/>
      </c>
      <c r="X54" s="47" t="str">
        <f>IFERROR($O54*INDEX('Carbon factors'!$B$4:$B$10,MATCH($P54,Fuel_Type,0),1),"")</f>
        <v/>
      </c>
      <c r="Y54" s="47" t="str">
        <f>IF(Q54="","",Q54*'Carbon factors'!$B$5)</f>
        <v/>
      </c>
      <c r="Z54" s="47" t="str">
        <f>IF(R54="","",R54*'Carbon factors'!$B$5)</f>
        <v/>
      </c>
      <c r="AA54" s="47" t="str">
        <f>IF(S54="","",S54*'Carbon factors'!$B$5)</f>
        <v/>
      </c>
      <c r="AB54" s="47" t="str">
        <f>IF(T54="","",T54*'Carbon factors'!$B$5)</f>
        <v/>
      </c>
      <c r="AC54" s="47" t="str">
        <f>IF(U54="","",U54*'Carbon factors'!$B$5)</f>
        <v/>
      </c>
      <c r="AD54" s="267" t="str">
        <f t="shared" si="3"/>
        <v/>
      </c>
      <c r="AE54" s="49" t="str">
        <f>IFERROR($G54*INDEX('Carbon factors'!$C$4:$C$10,MATCH($H54,Fuel_Type,0),1)+$K54*INDEX('Carbon factors'!$C$4:$C$10,MATCH($L54,Fuel_Type,0),1),"")</f>
        <v/>
      </c>
      <c r="AF54" s="47" t="str">
        <f>IFERROR($I54*INDEX('Carbon factors'!$C$4:$C$10,MATCH($J54,Fuel_Type,0),1)+$M54*INDEX('Carbon factors'!$C$4:$C$10,MATCH($N54,Fuel_Type,0),1),"")</f>
        <v/>
      </c>
      <c r="AG54" s="47" t="str">
        <f>IFERROR($O54*INDEX('Carbon factors'!$C$4:$C$10,MATCH($P54,Fuel_Type,0),1),"")</f>
        <v/>
      </c>
      <c r="AH54" s="47" t="str">
        <f>IF(Q54="","",Q54*'Carbon factors'!$C$5)</f>
        <v/>
      </c>
      <c r="AI54" s="47" t="str">
        <f>IF(R54="","",R54*'Carbon factors'!$C$5)</f>
        <v/>
      </c>
      <c r="AJ54" s="47" t="str">
        <f>IF(S54="","",S54*'Carbon factors'!$C$5)</f>
        <v/>
      </c>
      <c r="AK54" s="47" t="str">
        <f>IF(T54="","",T54*'Carbon factors'!$C$5)</f>
        <v/>
      </c>
      <c r="AL54" s="47" t="str">
        <f>IF(U54="","",U54*'Carbon factors'!$C$5)</f>
        <v/>
      </c>
      <c r="AM54" s="222" t="str">
        <f t="shared" si="0"/>
        <v/>
      </c>
      <c r="AN54" s="61" t="str">
        <f t="shared" si="1"/>
        <v/>
      </c>
    </row>
    <row r="55" spans="1:40" ht="13.5" customHeight="1">
      <c r="A55" s="287" t="str">
        <f>IF(Baseline!A54="","",Baseline!A54)</f>
        <v/>
      </c>
      <c r="B55" s="141" t="str">
        <f>IF(Baseline!B54="","",Baseline!B54)</f>
        <v/>
      </c>
      <c r="C55" s="141" t="str">
        <f>IF(Baseline!C54="","",Baseline!C54)</f>
        <v/>
      </c>
      <c r="D55" s="288" t="str">
        <f>IF(Baseline!D54="","",Baseline!D54)</f>
        <v/>
      </c>
      <c r="E55" s="96" t="str">
        <f t="shared" si="4"/>
        <v/>
      </c>
      <c r="F55" s="109"/>
      <c r="G55" s="147"/>
      <c r="H55" s="100"/>
      <c r="I55" s="100"/>
      <c r="J55" s="100"/>
      <c r="K55" s="100"/>
      <c r="L55" s="100"/>
      <c r="M55" s="100"/>
      <c r="N55" s="100"/>
      <c r="O55" s="100"/>
      <c r="P55" s="100"/>
      <c r="Q55" s="100"/>
      <c r="R55" s="100"/>
      <c r="S55" s="100"/>
      <c r="T55" s="100"/>
      <c r="U55" s="100"/>
      <c r="V55" s="46" t="str">
        <f>IFERROR(($G55*INDEX('Carbon factors'!$B$4:$B$10,MATCH($H55,Fuel_Type,0),1))+($K55*INDEX('Carbon factors'!$B$4:$B$10,MATCH($L55,Fuel_Type,0),1)),"")</f>
        <v/>
      </c>
      <c r="W55" s="47" t="str">
        <f>IFERROR($M55*INDEX('Carbon factors'!$B$4:$B$10,MATCH($N55,Fuel_Type,0),1)+$I55*INDEX('Carbon factors'!$B$4:$B$10,MATCH($J55,Fuel_Type,0),1),"")</f>
        <v/>
      </c>
      <c r="X55" s="47" t="str">
        <f>IFERROR($O55*INDEX('Carbon factors'!$B$4:$B$10,MATCH($P55,Fuel_Type,0),1),"")</f>
        <v/>
      </c>
      <c r="Y55" s="47" t="str">
        <f>IF(Q55="","",Q55*'Carbon factors'!$B$5)</f>
        <v/>
      </c>
      <c r="Z55" s="47" t="str">
        <f>IF(R55="","",R55*'Carbon factors'!$B$5)</f>
        <v/>
      </c>
      <c r="AA55" s="47" t="str">
        <f>IF(S55="","",S55*'Carbon factors'!$B$5)</f>
        <v/>
      </c>
      <c r="AB55" s="47" t="str">
        <f>IF(T55="","",T55*'Carbon factors'!$B$5)</f>
        <v/>
      </c>
      <c r="AC55" s="47" t="str">
        <f>IF(U55="","",U55*'Carbon factors'!$B$5)</f>
        <v/>
      </c>
      <c r="AD55" s="267" t="str">
        <f t="shared" si="3"/>
        <v/>
      </c>
      <c r="AE55" s="49" t="str">
        <f>IFERROR($G55*INDEX('Carbon factors'!$C$4:$C$10,MATCH($H55,Fuel_Type,0),1)+$K55*INDEX('Carbon factors'!$C$4:$C$10,MATCH($L55,Fuel_Type,0),1),"")</f>
        <v/>
      </c>
      <c r="AF55" s="47" t="str">
        <f>IFERROR($I55*INDEX('Carbon factors'!$C$4:$C$10,MATCH($J55,Fuel_Type,0),1)+$M55*INDEX('Carbon factors'!$C$4:$C$10,MATCH($N55,Fuel_Type,0),1),"")</f>
        <v/>
      </c>
      <c r="AG55" s="47" t="str">
        <f>IFERROR($O55*INDEX('Carbon factors'!$C$4:$C$10,MATCH($P55,Fuel_Type,0),1),"")</f>
        <v/>
      </c>
      <c r="AH55" s="47" t="str">
        <f>IF(Q55="","",Q55*'Carbon factors'!$C$5)</f>
        <v/>
      </c>
      <c r="AI55" s="47" t="str">
        <f>IF(R55="","",R55*'Carbon factors'!$C$5)</f>
        <v/>
      </c>
      <c r="AJ55" s="47" t="str">
        <f>IF(S55="","",S55*'Carbon factors'!$C$5)</f>
        <v/>
      </c>
      <c r="AK55" s="47" t="str">
        <f>IF(T55="","",T55*'Carbon factors'!$C$5)</f>
        <v/>
      </c>
      <c r="AL55" s="47" t="str">
        <f>IF(U55="","",U55*'Carbon factors'!$C$5)</f>
        <v/>
      </c>
      <c r="AM55" s="222" t="str">
        <f t="shared" si="0"/>
        <v/>
      </c>
      <c r="AN55" s="61" t="str">
        <f t="shared" si="1"/>
        <v/>
      </c>
    </row>
    <row r="56" spans="1:40" ht="13.5" customHeight="1">
      <c r="A56" s="287" t="str">
        <f>IF(Baseline!A55="","",Baseline!A55)</f>
        <v/>
      </c>
      <c r="B56" s="141" t="str">
        <f>IF(Baseline!B55="","",Baseline!B55)</f>
        <v/>
      </c>
      <c r="C56" s="141" t="str">
        <f>IF(Baseline!C55="","",Baseline!C55)</f>
        <v/>
      </c>
      <c r="D56" s="288" t="str">
        <f>IF(Baseline!D55="","",Baseline!D55)</f>
        <v/>
      </c>
      <c r="E56" s="96" t="str">
        <f t="shared" si="4"/>
        <v/>
      </c>
      <c r="F56" s="109"/>
      <c r="G56" s="147"/>
      <c r="H56" s="100"/>
      <c r="I56" s="100"/>
      <c r="J56" s="100"/>
      <c r="K56" s="100"/>
      <c r="L56" s="100"/>
      <c r="M56" s="100"/>
      <c r="N56" s="100"/>
      <c r="O56" s="100"/>
      <c r="P56" s="100"/>
      <c r="Q56" s="100"/>
      <c r="R56" s="100"/>
      <c r="S56" s="100"/>
      <c r="T56" s="100"/>
      <c r="U56" s="100"/>
      <c r="V56" s="46" t="str">
        <f>IFERROR(($G56*INDEX('Carbon factors'!$B$4:$B$10,MATCH($H56,Fuel_Type,0),1))+($K56*INDEX('Carbon factors'!$B$4:$B$10,MATCH($L56,Fuel_Type,0),1)),"")</f>
        <v/>
      </c>
      <c r="W56" s="47" t="str">
        <f>IFERROR($M56*INDEX('Carbon factors'!$B$4:$B$10,MATCH($N56,Fuel_Type,0),1)+$I56*INDEX('Carbon factors'!$B$4:$B$10,MATCH($J56,Fuel_Type,0),1),"")</f>
        <v/>
      </c>
      <c r="X56" s="47" t="str">
        <f>IFERROR($O56*INDEX('Carbon factors'!$B$4:$B$10,MATCH($P56,Fuel_Type,0),1),"")</f>
        <v/>
      </c>
      <c r="Y56" s="47" t="str">
        <f>IF(Q56="","",Q56*'Carbon factors'!$B$5)</f>
        <v/>
      </c>
      <c r="Z56" s="47" t="str">
        <f>IF(R56="","",R56*'Carbon factors'!$B$5)</f>
        <v/>
      </c>
      <c r="AA56" s="47" t="str">
        <f>IF(S56="","",S56*'Carbon factors'!$B$5)</f>
        <v/>
      </c>
      <c r="AB56" s="47" t="str">
        <f>IF(T56="","",T56*'Carbon factors'!$B$5)</f>
        <v/>
      </c>
      <c r="AC56" s="47" t="str">
        <f>IF(U56="","",U56*'Carbon factors'!$B$5)</f>
        <v/>
      </c>
      <c r="AD56" s="267" t="str">
        <f t="shared" si="3"/>
        <v/>
      </c>
      <c r="AE56" s="49" t="str">
        <f>IFERROR($G56*INDEX('Carbon factors'!$C$4:$C$10,MATCH($H56,Fuel_Type,0),1)+$K56*INDEX('Carbon factors'!$C$4:$C$10,MATCH($L56,Fuel_Type,0),1),"")</f>
        <v/>
      </c>
      <c r="AF56" s="47" t="str">
        <f>IFERROR($I56*INDEX('Carbon factors'!$C$4:$C$10,MATCH($J56,Fuel_Type,0),1)+$M56*INDEX('Carbon factors'!$C$4:$C$10,MATCH($N56,Fuel_Type,0),1),"")</f>
        <v/>
      </c>
      <c r="AG56" s="47" t="str">
        <f>IFERROR($O56*INDEX('Carbon factors'!$C$4:$C$10,MATCH($P56,Fuel_Type,0),1),"")</f>
        <v/>
      </c>
      <c r="AH56" s="47" t="str">
        <f>IF(Q56="","",Q56*'Carbon factors'!$C$5)</f>
        <v/>
      </c>
      <c r="AI56" s="47" t="str">
        <f>IF(R56="","",R56*'Carbon factors'!$C$5)</f>
        <v/>
      </c>
      <c r="AJ56" s="47" t="str">
        <f>IF(S56="","",S56*'Carbon factors'!$C$5)</f>
        <v/>
      </c>
      <c r="AK56" s="47" t="str">
        <f>IF(T56="","",T56*'Carbon factors'!$C$5)</f>
        <v/>
      </c>
      <c r="AL56" s="47" t="str">
        <f>IF(U56="","",U56*'Carbon factors'!$C$5)</f>
        <v/>
      </c>
      <c r="AM56" s="222" t="str">
        <f t="shared" si="0"/>
        <v/>
      </c>
      <c r="AN56" s="61" t="str">
        <f t="shared" si="1"/>
        <v/>
      </c>
    </row>
    <row r="57" spans="1:40" ht="13.5" customHeight="1">
      <c r="A57" s="289" t="str">
        <f>IF(Baseline!A56="","",Baseline!A56)</f>
        <v/>
      </c>
      <c r="B57" s="290" t="str">
        <f>IF(Baseline!B56="","",Baseline!B56)</f>
        <v/>
      </c>
      <c r="C57" s="290" t="str">
        <f>IF(Baseline!C56="","",Baseline!C56)</f>
        <v/>
      </c>
      <c r="D57" s="291" t="str">
        <f>IF(Baseline!D56="","",Baseline!D56)</f>
        <v/>
      </c>
      <c r="E57" s="97" t="str">
        <f t="shared" si="4"/>
        <v/>
      </c>
      <c r="F57" s="110"/>
      <c r="G57" s="347"/>
      <c r="H57" s="100"/>
      <c r="I57" s="104"/>
      <c r="J57" s="100"/>
      <c r="K57" s="104"/>
      <c r="L57" s="100"/>
      <c r="M57" s="104"/>
      <c r="N57" s="104"/>
      <c r="O57" s="104"/>
      <c r="P57" s="104"/>
      <c r="Q57" s="104"/>
      <c r="R57" s="104"/>
      <c r="S57" s="104"/>
      <c r="T57" s="104"/>
      <c r="U57" s="105"/>
      <c r="V57" s="50" t="str">
        <f>IFERROR(($G57*INDEX('Carbon factors'!$B$4:$B$10,MATCH($H57,Fuel_Type,0),1))+($K57*INDEX('Carbon factors'!$B$4:$B$10,MATCH($L57,Fuel_Type,0),1)),"")</f>
        <v/>
      </c>
      <c r="W57" s="47" t="str">
        <f>IFERROR($M57*INDEX('Carbon factors'!$B$4:$B$10,MATCH($N57,Fuel_Type,0),1)+$I57*INDEX('Carbon factors'!$B$4:$B$10,MATCH($J57,Fuel_Type,0),1),"")</f>
        <v/>
      </c>
      <c r="X57" s="51" t="str">
        <f>IFERROR($O57*INDEX('Carbon factors'!$B$4:$B$10,MATCH($P57,Fuel_Type,0),1),"")</f>
        <v/>
      </c>
      <c r="Y57" s="51" t="str">
        <f>IF(Q57="","",Q57*'Carbon factors'!$B$5)</f>
        <v/>
      </c>
      <c r="Z57" s="51" t="str">
        <f>IF(R57="","",R57*'Carbon factors'!$B$5)</f>
        <v/>
      </c>
      <c r="AA57" s="47" t="str">
        <f>IF(S57="","",S57*'Carbon factors'!$B$5)</f>
        <v/>
      </c>
      <c r="AB57" s="51" t="str">
        <f>IF(T57="","",T57*'Carbon factors'!$B$5)</f>
        <v/>
      </c>
      <c r="AC57" s="51" t="str">
        <f>IF(U57="","",U57*'Carbon factors'!$B$5)</f>
        <v/>
      </c>
      <c r="AD57" s="268" t="str">
        <f>IF(SUM(V57:AC57)=0,"",(SUM(V57:AC57)))</f>
        <v/>
      </c>
      <c r="AE57" s="53" t="str">
        <f>IFERROR($G57*INDEX('Carbon factors'!$C$4:$C$10,MATCH($H57,Fuel_Type,0),1)+$K57*INDEX('Carbon factors'!$C$4:$C$10,MATCH($L57,Fuel_Type,0),1),"")</f>
        <v/>
      </c>
      <c r="AF57" s="51" t="str">
        <f>IFERROR($I57*INDEX('Carbon factors'!$C$4:$C$10,MATCH($J57,Fuel_Type,0),1)+$M57*INDEX('Carbon factors'!$C$4:$C$10,MATCH($N57,Fuel_Type,0),1),"")</f>
        <v/>
      </c>
      <c r="AG57" s="51" t="str">
        <f>IFERROR($O57*INDEX('Carbon factors'!$C$4:$C$10,MATCH($P57,Fuel_Type,0),1),"")</f>
        <v/>
      </c>
      <c r="AH57" s="51" t="str">
        <f>IF(Q57="","",Q57*'Carbon factors'!$C$5)</f>
        <v/>
      </c>
      <c r="AI57" s="51" t="str">
        <f>IF(R57="","",R57*'Carbon factors'!$C$5)</f>
        <v/>
      </c>
      <c r="AJ57" s="51" t="str">
        <f>IF(S57="","",S57*'Carbon factors'!$C$5)</f>
        <v/>
      </c>
      <c r="AK57" s="51" t="str">
        <f>IF(T57="","",T57*'Carbon factors'!$C$5)</f>
        <v/>
      </c>
      <c r="AL57" s="51" t="str">
        <f>IF(U57="","",U57*'Carbon factors'!$C$5)</f>
        <v/>
      </c>
      <c r="AM57" s="223" t="str">
        <f t="shared" si="0"/>
        <v/>
      </c>
      <c r="AN57" s="62" t="str">
        <f t="shared" si="1"/>
        <v/>
      </c>
    </row>
    <row r="58" spans="1:40" ht="24" customHeight="1">
      <c r="A58" s="54" t="s">
        <v>2</v>
      </c>
      <c r="B58" s="55">
        <f>SUMPRODUCT(B7:B57,C7:C57)</f>
        <v>26745</v>
      </c>
      <c r="C58" s="55">
        <f>SUM(C7:C57)</f>
        <v>375</v>
      </c>
      <c r="D58" s="310">
        <f>SUM(D7:D57)</f>
        <v>26745</v>
      </c>
      <c r="E58" s="276">
        <f>AD58/B58</f>
        <v>11.691469454171983</v>
      </c>
      <c r="F58" s="201" t="s">
        <v>3</v>
      </c>
      <c r="G58" s="55">
        <f>SUMPRODUCT(G7:G57,C7:C57)</f>
        <v>140485.96566523603</v>
      </c>
      <c r="H58" s="336" t="s">
        <v>12</v>
      </c>
      <c r="I58" s="238">
        <f>SUMPRODUCT(I7:I57,$C7:$C57)</f>
        <v>213696.24463519308</v>
      </c>
      <c r="J58" s="336" t="s">
        <v>12</v>
      </c>
      <c r="K58" s="238">
        <f>SUMPRODUCT(K7:K57,J7:J57)</f>
        <v>0</v>
      </c>
      <c r="L58" s="336" t="s">
        <v>12</v>
      </c>
      <c r="M58" s="238">
        <f>SUMPRODUCT(M7:M57,$C7:$C57)</f>
        <v>146774.10810810811</v>
      </c>
      <c r="N58" s="83" t="s">
        <v>12</v>
      </c>
      <c r="O58" s="55">
        <f>SUMPRODUCT(O7:O57,$C7:$C57)</f>
        <v>0</v>
      </c>
      <c r="P58" s="83" t="s">
        <v>12</v>
      </c>
      <c r="Q58" s="55">
        <f>SUMPRODUCT(Q7:Q57,B7:B57)</f>
        <v>0</v>
      </c>
      <c r="R58" s="55">
        <f>SUMPRODUCT(R7:R57,C7:C57)</f>
        <v>0</v>
      </c>
      <c r="S58" s="55">
        <f>SUMPRODUCT(S7:S57,C7:C57)</f>
        <v>116744.69</v>
      </c>
      <c r="T58" s="55">
        <f>SUMPRODUCT(T7:T57,C7:C57)</f>
        <v>74212.5</v>
      </c>
      <c r="U58" s="56">
        <f>SUMPRODUCT(U7:U57,C7:C57)</f>
        <v>20832.82</v>
      </c>
      <c r="V58" s="198">
        <f t="shared" ref="V58:AC58" si="10">SUMPRODUCT(V7:V57,$C$7:$C$57)</f>
        <v>80435.184412519855</v>
      </c>
      <c r="W58" s="199">
        <f t="shared" si="10"/>
        <v>122334.15094930981</v>
      </c>
      <c r="X58" s="55">
        <f t="shared" si="10"/>
        <v>0</v>
      </c>
      <c r="Y58" s="55">
        <f t="shared" si="10"/>
        <v>0</v>
      </c>
      <c r="Z58" s="55">
        <f t="shared" si="10"/>
        <v>0</v>
      </c>
      <c r="AA58" s="199">
        <f t="shared" si="10"/>
        <v>60590.49411</v>
      </c>
      <c r="AB58" s="55">
        <f t="shared" si="10"/>
        <v>38516.287499999999</v>
      </c>
      <c r="AC58" s="55">
        <f t="shared" si="10"/>
        <v>10812.233580000002</v>
      </c>
      <c r="AD58" s="277">
        <f>SUMPRODUCT(E7:E57,D7:D57)</f>
        <v>312688.35055182967</v>
      </c>
      <c r="AE58" s="58">
        <f t="shared" ref="AE58:AL58" si="11">SUMPRODUCT(AE7:AE57,$C$7:$C$57)</f>
        <v>51989.567795705574</v>
      </c>
      <c r="AF58" s="55">
        <f t="shared" si="11"/>
        <v>79074.578562579758</v>
      </c>
      <c r="AG58" s="55">
        <f t="shared" si="11"/>
        <v>0</v>
      </c>
      <c r="AH58" s="55">
        <f t="shared" si="11"/>
        <v>0</v>
      </c>
      <c r="AI58" s="55">
        <f t="shared" si="11"/>
        <v>0</v>
      </c>
      <c r="AJ58" s="55">
        <f t="shared" si="11"/>
        <v>27201.512769999998</v>
      </c>
      <c r="AK58" s="55">
        <f t="shared" si="11"/>
        <v>17291.512499999997</v>
      </c>
      <c r="AL58" s="55">
        <f t="shared" si="11"/>
        <v>4854.047059999999</v>
      </c>
      <c r="AM58" s="284">
        <f>SUMPRODUCT(AN7:AN57,D7:D57)</f>
        <v>180411.2186882853</v>
      </c>
      <c r="AN58" s="285">
        <f>AM58/B58</f>
        <v>6.7456054846993938</v>
      </c>
    </row>
    <row r="59" spans="1:40" s="80" customFormat="1" ht="27" customHeight="1">
      <c r="A59" s="424" t="s">
        <v>186</v>
      </c>
      <c r="B59" s="425"/>
      <c r="C59" s="425"/>
      <c r="D59" s="425"/>
      <c r="E59" s="425"/>
      <c r="F59" s="425"/>
      <c r="G59" s="425"/>
      <c r="H59" s="425"/>
      <c r="I59" s="425"/>
      <c r="J59" s="425"/>
      <c r="K59" s="425"/>
      <c r="L59" s="425"/>
      <c r="M59" s="425"/>
      <c r="N59" s="425"/>
      <c r="O59" s="425"/>
      <c r="P59" s="425"/>
      <c r="Q59" s="425"/>
      <c r="R59" s="425"/>
      <c r="S59" s="425"/>
      <c r="T59" s="425"/>
      <c r="U59" s="425"/>
      <c r="V59" s="425"/>
      <c r="W59" s="425"/>
      <c r="X59" s="425"/>
      <c r="Y59" s="425"/>
      <c r="Z59" s="425"/>
      <c r="AA59" s="425"/>
      <c r="AB59" s="425"/>
      <c r="AC59" s="425"/>
      <c r="AD59" s="425"/>
      <c r="AE59" s="425"/>
      <c r="AF59" s="425"/>
      <c r="AG59" s="425"/>
      <c r="AH59" s="425"/>
      <c r="AI59" s="425"/>
      <c r="AJ59" s="425"/>
      <c r="AK59" s="425"/>
      <c r="AL59" s="425"/>
      <c r="AM59" s="462"/>
      <c r="AN59" s="485"/>
    </row>
    <row r="60" spans="1:40" ht="27.75" customHeight="1">
      <c r="A60" s="394" t="s">
        <v>0</v>
      </c>
      <c r="B60" s="385" t="s">
        <v>99</v>
      </c>
      <c r="C60" s="384" t="s">
        <v>1</v>
      </c>
      <c r="D60" s="429" t="str">
        <f>'Be Lean'!D59</f>
        <v>Total area represented by model  (m²)</v>
      </c>
      <c r="E60" s="486" t="s">
        <v>201</v>
      </c>
      <c r="F60" s="486"/>
      <c r="G60" s="371" t="s">
        <v>252</v>
      </c>
      <c r="H60" s="372"/>
      <c r="I60" s="372"/>
      <c r="J60" s="372"/>
      <c r="K60" s="372"/>
      <c r="L60" s="372"/>
      <c r="M60" s="372"/>
      <c r="N60" s="372"/>
      <c r="O60" s="372"/>
      <c r="P60" s="372"/>
      <c r="Q60" s="372"/>
      <c r="R60" s="372"/>
      <c r="S60" s="372"/>
      <c r="T60" s="372"/>
      <c r="U60" s="373"/>
      <c r="V60" s="400" t="s">
        <v>253</v>
      </c>
      <c r="W60" s="435"/>
      <c r="X60" s="435"/>
      <c r="Y60" s="435"/>
      <c r="Z60" s="435"/>
      <c r="AA60" s="435"/>
      <c r="AB60" s="435"/>
      <c r="AC60" s="435"/>
      <c r="AD60" s="435"/>
      <c r="AE60" s="448" t="s">
        <v>18</v>
      </c>
      <c r="AF60" s="449"/>
      <c r="AG60" s="449"/>
      <c r="AH60" s="449"/>
      <c r="AI60" s="449"/>
      <c r="AJ60" s="449"/>
      <c r="AK60" s="449"/>
      <c r="AL60" s="449"/>
      <c r="AM60" s="449"/>
      <c r="AN60" s="481"/>
    </row>
    <row r="61" spans="1:40" ht="76.5">
      <c r="A61" s="394"/>
      <c r="B61" s="385"/>
      <c r="C61" s="385"/>
      <c r="D61" s="430"/>
      <c r="E61" s="407" t="s">
        <v>29</v>
      </c>
      <c r="F61" s="374" t="s">
        <v>28</v>
      </c>
      <c r="G61" s="407" t="s">
        <v>130</v>
      </c>
      <c r="H61" s="389" t="s">
        <v>20</v>
      </c>
      <c r="I61" s="389" t="s">
        <v>131</v>
      </c>
      <c r="J61" s="389" t="s">
        <v>21</v>
      </c>
      <c r="K61" s="474" t="s">
        <v>12</v>
      </c>
      <c r="L61" s="474" t="s">
        <v>12</v>
      </c>
      <c r="M61" s="474" t="s">
        <v>12</v>
      </c>
      <c r="N61" s="474" t="s">
        <v>12</v>
      </c>
      <c r="O61" s="488" t="s">
        <v>12</v>
      </c>
      <c r="P61" s="476" t="s">
        <v>12</v>
      </c>
      <c r="Q61" s="243" t="s">
        <v>222</v>
      </c>
      <c r="R61" s="243" t="s">
        <v>223</v>
      </c>
      <c r="S61" s="389" t="s">
        <v>132</v>
      </c>
      <c r="T61" s="389" t="s">
        <v>188</v>
      </c>
      <c r="U61" s="389" t="s">
        <v>195</v>
      </c>
      <c r="V61" s="258" t="str">
        <f>'Carbon factors'!A4</f>
        <v>Natural Gas</v>
      </c>
      <c r="W61" s="259" t="str">
        <f>'Carbon factors'!A5</f>
        <v xml:space="preserve">Grid Electricity </v>
      </c>
      <c r="X61" s="259" t="str">
        <f>'Carbon factors'!A10</f>
        <v xml:space="preserve">Bespoke DH Factor </v>
      </c>
      <c r="Y61" s="149" t="s">
        <v>193</v>
      </c>
      <c r="Z61" s="259" t="s">
        <v>192</v>
      </c>
      <c r="AA61" s="259" t="str">
        <f>'Carbon factors'!A6</f>
        <v>Enter Carbon Factor 1</v>
      </c>
      <c r="AB61" s="259" t="str">
        <f>'Carbon factors'!A7</f>
        <v>Enter Carbon Factor 2</v>
      </c>
      <c r="AC61" s="259" t="str">
        <f>'Carbon factors'!A8</f>
        <v>Enter Carbon Factor 3</v>
      </c>
      <c r="AD61" s="472" t="s">
        <v>96</v>
      </c>
      <c r="AE61" s="227" t="str">
        <f t="shared" ref="AE61:AL61" si="12">V61</f>
        <v>Natural Gas</v>
      </c>
      <c r="AF61" s="251" t="str">
        <f t="shared" si="12"/>
        <v xml:space="preserve">Grid Electricity </v>
      </c>
      <c r="AG61" s="226" t="str">
        <f t="shared" si="12"/>
        <v xml:space="preserve">Bespoke DH Factor </v>
      </c>
      <c r="AH61" s="251" t="str">
        <f t="shared" si="12"/>
        <v>Electricity generated by CHP
(-)
if applicable</v>
      </c>
      <c r="AI61" s="251" t="str">
        <f t="shared" si="12"/>
        <v>Electricity generated by renewable technology
(-)
if applicable</v>
      </c>
      <c r="AJ61" s="251" t="str">
        <f t="shared" si="12"/>
        <v>Enter Carbon Factor 1</v>
      </c>
      <c r="AK61" s="251" t="str">
        <f t="shared" si="12"/>
        <v>Enter Carbon Factor 2</v>
      </c>
      <c r="AL61" s="251" t="str">
        <f t="shared" si="12"/>
        <v>Enter Carbon Factor 3</v>
      </c>
      <c r="AM61" s="148" t="s">
        <v>148</v>
      </c>
      <c r="AN61" s="229" t="s">
        <v>116</v>
      </c>
    </row>
    <row r="62" spans="1:40">
      <c r="A62" s="394"/>
      <c r="B62" s="385"/>
      <c r="C62" s="386"/>
      <c r="D62" s="383"/>
      <c r="E62" s="408"/>
      <c r="F62" s="375"/>
      <c r="G62" s="408"/>
      <c r="H62" s="390"/>
      <c r="I62" s="390"/>
      <c r="J62" s="390"/>
      <c r="K62" s="475"/>
      <c r="L62" s="475"/>
      <c r="M62" s="475"/>
      <c r="N62" s="475"/>
      <c r="O62" s="489"/>
      <c r="P62" s="477"/>
      <c r="Q62" s="230" t="s">
        <v>168</v>
      </c>
      <c r="R62" s="230" t="s">
        <v>168</v>
      </c>
      <c r="S62" s="390"/>
      <c r="T62" s="390"/>
      <c r="U62" s="390"/>
      <c r="V62" s="256">
        <f>VLOOKUP(V61,'Carbon factors'!$A$4:$C$10,2,FALSE)</f>
        <v>0.216</v>
      </c>
      <c r="W62" s="257">
        <f>VLOOKUP(W61,'Carbon factors'!$A$4:$C$10,2,FALSE)</f>
        <v>0.51900000000000002</v>
      </c>
      <c r="X62" s="257">
        <f>VLOOKUP(X61,'Carbon factors'!$A$4:$C$10,2,FALSE)</f>
        <v>0</v>
      </c>
      <c r="Y62" s="257">
        <f>VLOOKUP(W61,'Carbon factors'!$A$4:$C$10,2,FALSE)</f>
        <v>0.51900000000000002</v>
      </c>
      <c r="Z62" s="257">
        <f>VLOOKUP(W61,'Carbon factors'!$A$4:$C$10,2,FALSE)</f>
        <v>0.51900000000000002</v>
      </c>
      <c r="AA62" s="257">
        <f>VLOOKUP(AA61,'Carbon factors'!$A$4:$C$10,2,FALSE)</f>
        <v>0</v>
      </c>
      <c r="AB62" s="257">
        <f>VLOOKUP(AB61,'Carbon factors'!$A$4:$C$10,2,FALSE)</f>
        <v>0</v>
      </c>
      <c r="AC62" s="257">
        <f>VLOOKUP(AC61,'Carbon factors'!$A$4:$C$10,2,FALSE)</f>
        <v>0</v>
      </c>
      <c r="AD62" s="473"/>
      <c r="AE62" s="311">
        <f>VLOOKUP(AE61,'Carbon factors'!$A$4:$C$10,3,FALSE)</f>
        <v>0.21</v>
      </c>
      <c r="AF62" s="254">
        <f>VLOOKUP(AF61,'Carbon factors'!$A$4:$C$10,3,FALSE)</f>
        <v>0.23300000000000001</v>
      </c>
      <c r="AG62" s="254">
        <f>VLOOKUP(AG61,'Carbon factors'!$A$4:$C$10,3,FALSE)</f>
        <v>0</v>
      </c>
      <c r="AH62" s="254">
        <f>VLOOKUP(AF61,'Carbon factors'!$A$4:$C$10,3,FALSE)</f>
        <v>0.23300000000000001</v>
      </c>
      <c r="AI62" s="254">
        <f>VLOOKUP(AF61,'Carbon factors'!$A$4:$C$10,3,FALSE)</f>
        <v>0.23300000000000001</v>
      </c>
      <c r="AJ62" s="254">
        <f>VLOOKUP(AJ61,'Carbon factors'!$A$4:$C$10,3,FALSE)</f>
        <v>0</v>
      </c>
      <c r="AK62" s="254">
        <f>VLOOKUP(AK61,'Carbon factors'!$A$4:$C$10,3,FALSE)</f>
        <v>0</v>
      </c>
      <c r="AL62" s="312">
        <f>VLOOKUP(AL61,'Carbon factors'!$A$4:$C$10,3,FALSE)</f>
        <v>0</v>
      </c>
      <c r="AM62" s="246"/>
      <c r="AN62" s="242"/>
    </row>
    <row r="63" spans="1:40" ht="13.5" customHeight="1">
      <c r="A63" s="313" t="str">
        <f>IF(Baseline!A62="","",Baseline!A62)</f>
        <v>Commercial Space</v>
      </c>
      <c r="B63" s="304">
        <f>IF(Baseline!B62="","",Baseline!B62)</f>
        <v>2918.75</v>
      </c>
      <c r="C63" s="304">
        <f>IF(Baseline!C62="","",Baseline!C62)</f>
        <v>1</v>
      </c>
      <c r="D63" s="275">
        <f>IF(Baseline!D62="","",Baseline!D62)</f>
        <v>2918.75</v>
      </c>
      <c r="E63" s="132">
        <f t="shared" ref="E63:E93" si="13">IFERROR(AD63/$B63,"")</f>
        <v>24.657209730000002</v>
      </c>
      <c r="F63" s="133">
        <v>24.8</v>
      </c>
      <c r="G63" s="111"/>
      <c r="H63" s="100"/>
      <c r="I63" s="100"/>
      <c r="J63" s="102"/>
      <c r="K63" s="475"/>
      <c r="L63" s="475"/>
      <c r="M63" s="475"/>
      <c r="N63" s="475"/>
      <c r="O63" s="489"/>
      <c r="P63" s="477"/>
      <c r="Q63" s="100"/>
      <c r="R63" s="100"/>
      <c r="S63" s="100"/>
      <c r="T63" s="100"/>
      <c r="U63" s="100"/>
      <c r="V63" s="334">
        <v>13</v>
      </c>
      <c r="W63" s="206">
        <v>45</v>
      </c>
      <c r="X63" s="211"/>
      <c r="Y63" s="100"/>
      <c r="Z63" s="100">
        <v>-2.9013300000000002</v>
      </c>
      <c r="AA63" s="211"/>
      <c r="AB63" s="211"/>
      <c r="AC63" s="211"/>
      <c r="AD63" s="263">
        <f>IF(SUM(V63:AC63)=0,"",SUMPRODUCT($V$62:$AC$62,V63:AC63)*$B63*$C63)</f>
        <v>71968.230899437505</v>
      </c>
      <c r="AE63" s="45">
        <f t="shared" ref="AE63:AE93" si="14">IF(V63=0,"",V63)</f>
        <v>13</v>
      </c>
      <c r="AF63" s="43">
        <f t="shared" ref="AF63:AF93" si="15">IF(W63=0,"",W63)</f>
        <v>45</v>
      </c>
      <c r="AG63" s="43" t="str">
        <f t="shared" ref="AG63:AG93" si="16">IF(X63=0,"",X63)</f>
        <v/>
      </c>
      <c r="AH63" s="43" t="str">
        <f t="shared" ref="AH63:AH93" si="17">IF(Y63=0,"",Y63)</f>
        <v/>
      </c>
      <c r="AI63" s="43">
        <f t="shared" ref="AI63:AI93" si="18">IF(Z63=0,"",Z63)</f>
        <v>-2.9013300000000002</v>
      </c>
      <c r="AJ63" s="43" t="str">
        <f t="shared" ref="AJ63:AJ93" si="19">IF(AA63=0,"",AA63)</f>
        <v/>
      </c>
      <c r="AK63" s="43" t="str">
        <f t="shared" ref="AK63:AK93" si="20">IF(AB63=0,"",AB63)</f>
        <v/>
      </c>
      <c r="AL63" s="43" t="str">
        <f t="shared" ref="AL63:AL93" si="21">IF(AC63=0,"",AC63)</f>
        <v/>
      </c>
      <c r="AM63" s="221">
        <f t="shared" ref="AM63:AM93" si="22">IF(SUM(AE63:AL63)=0,"",SUMPRODUCT($AE$62:$AL$62,AE63:AL63)*$B63*$C63)</f>
        <v>36598.177383562506</v>
      </c>
      <c r="AN63" s="61">
        <f>IFERROR(AM63/$B63,"")</f>
        <v>12.538990110000002</v>
      </c>
    </row>
    <row r="64" spans="1:40" ht="13.5" customHeight="1">
      <c r="A64" s="287" t="str">
        <f>IF(Baseline!A63="","",Baseline!A63)</f>
        <v/>
      </c>
      <c r="B64" s="141" t="str">
        <f>IF(Baseline!B63="","",Baseline!B63)</f>
        <v/>
      </c>
      <c r="C64" s="141" t="str">
        <f>IF(Baseline!C63="","",Baseline!C63)</f>
        <v/>
      </c>
      <c r="D64" s="288" t="str">
        <f>IF(Baseline!D63="","",Baseline!D63)</f>
        <v/>
      </c>
      <c r="E64" s="132" t="str">
        <f t="shared" si="13"/>
        <v/>
      </c>
      <c r="F64" s="133"/>
      <c r="G64" s="100"/>
      <c r="H64" s="100"/>
      <c r="I64" s="100"/>
      <c r="J64" s="100"/>
      <c r="K64" s="475"/>
      <c r="L64" s="475"/>
      <c r="M64" s="475"/>
      <c r="N64" s="475"/>
      <c r="O64" s="489"/>
      <c r="P64" s="477"/>
      <c r="Q64" s="100"/>
      <c r="R64" s="100"/>
      <c r="S64" s="100"/>
      <c r="T64" s="100"/>
      <c r="U64" s="100"/>
      <c r="V64" s="334"/>
      <c r="W64" s="206"/>
      <c r="X64" s="211"/>
      <c r="Y64" s="211"/>
      <c r="Z64" s="211"/>
      <c r="AA64" s="211"/>
      <c r="AB64" s="211"/>
      <c r="AC64" s="211"/>
      <c r="AD64" s="263" t="str">
        <f t="shared" ref="AD64:AD93" si="23">IF(SUM(V64:AC64)=0,"",SUMPRODUCT($V$62:$AC$62,V64:AC64)*$B64*$C64)</f>
        <v/>
      </c>
      <c r="AE64" s="49" t="str">
        <f t="shared" si="14"/>
        <v/>
      </c>
      <c r="AF64" s="47" t="str">
        <f t="shared" si="15"/>
        <v/>
      </c>
      <c r="AG64" s="47" t="str">
        <f t="shared" si="16"/>
        <v/>
      </c>
      <c r="AH64" s="47" t="str">
        <f t="shared" si="17"/>
        <v/>
      </c>
      <c r="AI64" s="47" t="str">
        <f t="shared" si="18"/>
        <v/>
      </c>
      <c r="AJ64" s="47" t="str">
        <f t="shared" si="19"/>
        <v/>
      </c>
      <c r="AK64" s="47" t="str">
        <f t="shared" si="20"/>
        <v/>
      </c>
      <c r="AL64" s="47" t="str">
        <f t="shared" si="21"/>
        <v/>
      </c>
      <c r="AM64" s="222" t="str">
        <f t="shared" si="22"/>
        <v/>
      </c>
      <c r="AN64" s="61" t="str">
        <f t="shared" ref="AN64:AN93" si="24">IFERROR(AM64/$B64,"")</f>
        <v/>
      </c>
    </row>
    <row r="65" spans="1:40" ht="13.5" customHeight="1">
      <c r="A65" s="287" t="str">
        <f>IF(Baseline!A64="","",Baseline!A64)</f>
        <v/>
      </c>
      <c r="B65" s="141" t="str">
        <f>IF(Baseline!B64="","",Baseline!B64)</f>
        <v/>
      </c>
      <c r="C65" s="141" t="str">
        <f>IF(Baseline!C64="","",Baseline!C64)</f>
        <v/>
      </c>
      <c r="D65" s="288" t="str">
        <f>IF(Baseline!D64="","",Baseline!D64)</f>
        <v/>
      </c>
      <c r="E65" s="132" t="str">
        <f t="shared" si="13"/>
        <v/>
      </c>
      <c r="F65" s="133"/>
      <c r="G65" s="100"/>
      <c r="H65" s="100"/>
      <c r="I65" s="100"/>
      <c r="J65" s="100"/>
      <c r="K65" s="475"/>
      <c r="L65" s="475"/>
      <c r="M65" s="475"/>
      <c r="N65" s="475"/>
      <c r="O65" s="489"/>
      <c r="P65" s="477"/>
      <c r="Q65" s="100"/>
      <c r="R65" s="100"/>
      <c r="S65" s="100"/>
      <c r="T65" s="100"/>
      <c r="U65" s="100"/>
      <c r="V65" s="334"/>
      <c r="W65" s="206"/>
      <c r="X65" s="211"/>
      <c r="Y65" s="211"/>
      <c r="Z65" s="211"/>
      <c r="AA65" s="211"/>
      <c r="AB65" s="211"/>
      <c r="AC65" s="211"/>
      <c r="AD65" s="263" t="str">
        <f t="shared" si="23"/>
        <v/>
      </c>
      <c r="AE65" s="49" t="str">
        <f t="shared" si="14"/>
        <v/>
      </c>
      <c r="AF65" s="47" t="str">
        <f t="shared" si="15"/>
        <v/>
      </c>
      <c r="AG65" s="47" t="str">
        <f t="shared" si="16"/>
        <v/>
      </c>
      <c r="AH65" s="47" t="str">
        <f t="shared" si="17"/>
        <v/>
      </c>
      <c r="AI65" s="47" t="str">
        <f t="shared" si="18"/>
        <v/>
      </c>
      <c r="AJ65" s="47" t="str">
        <f t="shared" si="19"/>
        <v/>
      </c>
      <c r="AK65" s="47" t="str">
        <f t="shared" si="20"/>
        <v/>
      </c>
      <c r="AL65" s="47" t="str">
        <f t="shared" si="21"/>
        <v/>
      </c>
      <c r="AM65" s="222" t="str">
        <f t="shared" si="22"/>
        <v/>
      </c>
      <c r="AN65" s="61" t="str">
        <f t="shared" si="24"/>
        <v/>
      </c>
    </row>
    <row r="66" spans="1:40" ht="13.5" customHeight="1">
      <c r="A66" s="287" t="str">
        <f>IF(Baseline!A65="","",Baseline!A65)</f>
        <v/>
      </c>
      <c r="B66" s="141" t="str">
        <f>IF(Baseline!B65="","",Baseline!B65)</f>
        <v/>
      </c>
      <c r="C66" s="141" t="str">
        <f>IF(Baseline!C65="","",Baseline!C65)</f>
        <v/>
      </c>
      <c r="D66" s="288" t="str">
        <f>IF(Baseline!D65="","",Baseline!D65)</f>
        <v/>
      </c>
      <c r="E66" s="132" t="str">
        <f t="shared" si="13"/>
        <v/>
      </c>
      <c r="F66" s="133"/>
      <c r="G66" s="100"/>
      <c r="H66" s="100"/>
      <c r="I66" s="100"/>
      <c r="J66" s="100"/>
      <c r="K66" s="475"/>
      <c r="L66" s="475"/>
      <c r="M66" s="475"/>
      <c r="N66" s="475"/>
      <c r="O66" s="489"/>
      <c r="P66" s="477"/>
      <c r="Q66" s="100"/>
      <c r="R66" s="100"/>
      <c r="S66" s="100"/>
      <c r="T66" s="100"/>
      <c r="U66" s="100"/>
      <c r="V66" s="334"/>
      <c r="W66" s="206"/>
      <c r="X66" s="211"/>
      <c r="Y66" s="211"/>
      <c r="Z66" s="211"/>
      <c r="AA66" s="211"/>
      <c r="AB66" s="211"/>
      <c r="AC66" s="211"/>
      <c r="AD66" s="263" t="str">
        <f t="shared" si="23"/>
        <v/>
      </c>
      <c r="AE66" s="49" t="str">
        <f t="shared" si="14"/>
        <v/>
      </c>
      <c r="AF66" s="47" t="str">
        <f t="shared" si="15"/>
        <v/>
      </c>
      <c r="AG66" s="47" t="str">
        <f t="shared" si="16"/>
        <v/>
      </c>
      <c r="AH66" s="47" t="str">
        <f t="shared" si="17"/>
        <v/>
      </c>
      <c r="AI66" s="47" t="str">
        <f t="shared" si="18"/>
        <v/>
      </c>
      <c r="AJ66" s="47" t="str">
        <f t="shared" si="19"/>
        <v/>
      </c>
      <c r="AK66" s="47" t="str">
        <f t="shared" si="20"/>
        <v/>
      </c>
      <c r="AL66" s="47" t="str">
        <f t="shared" si="21"/>
        <v/>
      </c>
      <c r="AM66" s="222" t="str">
        <f t="shared" si="22"/>
        <v/>
      </c>
      <c r="AN66" s="61" t="str">
        <f t="shared" si="24"/>
        <v/>
      </c>
    </row>
    <row r="67" spans="1:40" ht="13.5" customHeight="1">
      <c r="A67" s="287" t="str">
        <f>IF(Baseline!A66="","",Baseline!A66)</f>
        <v/>
      </c>
      <c r="B67" s="141" t="str">
        <f>IF(Baseline!B66="","",Baseline!B66)</f>
        <v/>
      </c>
      <c r="C67" s="141" t="str">
        <f>IF(Baseline!C66="","",Baseline!C66)</f>
        <v/>
      </c>
      <c r="D67" s="288" t="str">
        <f>IF(Baseline!D66="","",Baseline!D66)</f>
        <v/>
      </c>
      <c r="E67" s="132" t="str">
        <f t="shared" si="13"/>
        <v/>
      </c>
      <c r="F67" s="133"/>
      <c r="G67" s="100"/>
      <c r="H67" s="100"/>
      <c r="I67" s="100"/>
      <c r="J67" s="100"/>
      <c r="K67" s="475"/>
      <c r="L67" s="475"/>
      <c r="M67" s="475"/>
      <c r="N67" s="475"/>
      <c r="O67" s="489"/>
      <c r="P67" s="477"/>
      <c r="Q67" s="100"/>
      <c r="R67" s="100"/>
      <c r="S67" s="100"/>
      <c r="T67" s="100"/>
      <c r="U67" s="100"/>
      <c r="V67" s="334"/>
      <c r="W67" s="206"/>
      <c r="X67" s="211"/>
      <c r="Y67" s="211"/>
      <c r="Z67" s="211"/>
      <c r="AA67" s="211"/>
      <c r="AB67" s="211"/>
      <c r="AC67" s="211"/>
      <c r="AD67" s="263" t="str">
        <f t="shared" si="23"/>
        <v/>
      </c>
      <c r="AE67" s="49" t="str">
        <f t="shared" si="14"/>
        <v/>
      </c>
      <c r="AF67" s="47" t="str">
        <f t="shared" si="15"/>
        <v/>
      </c>
      <c r="AG67" s="47" t="str">
        <f t="shared" si="16"/>
        <v/>
      </c>
      <c r="AH67" s="47" t="str">
        <f t="shared" si="17"/>
        <v/>
      </c>
      <c r="AI67" s="47" t="str">
        <f t="shared" si="18"/>
        <v/>
      </c>
      <c r="AJ67" s="47" t="str">
        <f t="shared" si="19"/>
        <v/>
      </c>
      <c r="AK67" s="47" t="str">
        <f t="shared" si="20"/>
        <v/>
      </c>
      <c r="AL67" s="47" t="str">
        <f t="shared" si="21"/>
        <v/>
      </c>
      <c r="AM67" s="222" t="str">
        <f t="shared" si="22"/>
        <v/>
      </c>
      <c r="AN67" s="61" t="str">
        <f t="shared" si="24"/>
        <v/>
      </c>
    </row>
    <row r="68" spans="1:40" ht="13.5" customHeight="1">
      <c r="A68" s="287" t="str">
        <f>IF(Baseline!A67="","",Baseline!A67)</f>
        <v/>
      </c>
      <c r="B68" s="141" t="str">
        <f>IF(Baseline!B67="","",Baseline!B67)</f>
        <v/>
      </c>
      <c r="C68" s="141" t="str">
        <f>IF(Baseline!C67="","",Baseline!C67)</f>
        <v/>
      </c>
      <c r="D68" s="288" t="str">
        <f>IF(Baseline!D67="","",Baseline!D67)</f>
        <v/>
      </c>
      <c r="E68" s="132" t="str">
        <f t="shared" si="13"/>
        <v/>
      </c>
      <c r="F68" s="133"/>
      <c r="G68" s="100"/>
      <c r="H68" s="100"/>
      <c r="I68" s="100"/>
      <c r="J68" s="100"/>
      <c r="K68" s="475"/>
      <c r="L68" s="475"/>
      <c r="M68" s="475"/>
      <c r="N68" s="475"/>
      <c r="O68" s="489"/>
      <c r="P68" s="477"/>
      <c r="Q68" s="100"/>
      <c r="R68" s="100"/>
      <c r="S68" s="100"/>
      <c r="T68" s="100"/>
      <c r="U68" s="100"/>
      <c r="V68" s="334"/>
      <c r="W68" s="206"/>
      <c r="X68" s="211"/>
      <c r="Y68" s="211"/>
      <c r="Z68" s="211"/>
      <c r="AA68" s="211"/>
      <c r="AB68" s="211"/>
      <c r="AC68" s="211"/>
      <c r="AD68" s="263" t="str">
        <f t="shared" si="23"/>
        <v/>
      </c>
      <c r="AE68" s="49" t="str">
        <f t="shared" si="14"/>
        <v/>
      </c>
      <c r="AF68" s="47" t="str">
        <f t="shared" si="15"/>
        <v/>
      </c>
      <c r="AG68" s="47" t="str">
        <f t="shared" si="16"/>
        <v/>
      </c>
      <c r="AH68" s="47" t="str">
        <f t="shared" si="17"/>
        <v/>
      </c>
      <c r="AI68" s="47" t="str">
        <f t="shared" si="18"/>
        <v/>
      </c>
      <c r="AJ68" s="47" t="str">
        <f t="shared" si="19"/>
        <v/>
      </c>
      <c r="AK68" s="47" t="str">
        <f t="shared" si="20"/>
        <v/>
      </c>
      <c r="AL68" s="47" t="str">
        <f t="shared" si="21"/>
        <v/>
      </c>
      <c r="AM68" s="222" t="str">
        <f t="shared" si="22"/>
        <v/>
      </c>
      <c r="AN68" s="61" t="str">
        <f t="shared" si="24"/>
        <v/>
      </c>
    </row>
    <row r="69" spans="1:40" ht="13.5" customHeight="1">
      <c r="A69" s="287" t="str">
        <f>IF(Baseline!A68="","",Baseline!A68)</f>
        <v/>
      </c>
      <c r="B69" s="141" t="str">
        <f>IF(Baseline!B68="","",Baseline!B68)</f>
        <v/>
      </c>
      <c r="C69" s="141" t="str">
        <f>IF(Baseline!C68="","",Baseline!C68)</f>
        <v/>
      </c>
      <c r="D69" s="288" t="str">
        <f>IF(Baseline!D68="","",Baseline!D68)</f>
        <v/>
      </c>
      <c r="E69" s="132" t="str">
        <f t="shared" si="13"/>
        <v/>
      </c>
      <c r="F69" s="133"/>
      <c r="G69" s="100"/>
      <c r="H69" s="100"/>
      <c r="I69" s="100"/>
      <c r="J69" s="100"/>
      <c r="K69" s="475"/>
      <c r="L69" s="475"/>
      <c r="M69" s="475"/>
      <c r="N69" s="475"/>
      <c r="O69" s="489"/>
      <c r="P69" s="477"/>
      <c r="Q69" s="100"/>
      <c r="R69" s="100"/>
      <c r="S69" s="100"/>
      <c r="T69" s="100"/>
      <c r="U69" s="100"/>
      <c r="V69" s="334"/>
      <c r="W69" s="206"/>
      <c r="X69" s="211"/>
      <c r="Y69" s="211"/>
      <c r="Z69" s="211"/>
      <c r="AA69" s="211"/>
      <c r="AB69" s="211"/>
      <c r="AC69" s="211"/>
      <c r="AD69" s="263" t="str">
        <f t="shared" si="23"/>
        <v/>
      </c>
      <c r="AE69" s="49" t="str">
        <f t="shared" si="14"/>
        <v/>
      </c>
      <c r="AF69" s="47" t="str">
        <f t="shared" si="15"/>
        <v/>
      </c>
      <c r="AG69" s="47" t="str">
        <f t="shared" si="16"/>
        <v/>
      </c>
      <c r="AH69" s="47" t="str">
        <f t="shared" si="17"/>
        <v/>
      </c>
      <c r="AI69" s="47" t="str">
        <f t="shared" si="18"/>
        <v/>
      </c>
      <c r="AJ69" s="47" t="str">
        <f t="shared" si="19"/>
        <v/>
      </c>
      <c r="AK69" s="47" t="str">
        <f t="shared" si="20"/>
        <v/>
      </c>
      <c r="AL69" s="47" t="str">
        <f t="shared" si="21"/>
        <v/>
      </c>
      <c r="AM69" s="222" t="str">
        <f t="shared" si="22"/>
        <v/>
      </c>
      <c r="AN69" s="61" t="str">
        <f t="shared" si="24"/>
        <v/>
      </c>
    </row>
    <row r="70" spans="1:40" ht="13.5" customHeight="1">
      <c r="A70" s="287" t="str">
        <f>IF(Baseline!A69="","",Baseline!A69)</f>
        <v/>
      </c>
      <c r="B70" s="141" t="str">
        <f>IF(Baseline!B69="","",Baseline!B69)</f>
        <v/>
      </c>
      <c r="C70" s="141" t="str">
        <f>IF(Baseline!C69="","",Baseline!C69)</f>
        <v/>
      </c>
      <c r="D70" s="288" t="str">
        <f>IF(Baseline!D69="","",Baseline!D69)</f>
        <v/>
      </c>
      <c r="E70" s="132" t="str">
        <f t="shared" si="13"/>
        <v/>
      </c>
      <c r="F70" s="133"/>
      <c r="G70" s="100"/>
      <c r="H70" s="100"/>
      <c r="I70" s="100"/>
      <c r="J70" s="100"/>
      <c r="K70" s="475"/>
      <c r="L70" s="475"/>
      <c r="M70" s="475"/>
      <c r="N70" s="475"/>
      <c r="O70" s="489"/>
      <c r="P70" s="477"/>
      <c r="Q70" s="100"/>
      <c r="R70" s="100"/>
      <c r="S70" s="100"/>
      <c r="T70" s="100"/>
      <c r="U70" s="100"/>
      <c r="V70" s="334"/>
      <c r="W70" s="206"/>
      <c r="X70" s="211"/>
      <c r="Y70" s="211"/>
      <c r="Z70" s="211"/>
      <c r="AA70" s="211"/>
      <c r="AB70" s="211"/>
      <c r="AC70" s="211"/>
      <c r="AD70" s="263" t="str">
        <f t="shared" si="23"/>
        <v/>
      </c>
      <c r="AE70" s="49" t="str">
        <f t="shared" si="14"/>
        <v/>
      </c>
      <c r="AF70" s="47" t="str">
        <f t="shared" si="15"/>
        <v/>
      </c>
      <c r="AG70" s="47" t="str">
        <f t="shared" si="16"/>
        <v/>
      </c>
      <c r="AH70" s="47" t="str">
        <f t="shared" si="17"/>
        <v/>
      </c>
      <c r="AI70" s="47" t="str">
        <f t="shared" si="18"/>
        <v/>
      </c>
      <c r="AJ70" s="47" t="str">
        <f t="shared" si="19"/>
        <v/>
      </c>
      <c r="AK70" s="47" t="str">
        <f t="shared" si="20"/>
        <v/>
      </c>
      <c r="AL70" s="47" t="str">
        <f t="shared" si="21"/>
        <v/>
      </c>
      <c r="AM70" s="222" t="str">
        <f t="shared" si="22"/>
        <v/>
      </c>
      <c r="AN70" s="61" t="str">
        <f t="shared" si="24"/>
        <v/>
      </c>
    </row>
    <row r="71" spans="1:40" ht="13.5" customHeight="1">
      <c r="A71" s="287" t="str">
        <f>IF(Baseline!A70="","",Baseline!A70)</f>
        <v/>
      </c>
      <c r="B71" s="141" t="str">
        <f>IF(Baseline!B70="","",Baseline!B70)</f>
        <v/>
      </c>
      <c r="C71" s="141" t="str">
        <f>IF(Baseline!C70="","",Baseline!C70)</f>
        <v/>
      </c>
      <c r="D71" s="288" t="str">
        <f>IF(Baseline!D70="","",Baseline!D70)</f>
        <v/>
      </c>
      <c r="E71" s="132" t="str">
        <f t="shared" si="13"/>
        <v/>
      </c>
      <c r="F71" s="133"/>
      <c r="G71" s="100"/>
      <c r="H71" s="100"/>
      <c r="I71" s="100"/>
      <c r="J71" s="100"/>
      <c r="K71" s="475"/>
      <c r="L71" s="475"/>
      <c r="M71" s="475"/>
      <c r="N71" s="475"/>
      <c r="O71" s="489"/>
      <c r="P71" s="477"/>
      <c r="Q71" s="100"/>
      <c r="R71" s="100"/>
      <c r="S71" s="100"/>
      <c r="T71" s="100"/>
      <c r="U71" s="100"/>
      <c r="V71" s="334"/>
      <c r="W71" s="206"/>
      <c r="X71" s="211"/>
      <c r="Y71" s="211"/>
      <c r="Z71" s="211"/>
      <c r="AA71" s="211"/>
      <c r="AB71" s="211"/>
      <c r="AC71" s="211"/>
      <c r="AD71" s="263" t="str">
        <f t="shared" si="23"/>
        <v/>
      </c>
      <c r="AE71" s="49" t="str">
        <f t="shared" si="14"/>
        <v/>
      </c>
      <c r="AF71" s="47" t="str">
        <f t="shared" si="15"/>
        <v/>
      </c>
      <c r="AG71" s="47" t="str">
        <f t="shared" si="16"/>
        <v/>
      </c>
      <c r="AH71" s="47" t="str">
        <f t="shared" si="17"/>
        <v/>
      </c>
      <c r="AI71" s="47" t="str">
        <f t="shared" si="18"/>
        <v/>
      </c>
      <c r="AJ71" s="47" t="str">
        <f t="shared" si="19"/>
        <v/>
      </c>
      <c r="AK71" s="47" t="str">
        <f t="shared" si="20"/>
        <v/>
      </c>
      <c r="AL71" s="47" t="str">
        <f t="shared" si="21"/>
        <v/>
      </c>
      <c r="AM71" s="222" t="str">
        <f t="shared" si="22"/>
        <v/>
      </c>
      <c r="AN71" s="61" t="str">
        <f t="shared" si="24"/>
        <v/>
      </c>
    </row>
    <row r="72" spans="1:40" ht="13.5" customHeight="1">
      <c r="A72" s="287" t="str">
        <f>IF(Baseline!A71="","",Baseline!A71)</f>
        <v/>
      </c>
      <c r="B72" s="141" t="str">
        <f>IF(Baseline!B71="","",Baseline!B71)</f>
        <v/>
      </c>
      <c r="C72" s="141" t="str">
        <f>IF(Baseline!C71="","",Baseline!C71)</f>
        <v/>
      </c>
      <c r="D72" s="288" t="str">
        <f>IF(Baseline!D71="","",Baseline!D71)</f>
        <v/>
      </c>
      <c r="E72" s="132" t="str">
        <f t="shared" si="13"/>
        <v/>
      </c>
      <c r="F72" s="133"/>
      <c r="G72" s="100"/>
      <c r="H72" s="100"/>
      <c r="I72" s="100"/>
      <c r="J72" s="100"/>
      <c r="K72" s="475"/>
      <c r="L72" s="475"/>
      <c r="M72" s="475"/>
      <c r="N72" s="475"/>
      <c r="O72" s="489"/>
      <c r="P72" s="477"/>
      <c r="Q72" s="100"/>
      <c r="R72" s="100"/>
      <c r="S72" s="100"/>
      <c r="T72" s="100"/>
      <c r="U72" s="100"/>
      <c r="V72" s="334"/>
      <c r="W72" s="206"/>
      <c r="X72" s="211"/>
      <c r="Y72" s="211"/>
      <c r="Z72" s="211"/>
      <c r="AA72" s="211"/>
      <c r="AB72" s="211"/>
      <c r="AC72" s="211"/>
      <c r="AD72" s="263" t="str">
        <f t="shared" si="23"/>
        <v/>
      </c>
      <c r="AE72" s="49" t="str">
        <f t="shared" si="14"/>
        <v/>
      </c>
      <c r="AF72" s="47" t="str">
        <f t="shared" si="15"/>
        <v/>
      </c>
      <c r="AG72" s="47" t="str">
        <f t="shared" si="16"/>
        <v/>
      </c>
      <c r="AH72" s="47" t="str">
        <f t="shared" si="17"/>
        <v/>
      </c>
      <c r="AI72" s="47" t="str">
        <f t="shared" si="18"/>
        <v/>
      </c>
      <c r="AJ72" s="47" t="str">
        <f t="shared" si="19"/>
        <v/>
      </c>
      <c r="AK72" s="47" t="str">
        <f t="shared" si="20"/>
        <v/>
      </c>
      <c r="AL72" s="47" t="str">
        <f t="shared" si="21"/>
        <v/>
      </c>
      <c r="AM72" s="222" t="str">
        <f t="shared" si="22"/>
        <v/>
      </c>
      <c r="AN72" s="61" t="str">
        <f t="shared" si="24"/>
        <v/>
      </c>
    </row>
    <row r="73" spans="1:40" ht="13.5" customHeight="1">
      <c r="A73" s="287" t="str">
        <f>IF(Baseline!A72="","",Baseline!A72)</f>
        <v/>
      </c>
      <c r="B73" s="141" t="str">
        <f>IF(Baseline!B72="","",Baseline!B72)</f>
        <v/>
      </c>
      <c r="C73" s="141" t="str">
        <f>IF(Baseline!C72="","",Baseline!C72)</f>
        <v/>
      </c>
      <c r="D73" s="288" t="str">
        <f>IF(Baseline!D72="","",Baseline!D72)</f>
        <v/>
      </c>
      <c r="E73" s="132" t="str">
        <f t="shared" si="13"/>
        <v/>
      </c>
      <c r="F73" s="133"/>
      <c r="G73" s="100"/>
      <c r="H73" s="100"/>
      <c r="I73" s="100"/>
      <c r="J73" s="100"/>
      <c r="K73" s="475"/>
      <c r="L73" s="475"/>
      <c r="M73" s="475"/>
      <c r="N73" s="475"/>
      <c r="O73" s="489"/>
      <c r="P73" s="477"/>
      <c r="Q73" s="100"/>
      <c r="R73" s="100"/>
      <c r="S73" s="100"/>
      <c r="T73" s="100"/>
      <c r="U73" s="100"/>
      <c r="V73" s="334"/>
      <c r="W73" s="206"/>
      <c r="X73" s="211"/>
      <c r="Y73" s="211"/>
      <c r="Z73" s="211"/>
      <c r="AA73" s="211"/>
      <c r="AB73" s="211"/>
      <c r="AC73" s="211"/>
      <c r="AD73" s="263" t="str">
        <f t="shared" si="23"/>
        <v/>
      </c>
      <c r="AE73" s="49" t="str">
        <f t="shared" si="14"/>
        <v/>
      </c>
      <c r="AF73" s="47" t="str">
        <f t="shared" si="15"/>
        <v/>
      </c>
      <c r="AG73" s="47" t="str">
        <f t="shared" si="16"/>
        <v/>
      </c>
      <c r="AH73" s="47" t="str">
        <f t="shared" si="17"/>
        <v/>
      </c>
      <c r="AI73" s="47" t="str">
        <f t="shared" si="18"/>
        <v/>
      </c>
      <c r="AJ73" s="47" t="str">
        <f t="shared" si="19"/>
        <v/>
      </c>
      <c r="AK73" s="47" t="str">
        <f t="shared" si="20"/>
        <v/>
      </c>
      <c r="AL73" s="47" t="str">
        <f t="shared" si="21"/>
        <v/>
      </c>
      <c r="AM73" s="222" t="str">
        <f t="shared" si="22"/>
        <v/>
      </c>
      <c r="AN73" s="61" t="str">
        <f t="shared" si="24"/>
        <v/>
      </c>
    </row>
    <row r="74" spans="1:40" ht="13.5" customHeight="1">
      <c r="A74" s="287" t="str">
        <f>IF(Baseline!A73="","",Baseline!A73)</f>
        <v/>
      </c>
      <c r="B74" s="141" t="str">
        <f>IF(Baseline!B73="","",Baseline!B73)</f>
        <v/>
      </c>
      <c r="C74" s="141" t="str">
        <f>IF(Baseline!C73="","",Baseline!C73)</f>
        <v/>
      </c>
      <c r="D74" s="288" t="str">
        <f>IF(Baseline!D73="","",Baseline!D73)</f>
        <v/>
      </c>
      <c r="E74" s="132" t="str">
        <f t="shared" si="13"/>
        <v/>
      </c>
      <c r="F74" s="133"/>
      <c r="G74" s="100"/>
      <c r="H74" s="100"/>
      <c r="I74" s="100"/>
      <c r="J74" s="100"/>
      <c r="K74" s="475"/>
      <c r="L74" s="475"/>
      <c r="M74" s="475"/>
      <c r="N74" s="475"/>
      <c r="O74" s="489"/>
      <c r="P74" s="477"/>
      <c r="Q74" s="100"/>
      <c r="R74" s="100"/>
      <c r="S74" s="100"/>
      <c r="T74" s="100"/>
      <c r="U74" s="100"/>
      <c r="V74" s="334"/>
      <c r="W74" s="206"/>
      <c r="X74" s="211"/>
      <c r="Y74" s="211"/>
      <c r="Z74" s="211"/>
      <c r="AA74" s="211"/>
      <c r="AB74" s="211"/>
      <c r="AC74" s="211"/>
      <c r="AD74" s="263" t="str">
        <f t="shared" si="23"/>
        <v/>
      </c>
      <c r="AE74" s="49" t="str">
        <f t="shared" si="14"/>
        <v/>
      </c>
      <c r="AF74" s="47" t="str">
        <f t="shared" si="15"/>
        <v/>
      </c>
      <c r="AG74" s="47" t="str">
        <f t="shared" si="16"/>
        <v/>
      </c>
      <c r="AH74" s="47" t="str">
        <f t="shared" si="17"/>
        <v/>
      </c>
      <c r="AI74" s="47" t="str">
        <f t="shared" si="18"/>
        <v/>
      </c>
      <c r="AJ74" s="47" t="str">
        <f t="shared" si="19"/>
        <v/>
      </c>
      <c r="AK74" s="47" t="str">
        <f t="shared" si="20"/>
        <v/>
      </c>
      <c r="AL74" s="47" t="str">
        <f t="shared" si="21"/>
        <v/>
      </c>
      <c r="AM74" s="222" t="str">
        <f t="shared" si="22"/>
        <v/>
      </c>
      <c r="AN74" s="61" t="str">
        <f t="shared" si="24"/>
        <v/>
      </c>
    </row>
    <row r="75" spans="1:40" ht="13.5" customHeight="1">
      <c r="A75" s="287" t="str">
        <f>IF(Baseline!A74="","",Baseline!A74)</f>
        <v/>
      </c>
      <c r="B75" s="141" t="str">
        <f>IF(Baseline!B74="","",Baseline!B74)</f>
        <v/>
      </c>
      <c r="C75" s="141" t="str">
        <f>IF(Baseline!C74="","",Baseline!C74)</f>
        <v/>
      </c>
      <c r="D75" s="288" t="str">
        <f>IF(Baseline!D74="","",Baseline!D74)</f>
        <v/>
      </c>
      <c r="E75" s="132" t="str">
        <f t="shared" si="13"/>
        <v/>
      </c>
      <c r="F75" s="133"/>
      <c r="G75" s="100"/>
      <c r="H75" s="100"/>
      <c r="I75" s="100"/>
      <c r="J75" s="100"/>
      <c r="K75" s="475"/>
      <c r="L75" s="475"/>
      <c r="M75" s="475"/>
      <c r="N75" s="475"/>
      <c r="O75" s="489"/>
      <c r="P75" s="477"/>
      <c r="Q75" s="100"/>
      <c r="R75" s="100"/>
      <c r="S75" s="100"/>
      <c r="T75" s="100"/>
      <c r="U75" s="100"/>
      <c r="V75" s="334"/>
      <c r="W75" s="206"/>
      <c r="X75" s="211"/>
      <c r="Y75" s="211"/>
      <c r="Z75" s="211"/>
      <c r="AA75" s="211"/>
      <c r="AB75" s="211"/>
      <c r="AC75" s="211"/>
      <c r="AD75" s="263" t="str">
        <f t="shared" si="23"/>
        <v/>
      </c>
      <c r="AE75" s="49" t="str">
        <f t="shared" si="14"/>
        <v/>
      </c>
      <c r="AF75" s="47" t="str">
        <f t="shared" si="15"/>
        <v/>
      </c>
      <c r="AG75" s="47" t="str">
        <f t="shared" si="16"/>
        <v/>
      </c>
      <c r="AH75" s="47" t="str">
        <f t="shared" si="17"/>
        <v/>
      </c>
      <c r="AI75" s="47" t="str">
        <f t="shared" si="18"/>
        <v/>
      </c>
      <c r="AJ75" s="47" t="str">
        <f t="shared" si="19"/>
        <v/>
      </c>
      <c r="AK75" s="47" t="str">
        <f t="shared" si="20"/>
        <v/>
      </c>
      <c r="AL75" s="47" t="str">
        <f t="shared" si="21"/>
        <v/>
      </c>
      <c r="AM75" s="222" t="str">
        <f t="shared" si="22"/>
        <v/>
      </c>
      <c r="AN75" s="61" t="str">
        <f t="shared" si="24"/>
        <v/>
      </c>
    </row>
    <row r="76" spans="1:40" ht="13.5" customHeight="1">
      <c r="A76" s="287" t="str">
        <f>IF(Baseline!A75="","",Baseline!A75)</f>
        <v/>
      </c>
      <c r="B76" s="141" t="str">
        <f>IF(Baseline!B75="","",Baseline!B75)</f>
        <v/>
      </c>
      <c r="C76" s="141" t="str">
        <f>IF(Baseline!C75="","",Baseline!C75)</f>
        <v/>
      </c>
      <c r="D76" s="288" t="str">
        <f>IF(Baseline!D75="","",Baseline!D75)</f>
        <v/>
      </c>
      <c r="E76" s="132" t="str">
        <f t="shared" si="13"/>
        <v/>
      </c>
      <c r="F76" s="133"/>
      <c r="G76" s="100"/>
      <c r="H76" s="100"/>
      <c r="I76" s="100"/>
      <c r="J76" s="100"/>
      <c r="K76" s="475"/>
      <c r="L76" s="475"/>
      <c r="M76" s="475"/>
      <c r="N76" s="475"/>
      <c r="O76" s="489"/>
      <c r="P76" s="477"/>
      <c r="Q76" s="100"/>
      <c r="R76" s="100"/>
      <c r="S76" s="100"/>
      <c r="T76" s="100"/>
      <c r="U76" s="100"/>
      <c r="V76" s="334"/>
      <c r="W76" s="206"/>
      <c r="X76" s="211"/>
      <c r="Y76" s="211"/>
      <c r="Z76" s="211"/>
      <c r="AA76" s="211"/>
      <c r="AB76" s="211"/>
      <c r="AC76" s="211"/>
      <c r="AD76" s="263" t="str">
        <f t="shared" si="23"/>
        <v/>
      </c>
      <c r="AE76" s="49" t="str">
        <f t="shared" si="14"/>
        <v/>
      </c>
      <c r="AF76" s="47" t="str">
        <f t="shared" si="15"/>
        <v/>
      </c>
      <c r="AG76" s="47" t="str">
        <f t="shared" si="16"/>
        <v/>
      </c>
      <c r="AH76" s="47" t="str">
        <f t="shared" si="17"/>
        <v/>
      </c>
      <c r="AI76" s="47" t="str">
        <f t="shared" si="18"/>
        <v/>
      </c>
      <c r="AJ76" s="47" t="str">
        <f t="shared" si="19"/>
        <v/>
      </c>
      <c r="AK76" s="47" t="str">
        <f t="shared" si="20"/>
        <v/>
      </c>
      <c r="AL76" s="47" t="str">
        <f t="shared" si="21"/>
        <v/>
      </c>
      <c r="AM76" s="222" t="str">
        <f t="shared" si="22"/>
        <v/>
      </c>
      <c r="AN76" s="61" t="str">
        <f t="shared" si="24"/>
        <v/>
      </c>
    </row>
    <row r="77" spans="1:40" ht="13.5" customHeight="1">
      <c r="A77" s="287" t="str">
        <f>IF(Baseline!A76="","",Baseline!A76)</f>
        <v/>
      </c>
      <c r="B77" s="141" t="str">
        <f>IF(Baseline!B76="","",Baseline!B76)</f>
        <v/>
      </c>
      <c r="C77" s="141" t="str">
        <f>IF(Baseline!C76="","",Baseline!C76)</f>
        <v/>
      </c>
      <c r="D77" s="288" t="str">
        <f>IF(Baseline!D76="","",Baseline!D76)</f>
        <v/>
      </c>
      <c r="E77" s="132" t="str">
        <f t="shared" si="13"/>
        <v/>
      </c>
      <c r="F77" s="133"/>
      <c r="G77" s="100"/>
      <c r="H77" s="100"/>
      <c r="I77" s="100"/>
      <c r="J77" s="100"/>
      <c r="K77" s="475"/>
      <c r="L77" s="475"/>
      <c r="M77" s="475"/>
      <c r="N77" s="475"/>
      <c r="O77" s="489"/>
      <c r="P77" s="477"/>
      <c r="Q77" s="100"/>
      <c r="R77" s="100"/>
      <c r="S77" s="100"/>
      <c r="T77" s="100"/>
      <c r="U77" s="100"/>
      <c r="V77" s="334"/>
      <c r="W77" s="206"/>
      <c r="X77" s="211"/>
      <c r="Y77" s="211"/>
      <c r="Z77" s="211"/>
      <c r="AA77" s="211"/>
      <c r="AB77" s="211"/>
      <c r="AC77" s="211"/>
      <c r="AD77" s="263" t="str">
        <f t="shared" si="23"/>
        <v/>
      </c>
      <c r="AE77" s="49" t="str">
        <f t="shared" si="14"/>
        <v/>
      </c>
      <c r="AF77" s="47" t="str">
        <f t="shared" si="15"/>
        <v/>
      </c>
      <c r="AG77" s="47" t="str">
        <f t="shared" si="16"/>
        <v/>
      </c>
      <c r="AH77" s="47" t="str">
        <f t="shared" si="17"/>
        <v/>
      </c>
      <c r="AI77" s="47" t="str">
        <f t="shared" si="18"/>
        <v/>
      </c>
      <c r="AJ77" s="47" t="str">
        <f t="shared" si="19"/>
        <v/>
      </c>
      <c r="AK77" s="47" t="str">
        <f t="shared" si="20"/>
        <v/>
      </c>
      <c r="AL77" s="47" t="str">
        <f t="shared" si="21"/>
        <v/>
      </c>
      <c r="AM77" s="222" t="str">
        <f t="shared" si="22"/>
        <v/>
      </c>
      <c r="AN77" s="61" t="str">
        <f t="shared" si="24"/>
        <v/>
      </c>
    </row>
    <row r="78" spans="1:40" ht="13.5" customHeight="1">
      <c r="A78" s="287" t="str">
        <f>IF(Baseline!A77="","",Baseline!A77)</f>
        <v/>
      </c>
      <c r="B78" s="141" t="str">
        <f>IF(Baseline!B77="","",Baseline!B77)</f>
        <v/>
      </c>
      <c r="C78" s="141" t="str">
        <f>IF(Baseline!C77="","",Baseline!C77)</f>
        <v/>
      </c>
      <c r="D78" s="288" t="str">
        <f>IF(Baseline!D77="","",Baseline!D77)</f>
        <v/>
      </c>
      <c r="E78" s="132" t="str">
        <f t="shared" si="13"/>
        <v/>
      </c>
      <c r="F78" s="133"/>
      <c r="G78" s="100"/>
      <c r="H78" s="100"/>
      <c r="I78" s="100"/>
      <c r="J78" s="100"/>
      <c r="K78" s="475"/>
      <c r="L78" s="475"/>
      <c r="M78" s="475"/>
      <c r="N78" s="475"/>
      <c r="O78" s="489"/>
      <c r="P78" s="477"/>
      <c r="Q78" s="100"/>
      <c r="R78" s="100"/>
      <c r="S78" s="100"/>
      <c r="T78" s="100"/>
      <c r="U78" s="100"/>
      <c r="V78" s="334"/>
      <c r="W78" s="206"/>
      <c r="X78" s="211"/>
      <c r="Y78" s="211"/>
      <c r="Z78" s="211"/>
      <c r="AA78" s="211"/>
      <c r="AB78" s="211"/>
      <c r="AC78" s="211"/>
      <c r="AD78" s="263" t="str">
        <f t="shared" si="23"/>
        <v/>
      </c>
      <c r="AE78" s="49" t="str">
        <f t="shared" si="14"/>
        <v/>
      </c>
      <c r="AF78" s="47" t="str">
        <f t="shared" si="15"/>
        <v/>
      </c>
      <c r="AG78" s="47" t="str">
        <f t="shared" si="16"/>
        <v/>
      </c>
      <c r="AH78" s="47" t="str">
        <f t="shared" si="17"/>
        <v/>
      </c>
      <c r="AI78" s="47" t="str">
        <f t="shared" si="18"/>
        <v/>
      </c>
      <c r="AJ78" s="47" t="str">
        <f t="shared" si="19"/>
        <v/>
      </c>
      <c r="AK78" s="47" t="str">
        <f t="shared" si="20"/>
        <v/>
      </c>
      <c r="AL78" s="47" t="str">
        <f t="shared" si="21"/>
        <v/>
      </c>
      <c r="AM78" s="222" t="str">
        <f t="shared" si="22"/>
        <v/>
      </c>
      <c r="AN78" s="61" t="str">
        <f t="shared" si="24"/>
        <v/>
      </c>
    </row>
    <row r="79" spans="1:40" ht="13.5" customHeight="1">
      <c r="A79" s="287" t="str">
        <f>IF(Baseline!A78="","",Baseline!A78)</f>
        <v/>
      </c>
      <c r="B79" s="141" t="str">
        <f>IF(Baseline!B78="","",Baseline!B78)</f>
        <v/>
      </c>
      <c r="C79" s="141" t="str">
        <f>IF(Baseline!C78="","",Baseline!C78)</f>
        <v/>
      </c>
      <c r="D79" s="288" t="str">
        <f>IF(Baseline!D78="","",Baseline!D78)</f>
        <v/>
      </c>
      <c r="E79" s="132" t="str">
        <f t="shared" si="13"/>
        <v/>
      </c>
      <c r="F79" s="133"/>
      <c r="G79" s="100"/>
      <c r="H79" s="100"/>
      <c r="I79" s="100"/>
      <c r="J79" s="100"/>
      <c r="K79" s="475"/>
      <c r="L79" s="475"/>
      <c r="M79" s="475"/>
      <c r="N79" s="475"/>
      <c r="O79" s="489"/>
      <c r="P79" s="477"/>
      <c r="Q79" s="100"/>
      <c r="R79" s="100"/>
      <c r="S79" s="100"/>
      <c r="T79" s="100"/>
      <c r="U79" s="100"/>
      <c r="V79" s="334"/>
      <c r="W79" s="206"/>
      <c r="X79" s="211"/>
      <c r="Y79" s="211"/>
      <c r="Z79" s="211"/>
      <c r="AA79" s="211"/>
      <c r="AB79" s="211"/>
      <c r="AC79" s="211"/>
      <c r="AD79" s="263" t="str">
        <f t="shared" si="23"/>
        <v/>
      </c>
      <c r="AE79" s="49" t="str">
        <f t="shared" si="14"/>
        <v/>
      </c>
      <c r="AF79" s="47" t="str">
        <f t="shared" si="15"/>
        <v/>
      </c>
      <c r="AG79" s="47" t="str">
        <f t="shared" si="16"/>
        <v/>
      </c>
      <c r="AH79" s="47" t="str">
        <f t="shared" si="17"/>
        <v/>
      </c>
      <c r="AI79" s="47" t="str">
        <f t="shared" si="18"/>
        <v/>
      </c>
      <c r="AJ79" s="47" t="str">
        <f t="shared" si="19"/>
        <v/>
      </c>
      <c r="AK79" s="47" t="str">
        <f t="shared" si="20"/>
        <v/>
      </c>
      <c r="AL79" s="47" t="str">
        <f t="shared" si="21"/>
        <v/>
      </c>
      <c r="AM79" s="222" t="str">
        <f t="shared" si="22"/>
        <v/>
      </c>
      <c r="AN79" s="61" t="str">
        <f t="shared" si="24"/>
        <v/>
      </c>
    </row>
    <row r="80" spans="1:40" ht="13.5" customHeight="1">
      <c r="A80" s="287" t="str">
        <f>IF(Baseline!A79="","",Baseline!A79)</f>
        <v/>
      </c>
      <c r="B80" s="141" t="str">
        <f>IF(Baseline!B79="","",Baseline!B79)</f>
        <v/>
      </c>
      <c r="C80" s="141" t="str">
        <f>IF(Baseline!C79="","",Baseline!C79)</f>
        <v/>
      </c>
      <c r="D80" s="288" t="str">
        <f>IF(Baseline!D79="","",Baseline!D79)</f>
        <v/>
      </c>
      <c r="E80" s="132" t="str">
        <f t="shared" si="13"/>
        <v/>
      </c>
      <c r="F80" s="133"/>
      <c r="G80" s="100"/>
      <c r="H80" s="100"/>
      <c r="I80" s="100"/>
      <c r="J80" s="100"/>
      <c r="K80" s="475"/>
      <c r="L80" s="475"/>
      <c r="M80" s="475"/>
      <c r="N80" s="475"/>
      <c r="O80" s="489"/>
      <c r="P80" s="477"/>
      <c r="Q80" s="100"/>
      <c r="R80" s="100"/>
      <c r="S80" s="100"/>
      <c r="T80" s="100"/>
      <c r="U80" s="100"/>
      <c r="V80" s="334"/>
      <c r="W80" s="206"/>
      <c r="X80" s="211"/>
      <c r="Y80" s="211"/>
      <c r="Z80" s="211"/>
      <c r="AA80" s="211"/>
      <c r="AB80" s="211"/>
      <c r="AC80" s="211"/>
      <c r="AD80" s="263" t="str">
        <f t="shared" si="23"/>
        <v/>
      </c>
      <c r="AE80" s="49" t="str">
        <f t="shared" si="14"/>
        <v/>
      </c>
      <c r="AF80" s="47" t="str">
        <f t="shared" si="15"/>
        <v/>
      </c>
      <c r="AG80" s="47" t="str">
        <f t="shared" si="16"/>
        <v/>
      </c>
      <c r="AH80" s="47" t="str">
        <f t="shared" si="17"/>
        <v/>
      </c>
      <c r="AI80" s="47" t="str">
        <f t="shared" si="18"/>
        <v/>
      </c>
      <c r="AJ80" s="47" t="str">
        <f t="shared" si="19"/>
        <v/>
      </c>
      <c r="AK80" s="47" t="str">
        <f t="shared" si="20"/>
        <v/>
      </c>
      <c r="AL80" s="47" t="str">
        <f t="shared" si="21"/>
        <v/>
      </c>
      <c r="AM80" s="222" t="str">
        <f t="shared" si="22"/>
        <v/>
      </c>
      <c r="AN80" s="61" t="str">
        <f t="shared" si="24"/>
        <v/>
      </c>
    </row>
    <row r="81" spans="1:40" ht="13.5" customHeight="1">
      <c r="A81" s="287" t="str">
        <f>IF(Baseline!A80="","",Baseline!A80)</f>
        <v/>
      </c>
      <c r="B81" s="141" t="str">
        <f>IF(Baseline!B80="","",Baseline!B80)</f>
        <v/>
      </c>
      <c r="C81" s="141" t="str">
        <f>IF(Baseline!C80="","",Baseline!C80)</f>
        <v/>
      </c>
      <c r="D81" s="288" t="str">
        <f>IF(Baseline!D80="","",Baseline!D80)</f>
        <v/>
      </c>
      <c r="E81" s="132" t="str">
        <f t="shared" si="13"/>
        <v/>
      </c>
      <c r="F81" s="133"/>
      <c r="G81" s="100"/>
      <c r="H81" s="100"/>
      <c r="I81" s="100"/>
      <c r="J81" s="100"/>
      <c r="K81" s="475"/>
      <c r="L81" s="475"/>
      <c r="M81" s="475"/>
      <c r="N81" s="475"/>
      <c r="O81" s="489"/>
      <c r="P81" s="477"/>
      <c r="Q81" s="100"/>
      <c r="R81" s="100"/>
      <c r="S81" s="100"/>
      <c r="T81" s="100"/>
      <c r="U81" s="100"/>
      <c r="V81" s="334"/>
      <c r="W81" s="206"/>
      <c r="X81" s="211"/>
      <c r="Y81" s="211"/>
      <c r="Z81" s="211"/>
      <c r="AA81" s="211"/>
      <c r="AB81" s="211"/>
      <c r="AC81" s="211"/>
      <c r="AD81" s="263" t="str">
        <f t="shared" si="23"/>
        <v/>
      </c>
      <c r="AE81" s="49" t="str">
        <f t="shared" si="14"/>
        <v/>
      </c>
      <c r="AF81" s="47" t="str">
        <f t="shared" si="15"/>
        <v/>
      </c>
      <c r="AG81" s="47" t="str">
        <f t="shared" si="16"/>
        <v/>
      </c>
      <c r="AH81" s="47" t="str">
        <f t="shared" si="17"/>
        <v/>
      </c>
      <c r="AI81" s="47" t="str">
        <f t="shared" si="18"/>
        <v/>
      </c>
      <c r="AJ81" s="47" t="str">
        <f t="shared" si="19"/>
        <v/>
      </c>
      <c r="AK81" s="47" t="str">
        <f t="shared" si="20"/>
        <v/>
      </c>
      <c r="AL81" s="47" t="str">
        <f t="shared" si="21"/>
        <v/>
      </c>
      <c r="AM81" s="222" t="str">
        <f t="shared" si="22"/>
        <v/>
      </c>
      <c r="AN81" s="61" t="str">
        <f t="shared" si="24"/>
        <v/>
      </c>
    </row>
    <row r="82" spans="1:40" ht="13.5" customHeight="1">
      <c r="A82" s="287" t="str">
        <f>IF(Baseline!A81="","",Baseline!A81)</f>
        <v/>
      </c>
      <c r="B82" s="141" t="str">
        <f>IF(Baseline!B81="","",Baseline!B81)</f>
        <v/>
      </c>
      <c r="C82" s="141" t="str">
        <f>IF(Baseline!C81="","",Baseline!C81)</f>
        <v/>
      </c>
      <c r="D82" s="288" t="str">
        <f>IF(Baseline!D81="","",Baseline!D81)</f>
        <v/>
      </c>
      <c r="E82" s="132" t="str">
        <f t="shared" si="13"/>
        <v/>
      </c>
      <c r="F82" s="133"/>
      <c r="G82" s="100"/>
      <c r="H82" s="100"/>
      <c r="I82" s="100"/>
      <c r="J82" s="100"/>
      <c r="K82" s="475"/>
      <c r="L82" s="475"/>
      <c r="M82" s="475"/>
      <c r="N82" s="475"/>
      <c r="O82" s="489"/>
      <c r="P82" s="477"/>
      <c r="Q82" s="100"/>
      <c r="R82" s="100"/>
      <c r="S82" s="100"/>
      <c r="T82" s="100"/>
      <c r="U82" s="100"/>
      <c r="V82" s="334"/>
      <c r="W82" s="206"/>
      <c r="X82" s="211"/>
      <c r="Y82" s="211"/>
      <c r="Z82" s="211"/>
      <c r="AA82" s="211"/>
      <c r="AB82" s="211"/>
      <c r="AC82" s="211"/>
      <c r="AD82" s="263" t="str">
        <f t="shared" si="23"/>
        <v/>
      </c>
      <c r="AE82" s="49" t="str">
        <f t="shared" si="14"/>
        <v/>
      </c>
      <c r="AF82" s="47" t="str">
        <f t="shared" si="15"/>
        <v/>
      </c>
      <c r="AG82" s="47" t="str">
        <f t="shared" si="16"/>
        <v/>
      </c>
      <c r="AH82" s="47" t="str">
        <f t="shared" si="17"/>
        <v/>
      </c>
      <c r="AI82" s="47" t="str">
        <f t="shared" si="18"/>
        <v/>
      </c>
      <c r="AJ82" s="47" t="str">
        <f t="shared" si="19"/>
        <v/>
      </c>
      <c r="AK82" s="47" t="str">
        <f t="shared" si="20"/>
        <v/>
      </c>
      <c r="AL82" s="47" t="str">
        <f t="shared" si="21"/>
        <v/>
      </c>
      <c r="AM82" s="222" t="str">
        <f t="shared" si="22"/>
        <v/>
      </c>
      <c r="AN82" s="61" t="str">
        <f t="shared" si="24"/>
        <v/>
      </c>
    </row>
    <row r="83" spans="1:40" ht="13.5" customHeight="1">
      <c r="A83" s="287" t="str">
        <f>IF(Baseline!A82="","",Baseline!A82)</f>
        <v/>
      </c>
      <c r="B83" s="141" t="str">
        <f>IF(Baseline!B82="","",Baseline!B82)</f>
        <v/>
      </c>
      <c r="C83" s="141" t="str">
        <f>IF(Baseline!C82="","",Baseline!C82)</f>
        <v/>
      </c>
      <c r="D83" s="288" t="str">
        <f>IF(Baseline!D82="","",Baseline!D82)</f>
        <v/>
      </c>
      <c r="E83" s="132" t="str">
        <f t="shared" si="13"/>
        <v/>
      </c>
      <c r="F83" s="133"/>
      <c r="G83" s="100"/>
      <c r="H83" s="100"/>
      <c r="I83" s="100"/>
      <c r="J83" s="100"/>
      <c r="K83" s="475"/>
      <c r="L83" s="475"/>
      <c r="M83" s="475"/>
      <c r="N83" s="475"/>
      <c r="O83" s="489"/>
      <c r="P83" s="477"/>
      <c r="Q83" s="100"/>
      <c r="R83" s="100"/>
      <c r="S83" s="100"/>
      <c r="T83" s="100"/>
      <c r="U83" s="100"/>
      <c r="V83" s="334"/>
      <c r="W83" s="206"/>
      <c r="X83" s="211"/>
      <c r="Y83" s="211"/>
      <c r="Z83" s="211"/>
      <c r="AA83" s="211"/>
      <c r="AB83" s="211"/>
      <c r="AC83" s="211"/>
      <c r="AD83" s="263" t="str">
        <f t="shared" si="23"/>
        <v/>
      </c>
      <c r="AE83" s="49" t="str">
        <f t="shared" si="14"/>
        <v/>
      </c>
      <c r="AF83" s="47" t="str">
        <f t="shared" si="15"/>
        <v/>
      </c>
      <c r="AG83" s="47" t="str">
        <f t="shared" si="16"/>
        <v/>
      </c>
      <c r="AH83" s="47" t="str">
        <f t="shared" si="17"/>
        <v/>
      </c>
      <c r="AI83" s="47" t="str">
        <f t="shared" si="18"/>
        <v/>
      </c>
      <c r="AJ83" s="47" t="str">
        <f t="shared" si="19"/>
        <v/>
      </c>
      <c r="AK83" s="47" t="str">
        <f t="shared" si="20"/>
        <v/>
      </c>
      <c r="AL83" s="47" t="str">
        <f t="shared" si="21"/>
        <v/>
      </c>
      <c r="AM83" s="222" t="str">
        <f t="shared" si="22"/>
        <v/>
      </c>
      <c r="AN83" s="61" t="str">
        <f t="shared" si="24"/>
        <v/>
      </c>
    </row>
    <row r="84" spans="1:40" ht="13.5" customHeight="1">
      <c r="A84" s="287" t="str">
        <f>IF(Baseline!A83="","",Baseline!A83)</f>
        <v/>
      </c>
      <c r="B84" s="141" t="str">
        <f>IF(Baseline!B83="","",Baseline!B83)</f>
        <v/>
      </c>
      <c r="C84" s="141" t="str">
        <f>IF(Baseline!C83="","",Baseline!C83)</f>
        <v/>
      </c>
      <c r="D84" s="288" t="str">
        <f>IF(Baseline!D83="","",Baseline!D83)</f>
        <v/>
      </c>
      <c r="E84" s="132" t="str">
        <f t="shared" si="13"/>
        <v/>
      </c>
      <c r="F84" s="133"/>
      <c r="G84" s="100"/>
      <c r="H84" s="100"/>
      <c r="I84" s="100"/>
      <c r="J84" s="100"/>
      <c r="K84" s="475"/>
      <c r="L84" s="475"/>
      <c r="M84" s="475"/>
      <c r="N84" s="475"/>
      <c r="O84" s="489"/>
      <c r="P84" s="477"/>
      <c r="Q84" s="100"/>
      <c r="R84" s="100"/>
      <c r="S84" s="100"/>
      <c r="T84" s="100"/>
      <c r="U84" s="100"/>
      <c r="V84" s="334"/>
      <c r="W84" s="206"/>
      <c r="X84" s="211"/>
      <c r="Y84" s="211"/>
      <c r="Z84" s="211"/>
      <c r="AA84" s="211"/>
      <c r="AB84" s="211"/>
      <c r="AC84" s="211"/>
      <c r="AD84" s="263" t="str">
        <f t="shared" si="23"/>
        <v/>
      </c>
      <c r="AE84" s="49" t="str">
        <f t="shared" si="14"/>
        <v/>
      </c>
      <c r="AF84" s="47" t="str">
        <f t="shared" si="15"/>
        <v/>
      </c>
      <c r="AG84" s="47" t="str">
        <f t="shared" si="16"/>
        <v/>
      </c>
      <c r="AH84" s="47" t="str">
        <f t="shared" si="17"/>
        <v/>
      </c>
      <c r="AI84" s="47" t="str">
        <f t="shared" si="18"/>
        <v/>
      </c>
      <c r="AJ84" s="47" t="str">
        <f t="shared" si="19"/>
        <v/>
      </c>
      <c r="AK84" s="47" t="str">
        <f t="shared" si="20"/>
        <v/>
      </c>
      <c r="AL84" s="47" t="str">
        <f t="shared" si="21"/>
        <v/>
      </c>
      <c r="AM84" s="222" t="str">
        <f t="shared" si="22"/>
        <v/>
      </c>
      <c r="AN84" s="61" t="str">
        <f t="shared" si="24"/>
        <v/>
      </c>
    </row>
    <row r="85" spans="1:40" ht="13.5" customHeight="1">
      <c r="A85" s="287" t="str">
        <f>IF(Baseline!A84="","",Baseline!A84)</f>
        <v/>
      </c>
      <c r="B85" s="141" t="str">
        <f>IF(Baseline!B84="","",Baseline!B84)</f>
        <v/>
      </c>
      <c r="C85" s="141" t="str">
        <f>IF(Baseline!C84="","",Baseline!C84)</f>
        <v/>
      </c>
      <c r="D85" s="288" t="str">
        <f>IF(Baseline!D84="","",Baseline!D84)</f>
        <v/>
      </c>
      <c r="E85" s="132" t="str">
        <f t="shared" si="13"/>
        <v/>
      </c>
      <c r="F85" s="133"/>
      <c r="G85" s="100"/>
      <c r="H85" s="100"/>
      <c r="I85" s="100"/>
      <c r="J85" s="100"/>
      <c r="K85" s="475"/>
      <c r="L85" s="475"/>
      <c r="M85" s="475"/>
      <c r="N85" s="475"/>
      <c r="O85" s="489"/>
      <c r="P85" s="477"/>
      <c r="Q85" s="100"/>
      <c r="R85" s="100"/>
      <c r="S85" s="100"/>
      <c r="T85" s="100"/>
      <c r="U85" s="100"/>
      <c r="V85" s="334"/>
      <c r="W85" s="206"/>
      <c r="X85" s="211"/>
      <c r="Y85" s="211"/>
      <c r="Z85" s="211"/>
      <c r="AA85" s="211"/>
      <c r="AB85" s="211"/>
      <c r="AC85" s="211"/>
      <c r="AD85" s="263" t="str">
        <f t="shared" si="23"/>
        <v/>
      </c>
      <c r="AE85" s="49" t="str">
        <f t="shared" si="14"/>
        <v/>
      </c>
      <c r="AF85" s="47" t="str">
        <f t="shared" si="15"/>
        <v/>
      </c>
      <c r="AG85" s="47" t="str">
        <f t="shared" si="16"/>
        <v/>
      </c>
      <c r="AH85" s="47" t="str">
        <f t="shared" si="17"/>
        <v/>
      </c>
      <c r="AI85" s="47" t="str">
        <f t="shared" si="18"/>
        <v/>
      </c>
      <c r="AJ85" s="47" t="str">
        <f t="shared" si="19"/>
        <v/>
      </c>
      <c r="AK85" s="47" t="str">
        <f t="shared" si="20"/>
        <v/>
      </c>
      <c r="AL85" s="47" t="str">
        <f t="shared" si="21"/>
        <v/>
      </c>
      <c r="AM85" s="222" t="str">
        <f t="shared" si="22"/>
        <v/>
      </c>
      <c r="AN85" s="61" t="str">
        <f t="shared" si="24"/>
        <v/>
      </c>
    </row>
    <row r="86" spans="1:40" ht="13.5" customHeight="1">
      <c r="A86" s="287" t="str">
        <f>IF(Baseline!A85="","",Baseline!A85)</f>
        <v/>
      </c>
      <c r="B86" s="141" t="str">
        <f>IF(Baseline!B85="","",Baseline!B85)</f>
        <v/>
      </c>
      <c r="C86" s="141" t="str">
        <f>IF(Baseline!C85="","",Baseline!C85)</f>
        <v/>
      </c>
      <c r="D86" s="288" t="str">
        <f>IF(Baseline!D85="","",Baseline!D85)</f>
        <v/>
      </c>
      <c r="E86" s="132" t="str">
        <f t="shared" si="13"/>
        <v/>
      </c>
      <c r="F86" s="133"/>
      <c r="G86" s="100"/>
      <c r="H86" s="100"/>
      <c r="I86" s="100"/>
      <c r="J86" s="100"/>
      <c r="K86" s="475"/>
      <c r="L86" s="475"/>
      <c r="M86" s="475"/>
      <c r="N86" s="475"/>
      <c r="O86" s="489"/>
      <c r="P86" s="477"/>
      <c r="Q86" s="100"/>
      <c r="R86" s="100"/>
      <c r="S86" s="100"/>
      <c r="T86" s="100"/>
      <c r="U86" s="100"/>
      <c r="V86" s="334"/>
      <c r="W86" s="206"/>
      <c r="X86" s="211"/>
      <c r="Y86" s="211"/>
      <c r="Z86" s="211"/>
      <c r="AA86" s="211"/>
      <c r="AB86" s="211"/>
      <c r="AC86" s="211"/>
      <c r="AD86" s="263" t="str">
        <f t="shared" si="23"/>
        <v/>
      </c>
      <c r="AE86" s="49" t="str">
        <f t="shared" si="14"/>
        <v/>
      </c>
      <c r="AF86" s="47" t="str">
        <f t="shared" si="15"/>
        <v/>
      </c>
      <c r="AG86" s="47" t="str">
        <f t="shared" si="16"/>
        <v/>
      </c>
      <c r="AH86" s="47" t="str">
        <f t="shared" si="17"/>
        <v/>
      </c>
      <c r="AI86" s="47" t="str">
        <f t="shared" si="18"/>
        <v/>
      </c>
      <c r="AJ86" s="47" t="str">
        <f t="shared" si="19"/>
        <v/>
      </c>
      <c r="AK86" s="47" t="str">
        <f t="shared" si="20"/>
        <v/>
      </c>
      <c r="AL86" s="47" t="str">
        <f t="shared" si="21"/>
        <v/>
      </c>
      <c r="AM86" s="222" t="str">
        <f t="shared" si="22"/>
        <v/>
      </c>
      <c r="AN86" s="61" t="str">
        <f t="shared" si="24"/>
        <v/>
      </c>
    </row>
    <row r="87" spans="1:40" ht="13.5" customHeight="1">
      <c r="A87" s="287" t="str">
        <f>IF(Baseline!A86="","",Baseline!A86)</f>
        <v/>
      </c>
      <c r="B87" s="141" t="str">
        <f>IF(Baseline!B86="","",Baseline!B86)</f>
        <v/>
      </c>
      <c r="C87" s="141" t="str">
        <f>IF(Baseline!C86="","",Baseline!C86)</f>
        <v/>
      </c>
      <c r="D87" s="288" t="str">
        <f>IF(Baseline!D86="","",Baseline!D86)</f>
        <v/>
      </c>
      <c r="E87" s="132" t="str">
        <f t="shared" si="13"/>
        <v/>
      </c>
      <c r="F87" s="133"/>
      <c r="G87" s="100"/>
      <c r="H87" s="100"/>
      <c r="I87" s="100"/>
      <c r="J87" s="100"/>
      <c r="K87" s="475"/>
      <c r="L87" s="475"/>
      <c r="M87" s="475"/>
      <c r="N87" s="475"/>
      <c r="O87" s="489"/>
      <c r="P87" s="477"/>
      <c r="Q87" s="100"/>
      <c r="R87" s="100"/>
      <c r="S87" s="100"/>
      <c r="T87" s="100"/>
      <c r="U87" s="100"/>
      <c r="V87" s="334"/>
      <c r="W87" s="206"/>
      <c r="X87" s="211"/>
      <c r="Y87" s="211"/>
      <c r="Z87" s="211"/>
      <c r="AA87" s="211"/>
      <c r="AB87" s="211"/>
      <c r="AC87" s="211"/>
      <c r="AD87" s="263" t="str">
        <f t="shared" si="23"/>
        <v/>
      </c>
      <c r="AE87" s="49" t="str">
        <f t="shared" si="14"/>
        <v/>
      </c>
      <c r="AF87" s="47" t="str">
        <f t="shared" si="15"/>
        <v/>
      </c>
      <c r="AG87" s="47" t="str">
        <f t="shared" si="16"/>
        <v/>
      </c>
      <c r="AH87" s="47" t="str">
        <f t="shared" si="17"/>
        <v/>
      </c>
      <c r="AI87" s="47" t="str">
        <f t="shared" si="18"/>
        <v/>
      </c>
      <c r="AJ87" s="47" t="str">
        <f t="shared" si="19"/>
        <v/>
      </c>
      <c r="AK87" s="47" t="str">
        <f t="shared" si="20"/>
        <v/>
      </c>
      <c r="AL87" s="47" t="str">
        <f t="shared" si="21"/>
        <v/>
      </c>
      <c r="AM87" s="222" t="str">
        <f t="shared" si="22"/>
        <v/>
      </c>
      <c r="AN87" s="61" t="str">
        <f t="shared" si="24"/>
        <v/>
      </c>
    </row>
    <row r="88" spans="1:40" ht="13.5" customHeight="1">
      <c r="A88" s="287" t="str">
        <f>IF(Baseline!A87="","",Baseline!A87)</f>
        <v/>
      </c>
      <c r="B88" s="141" t="str">
        <f>IF(Baseline!B87="","",Baseline!B87)</f>
        <v/>
      </c>
      <c r="C88" s="141" t="str">
        <f>IF(Baseline!C87="","",Baseline!C87)</f>
        <v/>
      </c>
      <c r="D88" s="288" t="str">
        <f>IF(Baseline!D87="","",Baseline!D87)</f>
        <v/>
      </c>
      <c r="E88" s="132" t="str">
        <f t="shared" si="13"/>
        <v/>
      </c>
      <c r="F88" s="133"/>
      <c r="G88" s="100"/>
      <c r="H88" s="100"/>
      <c r="I88" s="100"/>
      <c r="J88" s="100"/>
      <c r="K88" s="475"/>
      <c r="L88" s="475"/>
      <c r="M88" s="475"/>
      <c r="N88" s="475"/>
      <c r="O88" s="489"/>
      <c r="P88" s="477"/>
      <c r="Q88" s="100"/>
      <c r="R88" s="100"/>
      <c r="S88" s="100"/>
      <c r="T88" s="100"/>
      <c r="U88" s="100"/>
      <c r="V88" s="334"/>
      <c r="W88" s="206"/>
      <c r="X88" s="211"/>
      <c r="Y88" s="211"/>
      <c r="Z88" s="211"/>
      <c r="AA88" s="211"/>
      <c r="AB88" s="211"/>
      <c r="AC88" s="211"/>
      <c r="AD88" s="263" t="str">
        <f t="shared" si="23"/>
        <v/>
      </c>
      <c r="AE88" s="49" t="str">
        <f t="shared" si="14"/>
        <v/>
      </c>
      <c r="AF88" s="47" t="str">
        <f t="shared" si="15"/>
        <v/>
      </c>
      <c r="AG88" s="47" t="str">
        <f t="shared" si="16"/>
        <v/>
      </c>
      <c r="AH88" s="47" t="str">
        <f t="shared" si="17"/>
        <v/>
      </c>
      <c r="AI88" s="47" t="str">
        <f t="shared" si="18"/>
        <v/>
      </c>
      <c r="AJ88" s="47" t="str">
        <f t="shared" si="19"/>
        <v/>
      </c>
      <c r="AK88" s="47" t="str">
        <f t="shared" si="20"/>
        <v/>
      </c>
      <c r="AL88" s="47" t="str">
        <f t="shared" si="21"/>
        <v/>
      </c>
      <c r="AM88" s="222" t="str">
        <f t="shared" si="22"/>
        <v/>
      </c>
      <c r="AN88" s="61" t="str">
        <f t="shared" si="24"/>
        <v/>
      </c>
    </row>
    <row r="89" spans="1:40" ht="13.5" customHeight="1">
      <c r="A89" s="287" t="str">
        <f>IF(Baseline!A88="","",Baseline!A88)</f>
        <v/>
      </c>
      <c r="B89" s="141" t="str">
        <f>IF(Baseline!B88="","",Baseline!B88)</f>
        <v/>
      </c>
      <c r="C89" s="141" t="str">
        <f>IF(Baseline!C88="","",Baseline!C88)</f>
        <v/>
      </c>
      <c r="D89" s="288" t="str">
        <f>IF(Baseline!D88="","",Baseline!D88)</f>
        <v/>
      </c>
      <c r="E89" s="132" t="str">
        <f t="shared" si="13"/>
        <v/>
      </c>
      <c r="F89" s="133"/>
      <c r="G89" s="100"/>
      <c r="H89" s="100"/>
      <c r="I89" s="100"/>
      <c r="J89" s="100"/>
      <c r="K89" s="475"/>
      <c r="L89" s="475"/>
      <c r="M89" s="475"/>
      <c r="N89" s="475"/>
      <c r="O89" s="489"/>
      <c r="P89" s="477"/>
      <c r="Q89" s="100"/>
      <c r="R89" s="100"/>
      <c r="S89" s="100"/>
      <c r="T89" s="100"/>
      <c r="U89" s="100"/>
      <c r="V89" s="334"/>
      <c r="W89" s="206"/>
      <c r="X89" s="211"/>
      <c r="Y89" s="211"/>
      <c r="Z89" s="211"/>
      <c r="AA89" s="211"/>
      <c r="AB89" s="211"/>
      <c r="AC89" s="211"/>
      <c r="AD89" s="263" t="str">
        <f t="shared" si="23"/>
        <v/>
      </c>
      <c r="AE89" s="49" t="str">
        <f t="shared" si="14"/>
        <v/>
      </c>
      <c r="AF89" s="47" t="str">
        <f t="shared" si="15"/>
        <v/>
      </c>
      <c r="AG89" s="47" t="str">
        <f t="shared" si="16"/>
        <v/>
      </c>
      <c r="AH89" s="47" t="str">
        <f t="shared" si="17"/>
        <v/>
      </c>
      <c r="AI89" s="47" t="str">
        <f t="shared" si="18"/>
        <v/>
      </c>
      <c r="AJ89" s="47" t="str">
        <f t="shared" si="19"/>
        <v/>
      </c>
      <c r="AK89" s="47" t="str">
        <f t="shared" si="20"/>
        <v/>
      </c>
      <c r="AL89" s="47" t="str">
        <f t="shared" si="21"/>
        <v/>
      </c>
      <c r="AM89" s="222" t="str">
        <f t="shared" si="22"/>
        <v/>
      </c>
      <c r="AN89" s="61" t="str">
        <f t="shared" si="24"/>
        <v/>
      </c>
    </row>
    <row r="90" spans="1:40" ht="13.5" customHeight="1">
      <c r="A90" s="287" t="str">
        <f>IF(Baseline!A89="","",Baseline!A89)</f>
        <v/>
      </c>
      <c r="B90" s="141" t="str">
        <f>IF(Baseline!B89="","",Baseline!B89)</f>
        <v/>
      </c>
      <c r="C90" s="141" t="str">
        <f>IF(Baseline!C89="","",Baseline!C89)</f>
        <v/>
      </c>
      <c r="D90" s="288" t="str">
        <f>IF(Baseline!D89="","",Baseline!D89)</f>
        <v/>
      </c>
      <c r="E90" s="132" t="str">
        <f t="shared" si="13"/>
        <v/>
      </c>
      <c r="F90" s="133"/>
      <c r="G90" s="100"/>
      <c r="H90" s="100"/>
      <c r="I90" s="100"/>
      <c r="J90" s="100"/>
      <c r="K90" s="475"/>
      <c r="L90" s="475"/>
      <c r="M90" s="475"/>
      <c r="N90" s="475"/>
      <c r="O90" s="489"/>
      <c r="P90" s="477"/>
      <c r="Q90" s="100"/>
      <c r="R90" s="100"/>
      <c r="S90" s="100"/>
      <c r="T90" s="100"/>
      <c r="U90" s="100"/>
      <c r="V90" s="334"/>
      <c r="W90" s="206"/>
      <c r="X90" s="211"/>
      <c r="Y90" s="211"/>
      <c r="Z90" s="211"/>
      <c r="AA90" s="211"/>
      <c r="AB90" s="211"/>
      <c r="AC90" s="211"/>
      <c r="AD90" s="263" t="str">
        <f t="shared" si="23"/>
        <v/>
      </c>
      <c r="AE90" s="49" t="str">
        <f t="shared" si="14"/>
        <v/>
      </c>
      <c r="AF90" s="47" t="str">
        <f t="shared" si="15"/>
        <v/>
      </c>
      <c r="AG90" s="47" t="str">
        <f t="shared" si="16"/>
        <v/>
      </c>
      <c r="AH90" s="47" t="str">
        <f t="shared" si="17"/>
        <v/>
      </c>
      <c r="AI90" s="47" t="str">
        <f t="shared" si="18"/>
        <v/>
      </c>
      <c r="AJ90" s="47" t="str">
        <f t="shared" si="19"/>
        <v/>
      </c>
      <c r="AK90" s="47" t="str">
        <f t="shared" si="20"/>
        <v/>
      </c>
      <c r="AL90" s="47" t="str">
        <f t="shared" si="21"/>
        <v/>
      </c>
      <c r="AM90" s="222" t="str">
        <f t="shared" si="22"/>
        <v/>
      </c>
      <c r="AN90" s="61" t="str">
        <f t="shared" si="24"/>
        <v/>
      </c>
    </row>
    <row r="91" spans="1:40" ht="13.5" customHeight="1">
      <c r="A91" s="287" t="str">
        <f>IF(Baseline!A90="","",Baseline!A90)</f>
        <v/>
      </c>
      <c r="B91" s="141" t="str">
        <f>IF(Baseline!B90="","",Baseline!B90)</f>
        <v/>
      </c>
      <c r="C91" s="141" t="str">
        <f>IF(Baseline!C90="","",Baseline!C90)</f>
        <v/>
      </c>
      <c r="D91" s="288" t="str">
        <f>IF(Baseline!D90="","",Baseline!D90)</f>
        <v/>
      </c>
      <c r="E91" s="132" t="str">
        <f t="shared" si="13"/>
        <v/>
      </c>
      <c r="F91" s="133"/>
      <c r="G91" s="100"/>
      <c r="H91" s="100"/>
      <c r="I91" s="100"/>
      <c r="J91" s="100"/>
      <c r="K91" s="475"/>
      <c r="L91" s="475"/>
      <c r="M91" s="475"/>
      <c r="N91" s="475"/>
      <c r="O91" s="489"/>
      <c r="P91" s="477"/>
      <c r="Q91" s="100"/>
      <c r="R91" s="100"/>
      <c r="S91" s="100"/>
      <c r="T91" s="100"/>
      <c r="U91" s="100"/>
      <c r="V91" s="334"/>
      <c r="W91" s="206"/>
      <c r="X91" s="211"/>
      <c r="Y91" s="211"/>
      <c r="Z91" s="211"/>
      <c r="AA91" s="211"/>
      <c r="AB91" s="211"/>
      <c r="AC91" s="211"/>
      <c r="AD91" s="263" t="str">
        <f t="shared" si="23"/>
        <v/>
      </c>
      <c r="AE91" s="49" t="str">
        <f t="shared" si="14"/>
        <v/>
      </c>
      <c r="AF91" s="47" t="str">
        <f t="shared" si="15"/>
        <v/>
      </c>
      <c r="AG91" s="47" t="str">
        <f t="shared" si="16"/>
        <v/>
      </c>
      <c r="AH91" s="47" t="str">
        <f t="shared" si="17"/>
        <v/>
      </c>
      <c r="AI91" s="47" t="str">
        <f t="shared" si="18"/>
        <v/>
      </c>
      <c r="AJ91" s="47" t="str">
        <f t="shared" si="19"/>
        <v/>
      </c>
      <c r="AK91" s="47" t="str">
        <f t="shared" si="20"/>
        <v/>
      </c>
      <c r="AL91" s="47" t="str">
        <f t="shared" si="21"/>
        <v/>
      </c>
      <c r="AM91" s="222" t="str">
        <f t="shared" si="22"/>
        <v/>
      </c>
      <c r="AN91" s="61" t="str">
        <f t="shared" si="24"/>
        <v/>
      </c>
    </row>
    <row r="92" spans="1:40" ht="13.5" customHeight="1">
      <c r="A92" s="287" t="str">
        <f>IF(Baseline!A91="","",Baseline!A91)</f>
        <v/>
      </c>
      <c r="B92" s="141" t="str">
        <f>IF(Baseline!B91="","",Baseline!B91)</f>
        <v/>
      </c>
      <c r="C92" s="141" t="str">
        <f>IF(Baseline!C91="","",Baseline!C91)</f>
        <v/>
      </c>
      <c r="D92" s="288" t="str">
        <f>IF(Baseline!D91="","",Baseline!D91)</f>
        <v/>
      </c>
      <c r="E92" s="132" t="str">
        <f t="shared" si="13"/>
        <v/>
      </c>
      <c r="F92" s="133"/>
      <c r="G92" s="100"/>
      <c r="H92" s="100"/>
      <c r="I92" s="100"/>
      <c r="J92" s="100"/>
      <c r="K92" s="475"/>
      <c r="L92" s="475"/>
      <c r="M92" s="475"/>
      <c r="N92" s="475"/>
      <c r="O92" s="489"/>
      <c r="P92" s="477"/>
      <c r="Q92" s="100"/>
      <c r="R92" s="100"/>
      <c r="S92" s="100"/>
      <c r="T92" s="100"/>
      <c r="U92" s="100"/>
      <c r="V92" s="334"/>
      <c r="W92" s="206"/>
      <c r="X92" s="211"/>
      <c r="Y92" s="211"/>
      <c r="Z92" s="211"/>
      <c r="AA92" s="211"/>
      <c r="AB92" s="211"/>
      <c r="AC92" s="211"/>
      <c r="AD92" s="263" t="str">
        <f t="shared" si="23"/>
        <v/>
      </c>
      <c r="AE92" s="49" t="str">
        <f t="shared" si="14"/>
        <v/>
      </c>
      <c r="AF92" s="47" t="str">
        <f t="shared" si="15"/>
        <v/>
      </c>
      <c r="AG92" s="47" t="str">
        <f t="shared" si="16"/>
        <v/>
      </c>
      <c r="AH92" s="47" t="str">
        <f t="shared" si="17"/>
        <v/>
      </c>
      <c r="AI92" s="47" t="str">
        <f t="shared" si="18"/>
        <v/>
      </c>
      <c r="AJ92" s="47" t="str">
        <f t="shared" si="19"/>
        <v/>
      </c>
      <c r="AK92" s="47" t="str">
        <f t="shared" si="20"/>
        <v/>
      </c>
      <c r="AL92" s="47" t="str">
        <f t="shared" si="21"/>
        <v/>
      </c>
      <c r="AM92" s="222" t="str">
        <f t="shared" si="22"/>
        <v/>
      </c>
      <c r="AN92" s="61" t="str">
        <f t="shared" si="24"/>
        <v/>
      </c>
    </row>
    <row r="93" spans="1:40" ht="13.5" customHeight="1">
      <c r="A93" s="289" t="str">
        <f>IF(Baseline!A92="","",Baseline!A92)</f>
        <v/>
      </c>
      <c r="B93" s="290" t="str">
        <f>IF(Baseline!B92="","",Baseline!B92)</f>
        <v/>
      </c>
      <c r="C93" s="290" t="str">
        <f>IF(Baseline!C92="","",Baseline!C92)</f>
        <v/>
      </c>
      <c r="D93" s="291" t="str">
        <f>IF(Baseline!D92="","",Baseline!D92)</f>
        <v/>
      </c>
      <c r="E93" s="309" t="str">
        <f t="shared" si="13"/>
        <v/>
      </c>
      <c r="F93" s="136"/>
      <c r="G93" s="104"/>
      <c r="H93" s="100"/>
      <c r="I93" s="104"/>
      <c r="J93" s="104"/>
      <c r="K93" s="475"/>
      <c r="L93" s="475"/>
      <c r="M93" s="475"/>
      <c r="N93" s="475"/>
      <c r="O93" s="489"/>
      <c r="P93" s="477"/>
      <c r="Q93" s="104"/>
      <c r="R93" s="104"/>
      <c r="S93" s="104"/>
      <c r="T93" s="104"/>
      <c r="U93" s="105"/>
      <c r="V93" s="334"/>
      <c r="W93" s="206"/>
      <c r="X93" s="211"/>
      <c r="Y93" s="211"/>
      <c r="Z93" s="211"/>
      <c r="AA93" s="211"/>
      <c r="AB93" s="211"/>
      <c r="AC93" s="211"/>
      <c r="AD93" s="264" t="str">
        <f t="shared" si="23"/>
        <v/>
      </c>
      <c r="AE93" s="53" t="str">
        <f t="shared" si="14"/>
        <v/>
      </c>
      <c r="AF93" s="51" t="str">
        <f t="shared" si="15"/>
        <v/>
      </c>
      <c r="AG93" s="51" t="str">
        <f t="shared" si="16"/>
        <v/>
      </c>
      <c r="AH93" s="51" t="str">
        <f t="shared" si="17"/>
        <v/>
      </c>
      <c r="AI93" s="51" t="str">
        <f t="shared" si="18"/>
        <v/>
      </c>
      <c r="AJ93" s="51" t="str">
        <f t="shared" si="19"/>
        <v/>
      </c>
      <c r="AK93" s="51" t="str">
        <f t="shared" si="20"/>
        <v/>
      </c>
      <c r="AL93" s="51" t="str">
        <f t="shared" si="21"/>
        <v/>
      </c>
      <c r="AM93" s="223" t="str">
        <f t="shared" si="22"/>
        <v/>
      </c>
      <c r="AN93" s="62" t="str">
        <f t="shared" si="24"/>
        <v/>
      </c>
    </row>
    <row r="94" spans="1:40" ht="22.5" customHeight="1">
      <c r="A94" s="63" t="s">
        <v>2</v>
      </c>
      <c r="B94" s="55">
        <f>SUM(B63:B93)</f>
        <v>2918.75</v>
      </c>
      <c r="C94" s="55">
        <f>SUM(C63:C93)</f>
        <v>1</v>
      </c>
      <c r="D94" s="310">
        <f>SUM(D63:D93)</f>
        <v>2918.75</v>
      </c>
      <c r="E94" s="90">
        <f>AD94/B94</f>
        <v>24.657209730000002</v>
      </c>
      <c r="F94" s="87" t="s">
        <v>3</v>
      </c>
      <c r="G94" s="64">
        <f>SUMPRODUCT(G63:G93,B63:B93,C63:C93)</f>
        <v>0</v>
      </c>
      <c r="H94" s="82" t="s">
        <v>12</v>
      </c>
      <c r="I94" s="64">
        <f>SUMPRODUCT(I63:I93,$B63:$B93,$C63:$C93)</f>
        <v>0</v>
      </c>
      <c r="J94" s="82" t="s">
        <v>12</v>
      </c>
      <c r="K94" s="487"/>
      <c r="L94" s="487"/>
      <c r="M94" s="487"/>
      <c r="N94" s="487"/>
      <c r="O94" s="490"/>
      <c r="P94" s="491"/>
      <c r="Q94" s="64">
        <f>SUMPRODUCT(Q63:Q93,$B63:$B93,$C63:$C93)</f>
        <v>0</v>
      </c>
      <c r="R94" s="64">
        <f>SUMPRODUCT(R63:R93,$B63:$B93,$C63:$C93)</f>
        <v>0</v>
      </c>
      <c r="S94" s="64">
        <f>SUMPRODUCT(S63:S93,$B63:$B93,$C63:$C93)</f>
        <v>0</v>
      </c>
      <c r="T94" s="64">
        <f>SUMPRODUCT(T63:T93,$B63:$B93,$C63:$C93)</f>
        <v>0</v>
      </c>
      <c r="U94" s="64">
        <f>SUMPRODUCT(U63:U93,$B63:$B93,$C63:$C93)</f>
        <v>0</v>
      </c>
      <c r="V94" s="65">
        <f t="shared" ref="V94:AC94" si="25">SUMPRODUCT(V63:V93,$C$63:$C$93)</f>
        <v>13</v>
      </c>
      <c r="W94" s="66">
        <f t="shared" si="25"/>
        <v>45</v>
      </c>
      <c r="X94" s="66">
        <f t="shared" si="25"/>
        <v>0</v>
      </c>
      <c r="Y94" s="66">
        <f t="shared" si="25"/>
        <v>0</v>
      </c>
      <c r="Z94" s="66">
        <f t="shared" si="25"/>
        <v>-2.9013300000000002</v>
      </c>
      <c r="AA94" s="66">
        <f t="shared" si="25"/>
        <v>0</v>
      </c>
      <c r="AB94" s="66">
        <f t="shared" si="25"/>
        <v>0</v>
      </c>
      <c r="AC94" s="66">
        <f t="shared" si="25"/>
        <v>0</v>
      </c>
      <c r="AD94" s="265">
        <f>SUMPRODUCT(E63:E93,D63:D93)</f>
        <v>71968.230899437505</v>
      </c>
      <c r="AE94" s="67">
        <f t="shared" ref="AE94:AL94" si="26">SUMPRODUCT(AE63:AE93,$C$63:$C$93)</f>
        <v>13</v>
      </c>
      <c r="AF94" s="66">
        <f t="shared" si="26"/>
        <v>45</v>
      </c>
      <c r="AG94" s="66">
        <f t="shared" si="26"/>
        <v>0</v>
      </c>
      <c r="AH94" s="64">
        <f t="shared" si="26"/>
        <v>0</v>
      </c>
      <c r="AI94" s="66">
        <f t="shared" si="26"/>
        <v>-2.9013300000000002</v>
      </c>
      <c r="AJ94" s="66">
        <f t="shared" si="26"/>
        <v>0</v>
      </c>
      <c r="AK94" s="66">
        <f t="shared" si="26"/>
        <v>0</v>
      </c>
      <c r="AL94" s="66">
        <f t="shared" si="26"/>
        <v>0</v>
      </c>
      <c r="AM94" s="224">
        <f>SUMPRODUCT(AN63:AN93,D63:D93)</f>
        <v>36598.177383562506</v>
      </c>
      <c r="AN94" s="68">
        <f>AM94/B94</f>
        <v>12.538990110000002</v>
      </c>
    </row>
    <row r="95" spans="1:40" s="80" customFormat="1" ht="27" customHeight="1">
      <c r="A95" s="500" t="s">
        <v>97</v>
      </c>
      <c r="B95" s="501"/>
      <c r="C95" s="501"/>
      <c r="D95" s="501"/>
      <c r="E95" s="501"/>
      <c r="F95" s="501"/>
      <c r="G95" s="501"/>
      <c r="H95" s="501"/>
      <c r="I95" s="501"/>
      <c r="J95" s="501"/>
      <c r="K95" s="501"/>
      <c r="L95" s="501"/>
      <c r="M95" s="501"/>
      <c r="N95" s="501"/>
      <c r="O95" s="501"/>
      <c r="P95" s="501"/>
      <c r="Q95" s="501"/>
      <c r="R95" s="501"/>
      <c r="S95" s="501"/>
      <c r="T95" s="501"/>
      <c r="U95" s="501"/>
      <c r="V95" s="501"/>
      <c r="W95" s="501"/>
      <c r="X95" s="501"/>
      <c r="Y95" s="501"/>
      <c r="Z95" s="501"/>
      <c r="AA95" s="501"/>
      <c r="AB95" s="501"/>
      <c r="AC95" s="501"/>
      <c r="AD95" s="501"/>
      <c r="AE95" s="501"/>
      <c r="AF95" s="501"/>
      <c r="AG95" s="501"/>
      <c r="AH95" s="501"/>
      <c r="AI95" s="501"/>
      <c r="AJ95" s="501"/>
      <c r="AK95" s="501"/>
      <c r="AL95" s="501"/>
      <c r="AM95" s="501"/>
      <c r="AN95" s="502"/>
    </row>
    <row r="96" spans="1:40" ht="25.5" customHeight="1">
      <c r="A96" s="503" t="s">
        <v>0</v>
      </c>
      <c r="B96" s="400" t="s">
        <v>95</v>
      </c>
      <c r="C96" s="435"/>
      <c r="D96" s="436"/>
      <c r="E96" s="380" t="s">
        <v>29</v>
      </c>
      <c r="F96" s="482" t="s">
        <v>3</v>
      </c>
      <c r="G96" s="504" t="s">
        <v>19</v>
      </c>
      <c r="H96" s="505"/>
      <c r="I96" s="505"/>
      <c r="J96" s="505"/>
      <c r="K96" s="505"/>
      <c r="L96" s="505"/>
      <c r="M96" s="505"/>
      <c r="N96" s="505"/>
      <c r="O96" s="505"/>
      <c r="P96" s="505"/>
      <c r="Q96" s="505"/>
      <c r="R96" s="505"/>
      <c r="S96" s="505"/>
      <c r="T96" s="505"/>
      <c r="U96" s="506"/>
      <c r="V96" s="255" t="s">
        <v>19</v>
      </c>
      <c r="W96" s="212"/>
      <c r="X96" s="212"/>
      <c r="Y96" s="212"/>
      <c r="Z96" s="212"/>
      <c r="AA96" s="212"/>
      <c r="AB96" s="212"/>
      <c r="AC96" s="212"/>
      <c r="AD96" s="212"/>
      <c r="AE96" s="499" t="s">
        <v>18</v>
      </c>
      <c r="AF96" s="492"/>
      <c r="AG96" s="492"/>
      <c r="AH96" s="492"/>
      <c r="AI96" s="492"/>
      <c r="AJ96" s="492"/>
      <c r="AK96" s="492"/>
      <c r="AL96" s="492"/>
      <c r="AM96" s="492"/>
      <c r="AN96" s="468"/>
    </row>
    <row r="97" spans="1:40" ht="84" customHeight="1" thickBot="1">
      <c r="A97" s="401"/>
      <c r="B97" s="401"/>
      <c r="C97" s="412"/>
      <c r="D97" s="413"/>
      <c r="E97" s="416"/>
      <c r="F97" s="417"/>
      <c r="G97" s="41" t="s">
        <v>5</v>
      </c>
      <c r="H97" s="451" t="s">
        <v>12</v>
      </c>
      <c r="I97" s="39" t="s">
        <v>6</v>
      </c>
      <c r="J97" s="451" t="s">
        <v>12</v>
      </c>
      <c r="K97" s="41" t="s">
        <v>5</v>
      </c>
      <c r="L97" s="451" t="s">
        <v>12</v>
      </c>
      <c r="M97" s="140" t="s">
        <v>6</v>
      </c>
      <c r="N97" s="451" t="s">
        <v>12</v>
      </c>
      <c r="O97" s="39" t="s">
        <v>64</v>
      </c>
      <c r="P97" s="451" t="s">
        <v>12</v>
      </c>
      <c r="Q97" s="39" t="s">
        <v>101</v>
      </c>
      <c r="R97" s="39" t="s">
        <v>100</v>
      </c>
      <c r="S97" s="39" t="s">
        <v>7</v>
      </c>
      <c r="T97" s="39" t="s">
        <v>8</v>
      </c>
      <c r="U97" s="39" t="s">
        <v>9</v>
      </c>
      <c r="V97" s="41" t="s">
        <v>142</v>
      </c>
      <c r="W97" s="39" t="s">
        <v>143</v>
      </c>
      <c r="X97" s="39" t="s">
        <v>150</v>
      </c>
      <c r="Y97" s="39" t="s">
        <v>138</v>
      </c>
      <c r="Z97" s="39" t="s">
        <v>144</v>
      </c>
      <c r="AA97" s="39" t="s">
        <v>145</v>
      </c>
      <c r="AB97" s="39" t="s">
        <v>146</v>
      </c>
      <c r="AC97" s="39" t="s">
        <v>147</v>
      </c>
      <c r="AD97" s="39" t="s">
        <v>149</v>
      </c>
      <c r="AE97" s="42" t="s">
        <v>142</v>
      </c>
      <c r="AF97" s="39" t="s">
        <v>143</v>
      </c>
      <c r="AG97" s="39" t="s">
        <v>151</v>
      </c>
      <c r="AH97" s="39" t="s">
        <v>138</v>
      </c>
      <c r="AI97" s="39" t="s">
        <v>144</v>
      </c>
      <c r="AJ97" s="39" t="s">
        <v>145</v>
      </c>
      <c r="AK97" s="39" t="s">
        <v>146</v>
      </c>
      <c r="AL97" s="39" t="s">
        <v>147</v>
      </c>
      <c r="AM97" s="138" t="s">
        <v>148</v>
      </c>
      <c r="AN97" s="40" t="s">
        <v>117</v>
      </c>
    </row>
    <row r="98" spans="1:40" ht="23.25" customHeight="1">
      <c r="A98" s="85" t="s">
        <v>2</v>
      </c>
      <c r="B98" s="414">
        <f>D94+D58</f>
        <v>29663.75</v>
      </c>
      <c r="C98" s="414"/>
      <c r="D98" s="415"/>
      <c r="E98" s="92">
        <f>X98/B98</f>
        <v>0</v>
      </c>
      <c r="F98" s="95" t="s">
        <v>3</v>
      </c>
      <c r="G98" s="30">
        <f>G58+G94</f>
        <v>140485.96566523603</v>
      </c>
      <c r="H98" s="403"/>
      <c r="I98" s="30">
        <f>I58+I94</f>
        <v>213696.24463519308</v>
      </c>
      <c r="J98" s="403"/>
      <c r="K98" s="30">
        <f>K58+K94</f>
        <v>0</v>
      </c>
      <c r="L98" s="403"/>
      <c r="M98" s="30">
        <f>M58+M94</f>
        <v>146774.10810810811</v>
      </c>
      <c r="N98" s="403"/>
      <c r="O98" s="30">
        <f>O58</f>
        <v>0</v>
      </c>
      <c r="P98" s="403"/>
      <c r="Q98" s="30">
        <f>Q58+Q94</f>
        <v>0</v>
      </c>
      <c r="R98" s="30">
        <f>R94+R58</f>
        <v>0</v>
      </c>
      <c r="S98" s="30">
        <f>S58+S94</f>
        <v>116744.69</v>
      </c>
      <c r="T98" s="30">
        <f>T58+T94</f>
        <v>74212.5</v>
      </c>
      <c r="U98" s="30">
        <f>U58+U94</f>
        <v>20832.82</v>
      </c>
      <c r="V98" s="31">
        <f>V58+V94</f>
        <v>80448.184412519855</v>
      </c>
      <c r="W98" s="30">
        <f>W58+W94</f>
        <v>122379.15094930981</v>
      </c>
      <c r="X98" s="30">
        <f>X58</f>
        <v>0</v>
      </c>
      <c r="Y98" s="30">
        <f t="shared" ref="Y98:AF98" si="27">Y58+Y94</f>
        <v>0</v>
      </c>
      <c r="Z98" s="30">
        <f t="shared" si="27"/>
        <v>-2.9013300000000002</v>
      </c>
      <c r="AA98" s="30">
        <f t="shared" si="27"/>
        <v>60590.49411</v>
      </c>
      <c r="AB98" s="30">
        <f t="shared" si="27"/>
        <v>38516.287499999999</v>
      </c>
      <c r="AC98" s="30">
        <f t="shared" si="27"/>
        <v>10812.233580000002</v>
      </c>
      <c r="AD98" s="69">
        <f t="shared" si="27"/>
        <v>384656.58145126718</v>
      </c>
      <c r="AE98" s="33">
        <f t="shared" si="27"/>
        <v>52002.567795705574</v>
      </c>
      <c r="AF98" s="30">
        <f t="shared" si="27"/>
        <v>79119.578562579758</v>
      </c>
      <c r="AG98" s="30">
        <f>AG58</f>
        <v>0</v>
      </c>
      <c r="AH98" s="30">
        <f t="shared" ref="AH98:AM98" si="28">AH58+AH94</f>
        <v>0</v>
      </c>
      <c r="AI98" s="30">
        <f t="shared" si="28"/>
        <v>-2.9013300000000002</v>
      </c>
      <c r="AJ98" s="30">
        <f t="shared" si="28"/>
        <v>27201.512769999998</v>
      </c>
      <c r="AK98" s="30">
        <f t="shared" si="28"/>
        <v>17291.512499999997</v>
      </c>
      <c r="AL98" s="30">
        <f t="shared" si="28"/>
        <v>4854.047059999999</v>
      </c>
      <c r="AM98" s="69">
        <f t="shared" si="28"/>
        <v>217009.39607184782</v>
      </c>
      <c r="AN98" s="70">
        <f>AM98/B98</f>
        <v>7.3156426976308735</v>
      </c>
    </row>
    <row r="99" spans="1:40">
      <c r="A99" s="71"/>
      <c r="B99" s="72"/>
      <c r="C99" s="73"/>
      <c r="D99" s="73"/>
      <c r="E99" s="73"/>
      <c r="F99" s="73"/>
      <c r="G99" s="73"/>
      <c r="H99" s="73"/>
      <c r="I99" s="73"/>
      <c r="J99" s="73"/>
      <c r="K99" s="73"/>
      <c r="L99" s="73"/>
      <c r="M99" s="73"/>
      <c r="N99" s="73"/>
      <c r="O99" s="73"/>
      <c r="P99" s="73"/>
      <c r="Q99" s="73"/>
      <c r="R99" s="73"/>
      <c r="S99" s="73"/>
      <c r="T99" s="73"/>
      <c r="U99" s="73"/>
      <c r="V99" s="73"/>
      <c r="W99" s="73"/>
      <c r="X99" s="73"/>
      <c r="Y99" s="73"/>
      <c r="Z99" s="73"/>
      <c r="AA99" s="73"/>
      <c r="AB99" s="73"/>
      <c r="AC99" s="73"/>
      <c r="AF99" s="79"/>
      <c r="AG99" s="79"/>
      <c r="AH99" s="79"/>
      <c r="AI99" s="79"/>
      <c r="AJ99" s="79"/>
      <c r="AK99" s="79"/>
      <c r="AL99" s="79"/>
      <c r="AM99" s="79"/>
      <c r="AN99" s="79"/>
    </row>
    <row r="100" spans="1:40">
      <c r="A100" s="71"/>
      <c r="B100" s="72"/>
      <c r="C100" s="73"/>
      <c r="D100" s="73"/>
      <c r="E100" s="73"/>
      <c r="F100" s="73"/>
      <c r="G100" s="73"/>
      <c r="H100" s="73"/>
      <c r="I100" s="73"/>
      <c r="J100" s="73"/>
      <c r="K100" s="73"/>
      <c r="L100" s="73"/>
      <c r="M100" s="73"/>
      <c r="N100" s="73"/>
      <c r="O100" s="73"/>
      <c r="P100" s="73"/>
      <c r="Q100" s="73"/>
      <c r="R100" s="73"/>
      <c r="S100" s="73"/>
      <c r="T100" s="73"/>
      <c r="U100" s="73"/>
      <c r="V100" s="73"/>
      <c r="W100" s="73"/>
      <c r="X100" s="73"/>
      <c r="Y100" s="73"/>
      <c r="Z100" s="73"/>
      <c r="AA100" s="73"/>
      <c r="AB100" s="73"/>
      <c r="AC100" s="74"/>
      <c r="AF100" s="79"/>
      <c r="AG100" s="79"/>
      <c r="AH100" s="79"/>
      <c r="AI100" s="79"/>
      <c r="AJ100" s="79"/>
      <c r="AK100" s="79"/>
      <c r="AL100" s="79"/>
      <c r="AM100" s="79"/>
      <c r="AN100" s="79"/>
    </row>
    <row r="101" spans="1:40">
      <c r="A101" s="71"/>
      <c r="B101" s="72"/>
      <c r="C101" s="73"/>
      <c r="D101" s="73"/>
      <c r="E101" s="73"/>
      <c r="F101" s="73"/>
      <c r="G101" s="73"/>
      <c r="H101" s="73"/>
      <c r="I101" s="73"/>
      <c r="J101" s="73"/>
      <c r="K101" s="73"/>
      <c r="L101" s="73"/>
      <c r="M101" s="73"/>
      <c r="N101" s="73"/>
      <c r="O101" s="73"/>
      <c r="P101" s="73"/>
      <c r="Q101" s="73"/>
      <c r="R101" s="73"/>
      <c r="S101" s="73"/>
      <c r="T101" s="73"/>
      <c r="U101" s="73"/>
      <c r="V101" s="73"/>
      <c r="W101" s="73"/>
      <c r="X101" s="73"/>
      <c r="Y101" s="73"/>
      <c r="Z101" s="73"/>
      <c r="AA101" s="73"/>
      <c r="AB101" s="73"/>
      <c r="AC101" s="73"/>
      <c r="AF101" s="79"/>
      <c r="AG101" s="79"/>
      <c r="AH101" s="79"/>
      <c r="AI101" s="79"/>
      <c r="AJ101" s="79"/>
      <c r="AK101" s="79"/>
      <c r="AL101" s="79"/>
      <c r="AM101" s="79"/>
      <c r="AN101" s="79"/>
    </row>
    <row r="102" spans="1:40">
      <c r="A102" s="71"/>
      <c r="B102" s="72"/>
      <c r="C102" s="73"/>
      <c r="D102" s="73"/>
      <c r="E102" s="73"/>
      <c r="F102" s="73"/>
      <c r="G102" s="73"/>
      <c r="H102" s="73"/>
      <c r="I102" s="73"/>
      <c r="J102" s="73"/>
      <c r="K102" s="73"/>
      <c r="L102" s="73"/>
      <c r="M102" s="73"/>
      <c r="N102" s="73"/>
      <c r="O102" s="73"/>
      <c r="P102" s="73"/>
      <c r="Q102" s="73"/>
      <c r="R102" s="73"/>
      <c r="S102" s="73"/>
      <c r="T102" s="73"/>
      <c r="U102" s="73"/>
      <c r="V102" s="73"/>
      <c r="W102" s="73"/>
      <c r="X102" s="73"/>
      <c r="Y102" s="73"/>
      <c r="Z102" s="73"/>
      <c r="AA102" s="73"/>
      <c r="AB102" s="73"/>
      <c r="AC102" s="73"/>
      <c r="AF102" s="79"/>
      <c r="AG102" s="79"/>
      <c r="AH102" s="79"/>
      <c r="AI102" s="79"/>
      <c r="AJ102" s="79"/>
      <c r="AK102" s="79"/>
      <c r="AL102" s="79"/>
      <c r="AM102" s="79"/>
      <c r="AN102" s="79"/>
    </row>
    <row r="103" spans="1:40">
      <c r="A103" s="71"/>
      <c r="B103" s="72"/>
      <c r="C103" s="73"/>
      <c r="D103" s="73"/>
      <c r="E103" s="73"/>
      <c r="F103" s="73"/>
      <c r="G103" s="73"/>
      <c r="H103" s="73"/>
      <c r="I103" s="73"/>
      <c r="J103" s="73"/>
      <c r="K103" s="73"/>
      <c r="L103" s="73"/>
      <c r="M103" s="73"/>
      <c r="N103" s="73"/>
      <c r="O103" s="73"/>
      <c r="P103" s="73"/>
      <c r="Q103" s="73"/>
      <c r="R103" s="73"/>
      <c r="S103" s="73"/>
      <c r="T103" s="73"/>
      <c r="U103" s="73"/>
      <c r="V103" s="73"/>
      <c r="W103" s="73"/>
      <c r="X103" s="73"/>
      <c r="Y103" s="73"/>
      <c r="Z103" s="73"/>
      <c r="AA103" s="73"/>
      <c r="AB103" s="73"/>
      <c r="AC103" s="73"/>
      <c r="AF103" s="79"/>
      <c r="AG103" s="79"/>
      <c r="AH103" s="79"/>
      <c r="AI103" s="79"/>
      <c r="AJ103" s="79"/>
      <c r="AK103" s="79"/>
      <c r="AL103" s="79"/>
      <c r="AM103" s="79"/>
      <c r="AN103" s="79"/>
    </row>
    <row r="104" spans="1:40">
      <c r="A104" s="71"/>
      <c r="B104" s="72"/>
      <c r="C104" s="73"/>
      <c r="D104" s="73"/>
      <c r="E104" s="73"/>
      <c r="F104" s="73"/>
      <c r="G104" s="73"/>
      <c r="H104" s="73"/>
      <c r="I104" s="73"/>
      <c r="J104" s="73"/>
      <c r="K104" s="73"/>
      <c r="L104" s="73"/>
      <c r="M104" s="73"/>
      <c r="N104" s="73"/>
      <c r="O104" s="73"/>
      <c r="P104" s="73"/>
      <c r="Q104" s="73"/>
      <c r="R104" s="73"/>
      <c r="S104" s="73"/>
      <c r="T104" s="73"/>
      <c r="U104" s="73"/>
      <c r="V104" s="73"/>
      <c r="W104" s="73"/>
      <c r="X104" s="73"/>
      <c r="Y104" s="73"/>
      <c r="Z104" s="73"/>
      <c r="AA104" s="73"/>
      <c r="AB104" s="73"/>
      <c r="AC104" s="73"/>
      <c r="AF104" s="79"/>
      <c r="AG104" s="79"/>
      <c r="AH104" s="79"/>
      <c r="AI104" s="79"/>
      <c r="AJ104" s="79"/>
      <c r="AK104" s="79"/>
      <c r="AL104" s="79"/>
      <c r="AM104" s="79"/>
      <c r="AN104" s="79"/>
    </row>
    <row r="105" spans="1:40">
      <c r="A105" s="71"/>
      <c r="B105" s="72"/>
      <c r="C105" s="73"/>
      <c r="D105" s="73"/>
      <c r="E105" s="73"/>
      <c r="F105" s="73"/>
      <c r="G105" s="73"/>
      <c r="H105" s="73"/>
      <c r="I105" s="73"/>
      <c r="J105" s="73"/>
      <c r="K105" s="73"/>
      <c r="L105" s="73"/>
      <c r="M105" s="73"/>
      <c r="N105" s="73"/>
      <c r="O105" s="73"/>
      <c r="P105" s="73"/>
      <c r="Q105" s="73"/>
      <c r="R105" s="73"/>
      <c r="S105" s="73"/>
      <c r="T105" s="73"/>
      <c r="U105" s="73"/>
      <c r="V105" s="73"/>
      <c r="W105" s="73"/>
      <c r="X105" s="73"/>
      <c r="Y105" s="73"/>
      <c r="Z105" s="73"/>
      <c r="AA105" s="73"/>
      <c r="AB105" s="73"/>
      <c r="AC105" s="73"/>
      <c r="AF105" s="79"/>
      <c r="AG105" s="79"/>
      <c r="AH105" s="79"/>
      <c r="AI105" s="79"/>
      <c r="AJ105" s="79"/>
      <c r="AK105" s="79"/>
      <c r="AL105" s="79"/>
      <c r="AM105" s="79"/>
      <c r="AN105" s="79"/>
    </row>
    <row r="106" spans="1:40">
      <c r="A106" s="71"/>
      <c r="B106" s="72"/>
      <c r="C106" s="73"/>
      <c r="D106" s="73"/>
      <c r="E106" s="73"/>
      <c r="F106" s="73"/>
      <c r="G106" s="73"/>
      <c r="H106" s="73"/>
      <c r="I106" s="73"/>
      <c r="J106" s="73"/>
      <c r="K106" s="73"/>
      <c r="L106" s="73"/>
      <c r="M106" s="73"/>
      <c r="N106" s="73"/>
      <c r="O106" s="73"/>
      <c r="P106" s="73"/>
      <c r="Q106" s="73"/>
      <c r="R106" s="73"/>
      <c r="S106" s="73"/>
      <c r="T106" s="73"/>
      <c r="U106" s="73"/>
      <c r="V106" s="73"/>
      <c r="W106" s="73"/>
      <c r="X106" s="73"/>
      <c r="Y106" s="73"/>
      <c r="Z106" s="73"/>
      <c r="AA106" s="73"/>
      <c r="AB106" s="73"/>
      <c r="AC106" s="73"/>
      <c r="AF106" s="79"/>
      <c r="AG106" s="79"/>
      <c r="AH106" s="79"/>
      <c r="AI106" s="79"/>
      <c r="AJ106" s="79"/>
      <c r="AK106" s="79"/>
      <c r="AL106" s="79"/>
      <c r="AM106" s="79"/>
      <c r="AN106" s="79"/>
    </row>
    <row r="107" spans="1:40">
      <c r="A107" s="71"/>
      <c r="B107" s="72"/>
      <c r="C107" s="73"/>
      <c r="D107" s="73"/>
      <c r="E107" s="73"/>
      <c r="F107" s="73"/>
      <c r="G107" s="73"/>
      <c r="H107" s="73"/>
      <c r="I107" s="73"/>
      <c r="J107" s="73"/>
      <c r="K107" s="73"/>
      <c r="L107" s="73"/>
      <c r="M107" s="73"/>
      <c r="N107" s="73"/>
      <c r="O107" s="73"/>
      <c r="P107" s="73"/>
      <c r="Q107" s="73"/>
      <c r="R107" s="73"/>
      <c r="S107" s="73"/>
      <c r="T107" s="73"/>
      <c r="U107" s="73"/>
      <c r="V107" s="73"/>
      <c r="W107" s="73"/>
      <c r="X107" s="73"/>
      <c r="Y107" s="73"/>
      <c r="Z107" s="73"/>
      <c r="AA107" s="73"/>
      <c r="AB107" s="73"/>
      <c r="AC107" s="73"/>
      <c r="AF107" s="79"/>
      <c r="AG107" s="79"/>
      <c r="AH107" s="79"/>
      <c r="AI107" s="79"/>
      <c r="AJ107" s="79"/>
      <c r="AK107" s="79"/>
      <c r="AL107" s="79"/>
      <c r="AM107" s="79"/>
      <c r="AN107" s="79"/>
    </row>
    <row r="108" spans="1:40">
      <c r="A108" s="71"/>
      <c r="B108" s="72"/>
      <c r="C108" s="73"/>
      <c r="D108" s="73"/>
      <c r="E108" s="73"/>
      <c r="F108" s="73"/>
      <c r="G108" s="73"/>
      <c r="H108" s="73"/>
      <c r="I108" s="73"/>
      <c r="J108" s="73"/>
      <c r="K108" s="73"/>
      <c r="L108" s="73"/>
      <c r="M108" s="73"/>
      <c r="N108" s="73"/>
      <c r="O108" s="73"/>
      <c r="P108" s="73"/>
      <c r="Q108" s="73"/>
      <c r="R108" s="73"/>
      <c r="S108" s="73"/>
      <c r="T108" s="73"/>
      <c r="U108" s="73"/>
      <c r="V108" s="73"/>
      <c r="W108" s="73"/>
      <c r="X108" s="73"/>
      <c r="Y108" s="73"/>
      <c r="Z108" s="73"/>
      <c r="AA108" s="73"/>
      <c r="AB108" s="73"/>
      <c r="AC108" s="73"/>
      <c r="AF108" s="79"/>
      <c r="AG108" s="79"/>
      <c r="AH108" s="79"/>
      <c r="AI108" s="79"/>
      <c r="AJ108" s="79"/>
      <c r="AK108" s="79"/>
      <c r="AL108" s="79"/>
      <c r="AM108" s="79"/>
      <c r="AN108" s="79"/>
    </row>
    <row r="109" spans="1:40">
      <c r="A109" s="71"/>
      <c r="B109" s="72"/>
      <c r="C109" s="73"/>
      <c r="D109" s="73"/>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F109" s="79"/>
      <c r="AG109" s="79"/>
      <c r="AH109" s="79"/>
      <c r="AI109" s="79"/>
      <c r="AJ109" s="79"/>
      <c r="AK109" s="79"/>
      <c r="AL109" s="79"/>
      <c r="AM109" s="79"/>
      <c r="AN109" s="79"/>
    </row>
    <row r="110" spans="1:40">
      <c r="A110" s="71"/>
      <c r="B110" s="72"/>
      <c r="C110" s="73"/>
      <c r="D110" s="73"/>
      <c r="E110" s="73"/>
      <c r="F110" s="73"/>
      <c r="G110" s="73"/>
      <c r="H110" s="73"/>
      <c r="I110" s="73"/>
      <c r="J110" s="73"/>
      <c r="K110" s="73"/>
      <c r="L110" s="73"/>
      <c r="M110" s="73"/>
      <c r="N110" s="73"/>
      <c r="O110" s="73"/>
      <c r="P110" s="73"/>
      <c r="Q110" s="73"/>
      <c r="R110" s="73"/>
      <c r="S110" s="73"/>
      <c r="T110" s="73"/>
      <c r="U110" s="73"/>
      <c r="V110" s="73"/>
      <c r="W110" s="73"/>
      <c r="X110" s="73"/>
      <c r="Y110" s="73"/>
      <c r="Z110" s="73"/>
      <c r="AA110" s="73"/>
      <c r="AB110" s="73"/>
      <c r="AC110" s="73"/>
      <c r="AF110" s="79"/>
      <c r="AG110" s="79"/>
      <c r="AH110" s="79"/>
      <c r="AI110" s="79"/>
      <c r="AJ110" s="79"/>
      <c r="AK110" s="79"/>
      <c r="AL110" s="79"/>
      <c r="AM110" s="79"/>
      <c r="AN110" s="79"/>
    </row>
    <row r="111" spans="1:40">
      <c r="A111" s="71"/>
      <c r="B111" s="72"/>
      <c r="C111" s="73"/>
      <c r="D111" s="73"/>
      <c r="E111" s="73"/>
      <c r="F111" s="73"/>
      <c r="G111" s="73"/>
      <c r="H111" s="73"/>
      <c r="I111" s="73"/>
      <c r="J111" s="73"/>
      <c r="K111" s="73"/>
      <c r="L111" s="73"/>
      <c r="M111" s="73"/>
      <c r="N111" s="73"/>
      <c r="O111" s="73"/>
      <c r="P111" s="73"/>
      <c r="Q111" s="73"/>
      <c r="R111" s="73"/>
      <c r="S111" s="73"/>
      <c r="T111" s="73"/>
      <c r="U111" s="73"/>
      <c r="V111" s="73"/>
      <c r="W111" s="73"/>
      <c r="X111" s="73"/>
      <c r="Y111" s="73"/>
      <c r="Z111" s="73"/>
      <c r="AA111" s="73"/>
      <c r="AB111" s="73"/>
      <c r="AC111" s="73"/>
      <c r="AF111" s="79"/>
      <c r="AG111" s="79"/>
      <c r="AH111" s="79"/>
      <c r="AI111" s="79"/>
      <c r="AJ111" s="79"/>
      <c r="AK111" s="79"/>
      <c r="AL111" s="79"/>
      <c r="AM111" s="79"/>
      <c r="AN111" s="79"/>
    </row>
    <row r="112" spans="1:40">
      <c r="A112" s="71"/>
      <c r="B112" s="72"/>
      <c r="C112" s="73"/>
      <c r="D112" s="73"/>
      <c r="E112" s="73"/>
      <c r="F112" s="73"/>
      <c r="G112" s="73"/>
      <c r="H112" s="73"/>
      <c r="I112" s="73"/>
      <c r="J112" s="73"/>
      <c r="K112" s="73"/>
      <c r="L112" s="73"/>
      <c r="M112" s="73"/>
      <c r="N112" s="73"/>
      <c r="O112" s="73"/>
      <c r="P112" s="73"/>
      <c r="Q112" s="73"/>
      <c r="R112" s="73"/>
      <c r="S112" s="73"/>
      <c r="T112" s="73"/>
      <c r="U112" s="73"/>
      <c r="V112" s="73"/>
      <c r="W112" s="73"/>
      <c r="X112" s="73"/>
      <c r="Y112" s="73"/>
      <c r="Z112" s="73"/>
      <c r="AA112" s="73"/>
      <c r="AB112" s="73"/>
      <c r="AC112" s="73"/>
      <c r="AF112" s="79"/>
      <c r="AG112" s="79"/>
      <c r="AH112" s="79"/>
      <c r="AI112" s="79"/>
      <c r="AJ112" s="79"/>
      <c r="AK112" s="79"/>
      <c r="AL112" s="79"/>
      <c r="AM112" s="79"/>
      <c r="AN112" s="79"/>
    </row>
    <row r="113" spans="1:40">
      <c r="A113" s="71"/>
      <c r="B113" s="72"/>
      <c r="C113" s="73"/>
      <c r="D113" s="73"/>
      <c r="E113" s="73"/>
      <c r="F113" s="73"/>
      <c r="G113" s="73"/>
      <c r="H113" s="73"/>
      <c r="I113" s="73"/>
      <c r="J113" s="73"/>
      <c r="K113" s="73"/>
      <c r="L113" s="73"/>
      <c r="M113" s="73"/>
      <c r="N113" s="73"/>
      <c r="O113" s="73"/>
      <c r="P113" s="73"/>
      <c r="Q113" s="73"/>
      <c r="R113" s="73"/>
      <c r="S113" s="73"/>
      <c r="T113" s="73"/>
      <c r="U113" s="73"/>
      <c r="V113" s="73"/>
      <c r="W113" s="73"/>
      <c r="X113" s="73"/>
      <c r="Y113" s="73"/>
      <c r="Z113" s="73"/>
      <c r="AA113" s="73"/>
      <c r="AB113" s="73"/>
      <c r="AC113" s="73"/>
      <c r="AF113" s="79"/>
      <c r="AG113" s="79"/>
      <c r="AH113" s="79"/>
      <c r="AI113" s="79"/>
      <c r="AJ113" s="79"/>
      <c r="AK113" s="79"/>
      <c r="AL113" s="79"/>
      <c r="AM113" s="79"/>
      <c r="AN113" s="79"/>
    </row>
    <row r="114" spans="1:40">
      <c r="A114" s="71"/>
      <c r="B114" s="72"/>
      <c r="C114" s="73"/>
      <c r="D114" s="73"/>
      <c r="E114" s="73"/>
      <c r="F114" s="73"/>
      <c r="G114" s="73"/>
      <c r="H114" s="73"/>
      <c r="I114" s="73"/>
      <c r="J114" s="73"/>
      <c r="K114" s="73"/>
      <c r="L114" s="73"/>
      <c r="M114" s="73"/>
      <c r="N114" s="73"/>
      <c r="O114" s="73"/>
      <c r="P114" s="73"/>
      <c r="Q114" s="73"/>
      <c r="R114" s="73"/>
      <c r="S114" s="73"/>
      <c r="T114" s="73"/>
      <c r="U114" s="73"/>
      <c r="V114" s="73"/>
      <c r="W114" s="73"/>
      <c r="X114" s="73"/>
      <c r="Y114" s="73"/>
      <c r="Z114" s="73"/>
      <c r="AA114" s="73"/>
      <c r="AB114" s="73"/>
      <c r="AC114" s="73"/>
      <c r="AF114" s="79"/>
      <c r="AG114" s="79"/>
      <c r="AH114" s="79"/>
      <c r="AI114" s="79"/>
      <c r="AJ114" s="79"/>
      <c r="AK114" s="79"/>
      <c r="AL114" s="79"/>
      <c r="AM114" s="79"/>
      <c r="AN114" s="79"/>
    </row>
    <row r="115" spans="1:40">
      <c r="A115" s="71"/>
      <c r="B115" s="72"/>
      <c r="C115" s="73"/>
      <c r="D115" s="73"/>
      <c r="E115" s="73"/>
      <c r="F115" s="73"/>
      <c r="G115" s="73"/>
      <c r="H115" s="73"/>
      <c r="I115" s="73"/>
      <c r="J115" s="73"/>
      <c r="K115" s="73"/>
      <c r="L115" s="73"/>
      <c r="M115" s="73"/>
      <c r="N115" s="73"/>
      <c r="O115" s="73"/>
      <c r="P115" s="73"/>
      <c r="Q115" s="73"/>
      <c r="R115" s="73"/>
      <c r="S115" s="73"/>
      <c r="T115" s="73"/>
      <c r="U115" s="73"/>
      <c r="V115" s="73"/>
      <c r="W115" s="73"/>
      <c r="X115" s="73"/>
      <c r="Y115" s="73"/>
      <c r="Z115" s="73"/>
      <c r="AA115" s="73"/>
      <c r="AB115" s="73"/>
      <c r="AC115" s="73"/>
      <c r="AF115" s="79"/>
      <c r="AG115" s="79"/>
      <c r="AH115" s="79"/>
      <c r="AI115" s="79"/>
      <c r="AJ115" s="79"/>
      <c r="AK115" s="79"/>
      <c r="AL115" s="79"/>
      <c r="AM115" s="79"/>
      <c r="AN115" s="79"/>
    </row>
    <row r="116" spans="1:40">
      <c r="A116" s="71"/>
      <c r="B116" s="72"/>
      <c r="C116" s="73"/>
      <c r="D116" s="73"/>
      <c r="E116" s="73"/>
      <c r="F116" s="73"/>
      <c r="G116" s="73"/>
      <c r="H116" s="73"/>
      <c r="I116" s="73"/>
      <c r="J116" s="73"/>
      <c r="K116" s="73"/>
      <c r="L116" s="73"/>
      <c r="M116" s="73"/>
      <c r="N116" s="73"/>
      <c r="O116" s="73"/>
      <c r="P116" s="73"/>
      <c r="Q116" s="73"/>
      <c r="R116" s="73"/>
      <c r="S116" s="73"/>
      <c r="T116" s="73"/>
      <c r="U116" s="73"/>
      <c r="V116" s="73"/>
      <c r="W116" s="73"/>
      <c r="X116" s="73"/>
      <c r="Y116" s="73"/>
      <c r="Z116" s="73"/>
      <c r="AA116" s="73"/>
      <c r="AB116" s="73"/>
      <c r="AC116" s="73"/>
      <c r="AF116" s="79"/>
      <c r="AG116" s="79"/>
      <c r="AH116" s="79"/>
      <c r="AI116" s="79"/>
      <c r="AJ116" s="79"/>
      <c r="AK116" s="79"/>
      <c r="AL116" s="79"/>
      <c r="AM116" s="79"/>
      <c r="AN116" s="79"/>
    </row>
    <row r="117" spans="1:40">
      <c r="A117" s="71"/>
      <c r="B117" s="72"/>
      <c r="C117" s="73"/>
      <c r="D117" s="73"/>
      <c r="E117" s="73"/>
      <c r="F117" s="73"/>
      <c r="G117" s="73"/>
      <c r="H117" s="73"/>
      <c r="I117" s="73"/>
      <c r="J117" s="73"/>
      <c r="K117" s="73"/>
      <c r="L117" s="73"/>
      <c r="M117" s="73"/>
      <c r="N117" s="73"/>
      <c r="O117" s="73"/>
      <c r="P117" s="73"/>
      <c r="Q117" s="73"/>
      <c r="R117" s="73"/>
      <c r="S117" s="73"/>
      <c r="T117" s="73"/>
      <c r="U117" s="73"/>
      <c r="V117" s="73"/>
      <c r="W117" s="73"/>
      <c r="X117" s="73"/>
      <c r="Y117" s="73"/>
      <c r="Z117" s="73"/>
      <c r="AA117" s="73"/>
      <c r="AB117" s="73"/>
      <c r="AC117" s="73"/>
      <c r="AF117" s="79"/>
      <c r="AG117" s="79"/>
      <c r="AH117" s="79"/>
      <c r="AI117" s="79"/>
      <c r="AJ117" s="79"/>
      <c r="AK117" s="79"/>
      <c r="AL117" s="79"/>
      <c r="AM117" s="79"/>
      <c r="AN117" s="79"/>
    </row>
    <row r="118" spans="1:40">
      <c r="A118" s="71"/>
      <c r="B118" s="72"/>
      <c r="C118" s="73"/>
      <c r="D118" s="73"/>
      <c r="E118" s="73"/>
      <c r="F118" s="73"/>
      <c r="G118" s="73"/>
      <c r="H118" s="73"/>
      <c r="I118" s="73"/>
      <c r="J118" s="73"/>
      <c r="K118" s="73"/>
      <c r="L118" s="73"/>
      <c r="M118" s="73"/>
      <c r="N118" s="73"/>
      <c r="O118" s="73"/>
      <c r="P118" s="73"/>
      <c r="Q118" s="73"/>
      <c r="R118" s="73"/>
      <c r="S118" s="73"/>
      <c r="T118" s="73"/>
      <c r="U118" s="73"/>
      <c r="V118" s="73"/>
      <c r="W118" s="73"/>
      <c r="X118" s="73"/>
      <c r="Y118" s="73"/>
      <c r="Z118" s="73"/>
      <c r="AA118" s="73"/>
      <c r="AB118" s="73"/>
      <c r="AC118" s="73"/>
      <c r="AF118" s="79"/>
      <c r="AG118" s="79"/>
      <c r="AH118" s="79"/>
      <c r="AI118" s="79"/>
      <c r="AJ118" s="79"/>
      <c r="AK118" s="79"/>
      <c r="AL118" s="79"/>
      <c r="AM118" s="79"/>
      <c r="AN118" s="79"/>
    </row>
    <row r="119" spans="1:40">
      <c r="A119" s="71"/>
      <c r="B119" s="72"/>
      <c r="C119" s="73"/>
      <c r="D119" s="73"/>
      <c r="E119" s="73"/>
      <c r="F119" s="73"/>
      <c r="G119" s="73"/>
      <c r="H119" s="73"/>
      <c r="I119" s="73"/>
      <c r="J119" s="73"/>
      <c r="K119" s="73"/>
      <c r="L119" s="73"/>
      <c r="M119" s="73"/>
      <c r="N119" s="73"/>
      <c r="O119" s="73"/>
      <c r="P119" s="73"/>
      <c r="Q119" s="73"/>
      <c r="R119" s="73"/>
      <c r="S119" s="73"/>
      <c r="T119" s="73"/>
      <c r="U119" s="73"/>
      <c r="V119" s="73"/>
      <c r="W119" s="73"/>
      <c r="X119" s="73"/>
      <c r="Y119" s="73"/>
      <c r="Z119" s="73"/>
      <c r="AA119" s="73"/>
      <c r="AB119" s="73"/>
      <c r="AC119" s="73"/>
      <c r="AF119" s="79"/>
      <c r="AG119" s="79"/>
      <c r="AH119" s="79"/>
      <c r="AI119" s="79"/>
      <c r="AJ119" s="79"/>
      <c r="AK119" s="79"/>
      <c r="AL119" s="79"/>
      <c r="AM119" s="79"/>
      <c r="AN119" s="79"/>
    </row>
    <row r="120" spans="1:40">
      <c r="A120" s="71"/>
      <c r="B120" s="72"/>
      <c r="C120" s="73"/>
      <c r="D120" s="73"/>
      <c r="E120" s="73"/>
      <c r="F120" s="73"/>
      <c r="G120" s="73"/>
      <c r="H120" s="73"/>
      <c r="I120" s="73"/>
      <c r="J120" s="73"/>
      <c r="K120" s="73"/>
      <c r="L120" s="73"/>
      <c r="M120" s="73"/>
      <c r="N120" s="73"/>
      <c r="O120" s="73"/>
      <c r="P120" s="73"/>
      <c r="Q120" s="73"/>
      <c r="R120" s="73"/>
      <c r="S120" s="73"/>
      <c r="T120" s="73"/>
      <c r="U120" s="73"/>
      <c r="V120" s="73"/>
      <c r="W120" s="73"/>
      <c r="X120" s="73"/>
      <c r="Y120" s="73"/>
      <c r="Z120" s="73"/>
      <c r="AA120" s="73"/>
      <c r="AB120" s="73"/>
      <c r="AC120" s="73"/>
      <c r="AF120" s="79"/>
      <c r="AG120" s="79"/>
      <c r="AH120" s="79"/>
      <c r="AI120" s="79"/>
      <c r="AJ120" s="79"/>
      <c r="AK120" s="79"/>
      <c r="AL120" s="79"/>
      <c r="AM120" s="79"/>
      <c r="AN120" s="79"/>
    </row>
    <row r="121" spans="1:40">
      <c r="A121" s="71"/>
      <c r="B121" s="72"/>
      <c r="C121" s="73"/>
      <c r="D121" s="73"/>
      <c r="E121" s="73"/>
      <c r="F121" s="73"/>
      <c r="G121" s="73"/>
      <c r="H121" s="73"/>
      <c r="I121" s="73"/>
      <c r="J121" s="73"/>
      <c r="K121" s="73"/>
      <c r="L121" s="73"/>
      <c r="M121" s="73"/>
      <c r="N121" s="73"/>
      <c r="O121" s="73"/>
      <c r="P121" s="73"/>
      <c r="Q121" s="73"/>
      <c r="R121" s="73"/>
      <c r="S121" s="73"/>
      <c r="T121" s="73"/>
      <c r="U121" s="73"/>
      <c r="V121" s="73"/>
      <c r="W121" s="73"/>
      <c r="X121" s="73"/>
      <c r="Y121" s="73"/>
      <c r="Z121" s="73"/>
      <c r="AA121" s="73"/>
      <c r="AB121" s="73"/>
      <c r="AC121" s="73"/>
      <c r="AF121" s="79"/>
      <c r="AG121" s="79"/>
      <c r="AH121" s="79"/>
      <c r="AI121" s="79"/>
      <c r="AJ121" s="79"/>
      <c r="AK121" s="79"/>
      <c r="AL121" s="79"/>
      <c r="AM121" s="79"/>
      <c r="AN121" s="79"/>
    </row>
    <row r="122" spans="1:40">
      <c r="A122" s="71"/>
      <c r="B122" s="72"/>
      <c r="C122" s="73"/>
      <c r="D122" s="73"/>
      <c r="E122" s="73"/>
      <c r="F122" s="73"/>
      <c r="G122" s="73"/>
      <c r="H122" s="73"/>
      <c r="I122" s="73"/>
      <c r="J122" s="73"/>
      <c r="K122" s="73"/>
      <c r="L122" s="73"/>
      <c r="M122" s="73"/>
      <c r="N122" s="73"/>
      <c r="O122" s="73"/>
      <c r="P122" s="73"/>
      <c r="Q122" s="73"/>
      <c r="R122" s="73"/>
      <c r="S122" s="73"/>
      <c r="T122" s="73"/>
      <c r="U122" s="73"/>
      <c r="V122" s="73"/>
      <c r="W122" s="73"/>
      <c r="X122" s="73"/>
      <c r="Y122" s="73"/>
      <c r="Z122" s="73"/>
      <c r="AA122" s="73"/>
      <c r="AB122" s="73"/>
      <c r="AC122" s="73"/>
      <c r="AF122" s="79"/>
      <c r="AG122" s="79"/>
      <c r="AH122" s="79"/>
      <c r="AI122" s="79"/>
      <c r="AJ122" s="79"/>
      <c r="AK122" s="79"/>
      <c r="AL122" s="79"/>
      <c r="AM122" s="79"/>
      <c r="AN122" s="79"/>
    </row>
    <row r="123" spans="1:40">
      <c r="A123" s="71"/>
      <c r="B123" s="72"/>
      <c r="C123" s="73"/>
      <c r="D123" s="73"/>
      <c r="E123" s="73"/>
      <c r="F123" s="73"/>
      <c r="G123" s="73"/>
      <c r="H123" s="73"/>
      <c r="I123" s="73"/>
      <c r="J123" s="73"/>
      <c r="K123" s="73"/>
      <c r="L123" s="73"/>
      <c r="M123" s="73"/>
      <c r="N123" s="73"/>
      <c r="O123" s="73"/>
      <c r="P123" s="73"/>
      <c r="Q123" s="73"/>
      <c r="R123" s="73"/>
      <c r="S123" s="73"/>
      <c r="T123" s="73"/>
      <c r="U123" s="73"/>
      <c r="V123" s="73"/>
      <c r="W123" s="73"/>
      <c r="X123" s="73"/>
      <c r="Y123" s="73"/>
      <c r="Z123" s="73"/>
      <c r="AA123" s="73"/>
      <c r="AB123" s="73"/>
      <c r="AC123" s="73"/>
      <c r="AF123" s="79"/>
      <c r="AG123" s="79"/>
      <c r="AH123" s="79"/>
      <c r="AI123" s="79"/>
      <c r="AJ123" s="79"/>
      <c r="AK123" s="79"/>
      <c r="AL123" s="79"/>
      <c r="AM123" s="79"/>
      <c r="AN123" s="79"/>
    </row>
    <row r="124" spans="1:40">
      <c r="A124" s="71"/>
      <c r="B124" s="72"/>
      <c r="C124" s="73"/>
      <c r="D124" s="73"/>
      <c r="E124" s="73"/>
      <c r="F124" s="73"/>
      <c r="G124" s="73"/>
      <c r="H124" s="73"/>
      <c r="I124" s="73"/>
      <c r="J124" s="73"/>
      <c r="K124" s="73"/>
      <c r="L124" s="73"/>
      <c r="M124" s="73"/>
      <c r="N124" s="73"/>
      <c r="O124" s="73"/>
      <c r="P124" s="73"/>
      <c r="Q124" s="73"/>
      <c r="R124" s="73"/>
      <c r="S124" s="73"/>
      <c r="T124" s="73"/>
      <c r="U124" s="73"/>
      <c r="V124" s="73"/>
      <c r="W124" s="73"/>
      <c r="X124" s="73"/>
      <c r="Y124" s="73"/>
      <c r="Z124" s="73"/>
      <c r="AA124" s="73"/>
      <c r="AB124" s="73"/>
      <c r="AC124" s="73"/>
      <c r="AF124" s="79"/>
      <c r="AG124" s="79"/>
      <c r="AH124" s="79"/>
      <c r="AI124" s="79"/>
      <c r="AJ124" s="79"/>
      <c r="AK124" s="79"/>
      <c r="AL124" s="79"/>
      <c r="AM124" s="79"/>
      <c r="AN124" s="79"/>
    </row>
    <row r="125" spans="1:40">
      <c r="A125" s="71"/>
      <c r="B125" s="72"/>
      <c r="C125" s="73"/>
      <c r="D125" s="73"/>
      <c r="E125" s="73"/>
      <c r="F125" s="73"/>
      <c r="G125" s="73"/>
      <c r="H125" s="73"/>
      <c r="I125" s="73"/>
      <c r="J125" s="73"/>
      <c r="K125" s="73"/>
      <c r="L125" s="73"/>
      <c r="M125" s="73"/>
      <c r="N125" s="73"/>
      <c r="O125" s="73"/>
      <c r="P125" s="73"/>
      <c r="Q125" s="73"/>
      <c r="R125" s="73"/>
      <c r="S125" s="73"/>
      <c r="T125" s="73"/>
      <c r="U125" s="73"/>
      <c r="V125" s="73"/>
      <c r="W125" s="73"/>
      <c r="X125" s="73"/>
      <c r="Y125" s="73"/>
      <c r="Z125" s="73"/>
      <c r="AA125" s="73"/>
      <c r="AB125" s="73"/>
      <c r="AC125" s="73"/>
      <c r="AF125" s="79"/>
      <c r="AG125" s="79"/>
      <c r="AH125" s="79"/>
      <c r="AI125" s="79"/>
      <c r="AJ125" s="79"/>
      <c r="AK125" s="79"/>
      <c r="AL125" s="79"/>
      <c r="AM125" s="79"/>
      <c r="AN125" s="79"/>
    </row>
    <row r="126" spans="1:40">
      <c r="A126" s="71"/>
      <c r="B126" s="72"/>
      <c r="C126" s="73"/>
      <c r="D126" s="73"/>
      <c r="E126" s="73"/>
      <c r="F126" s="73"/>
      <c r="G126" s="73"/>
      <c r="H126" s="73"/>
      <c r="I126" s="73"/>
      <c r="J126" s="73"/>
      <c r="K126" s="73"/>
      <c r="L126" s="73"/>
      <c r="M126" s="73"/>
      <c r="N126" s="73"/>
      <c r="O126" s="73"/>
      <c r="P126" s="73"/>
      <c r="Q126" s="73"/>
      <c r="R126" s="73"/>
      <c r="S126" s="73"/>
      <c r="T126" s="73"/>
      <c r="U126" s="73"/>
      <c r="V126" s="73"/>
      <c r="W126" s="73"/>
      <c r="X126" s="73"/>
      <c r="Y126" s="73"/>
      <c r="Z126" s="73"/>
      <c r="AA126" s="73"/>
      <c r="AB126" s="73"/>
      <c r="AC126" s="73"/>
      <c r="AF126" s="79"/>
      <c r="AG126" s="79"/>
      <c r="AH126" s="79"/>
      <c r="AI126" s="79"/>
      <c r="AJ126" s="79"/>
      <c r="AK126" s="79"/>
      <c r="AL126" s="79"/>
      <c r="AM126" s="79"/>
      <c r="AN126" s="79"/>
    </row>
    <row r="127" spans="1:40">
      <c r="A127" s="71"/>
      <c r="B127" s="73"/>
      <c r="C127" s="73"/>
      <c r="D127" s="73"/>
      <c r="E127" s="73"/>
      <c r="F127" s="73"/>
      <c r="G127" s="73"/>
      <c r="H127" s="73"/>
      <c r="I127" s="73"/>
      <c r="J127" s="73"/>
      <c r="K127" s="73"/>
      <c r="L127" s="73"/>
      <c r="M127" s="73"/>
      <c r="N127" s="73"/>
      <c r="O127" s="73"/>
      <c r="P127" s="73"/>
      <c r="Q127" s="73"/>
      <c r="R127" s="73"/>
      <c r="S127" s="73"/>
      <c r="T127" s="73"/>
      <c r="U127" s="73"/>
      <c r="V127" s="73"/>
      <c r="W127" s="73"/>
      <c r="X127" s="73"/>
      <c r="Y127" s="73"/>
      <c r="Z127" s="73"/>
      <c r="AA127" s="73"/>
      <c r="AB127" s="73"/>
      <c r="AC127" s="73"/>
      <c r="AF127" s="79"/>
      <c r="AG127" s="79"/>
      <c r="AH127" s="79"/>
      <c r="AI127" s="79"/>
      <c r="AJ127" s="79"/>
      <c r="AK127" s="79"/>
      <c r="AL127" s="79"/>
      <c r="AM127" s="79"/>
      <c r="AN127" s="79"/>
    </row>
    <row r="128" spans="1:40">
      <c r="A128" s="71"/>
      <c r="B128" s="72"/>
      <c r="C128" s="73"/>
      <c r="D128" s="73"/>
      <c r="E128" s="73"/>
      <c r="F128" s="73"/>
      <c r="G128" s="73"/>
      <c r="H128" s="73"/>
      <c r="I128" s="73"/>
      <c r="J128" s="73"/>
      <c r="K128" s="73"/>
      <c r="L128" s="73"/>
      <c r="M128" s="73"/>
      <c r="N128" s="73"/>
      <c r="O128" s="73"/>
      <c r="P128" s="73"/>
      <c r="Q128" s="73"/>
      <c r="R128" s="73"/>
      <c r="S128" s="73"/>
      <c r="T128" s="73"/>
      <c r="U128" s="73"/>
      <c r="V128" s="73"/>
      <c r="W128" s="73"/>
      <c r="X128" s="73"/>
      <c r="Y128" s="73"/>
      <c r="Z128" s="73"/>
      <c r="AA128" s="73"/>
      <c r="AB128" s="73"/>
      <c r="AC128" s="73"/>
      <c r="AF128" s="79"/>
      <c r="AG128" s="79"/>
      <c r="AH128" s="79"/>
      <c r="AI128" s="79"/>
      <c r="AJ128" s="79"/>
      <c r="AK128" s="79"/>
      <c r="AL128" s="79"/>
      <c r="AM128" s="79"/>
      <c r="AN128" s="79"/>
    </row>
    <row r="131" spans="1:40">
      <c r="A131" s="75"/>
      <c r="B131" s="76"/>
      <c r="C131" s="76"/>
      <c r="D131" s="76"/>
      <c r="E131" s="76"/>
      <c r="F131" s="76"/>
      <c r="G131" s="76"/>
      <c r="H131" s="76"/>
      <c r="I131" s="76"/>
      <c r="J131" s="76"/>
      <c r="K131" s="76"/>
      <c r="L131" s="76"/>
      <c r="M131" s="76"/>
      <c r="N131" s="76"/>
      <c r="O131" s="76"/>
      <c r="P131" s="76"/>
      <c r="Q131" s="76"/>
      <c r="R131" s="76"/>
      <c r="S131" s="76"/>
      <c r="T131" s="76"/>
      <c r="U131" s="76"/>
      <c r="V131" s="76"/>
      <c r="W131" s="76"/>
      <c r="X131" s="76"/>
      <c r="Y131" s="76"/>
      <c r="Z131" s="76"/>
      <c r="AA131" s="76"/>
      <c r="AB131" s="76"/>
      <c r="AC131" s="76"/>
      <c r="AF131" s="76"/>
      <c r="AG131" s="76"/>
      <c r="AH131" s="76"/>
      <c r="AI131" s="76"/>
      <c r="AJ131" s="76"/>
      <c r="AK131" s="76"/>
      <c r="AL131" s="76"/>
      <c r="AM131" s="76"/>
      <c r="AN131" s="76"/>
    </row>
    <row r="132" spans="1:40">
      <c r="A132" s="75"/>
      <c r="B132" s="76"/>
      <c r="C132" s="76"/>
      <c r="D132" s="76"/>
      <c r="E132" s="76"/>
      <c r="F132" s="76"/>
      <c r="G132" s="76"/>
      <c r="H132" s="76"/>
      <c r="I132" s="76"/>
      <c r="J132" s="76"/>
      <c r="K132" s="76"/>
      <c r="L132" s="76"/>
      <c r="M132" s="76"/>
      <c r="N132" s="76"/>
      <c r="O132" s="76"/>
      <c r="P132" s="76"/>
      <c r="Q132" s="76"/>
      <c r="R132" s="76"/>
      <c r="S132" s="76"/>
      <c r="T132" s="76"/>
      <c r="U132" s="76"/>
      <c r="V132" s="76"/>
      <c r="W132" s="76"/>
      <c r="X132" s="76"/>
      <c r="Y132" s="76"/>
      <c r="Z132" s="76"/>
      <c r="AA132" s="76"/>
      <c r="AB132" s="76"/>
      <c r="AC132" s="76"/>
      <c r="AF132" s="76"/>
      <c r="AG132" s="76"/>
      <c r="AH132" s="76"/>
      <c r="AI132" s="76"/>
      <c r="AJ132" s="76"/>
      <c r="AK132" s="76"/>
      <c r="AL132" s="76"/>
      <c r="AM132" s="76"/>
      <c r="AN132" s="76"/>
    </row>
  </sheetData>
  <sheetProtection algorithmName="SHA-512" hashValue="AoWhbr+BObhsyunW0Q33s/xJSZ0cHGw22v7RYiWTjt+dBufeL8/Nbl2XjQZB9570pKBYHAlPdNEiSa14UzErSA==" saltValue="ysI3Nv4VWgG2b9B4bLezaQ==" spinCount="100000" sheet="1" objects="1" scenarios="1"/>
  <mergeCells count="75">
    <mergeCell ref="AE96:AN96"/>
    <mergeCell ref="A95:AN95"/>
    <mergeCell ref="A96:A97"/>
    <mergeCell ref="H97:H98"/>
    <mergeCell ref="J97:J98"/>
    <mergeCell ref="P97:P98"/>
    <mergeCell ref="G96:U96"/>
    <mergeCell ref="L97:L98"/>
    <mergeCell ref="N97:N98"/>
    <mergeCell ref="B98:D98"/>
    <mergeCell ref="B96:D97"/>
    <mergeCell ref="E96:E97"/>
    <mergeCell ref="F96:F97"/>
    <mergeCell ref="A1:S1"/>
    <mergeCell ref="G4:G5"/>
    <mergeCell ref="H4:H5"/>
    <mergeCell ref="I4:I5"/>
    <mergeCell ref="J4:J5"/>
    <mergeCell ref="L4:L5"/>
    <mergeCell ref="N4:N5"/>
    <mergeCell ref="E4:E5"/>
    <mergeCell ref="A2:AF2"/>
    <mergeCell ref="AE1:AN1"/>
    <mergeCell ref="AD4:AD5"/>
    <mergeCell ref="V1:AD1"/>
    <mergeCell ref="W4:W5"/>
    <mergeCell ref="AJ4:AJ5"/>
    <mergeCell ref="AH2:AN2"/>
    <mergeCell ref="S4:S5"/>
    <mergeCell ref="AE3:AN3"/>
    <mergeCell ref="AA4:AA5"/>
    <mergeCell ref="AB4:AB5"/>
    <mergeCell ref="AC4:AC5"/>
    <mergeCell ref="U4:U5"/>
    <mergeCell ref="V4:V5"/>
    <mergeCell ref="AL4:AL5"/>
    <mergeCell ref="AK4:AK5"/>
    <mergeCell ref="AN4:AN5"/>
    <mergeCell ref="AE4:AE5"/>
    <mergeCell ref="AF4:AF5"/>
    <mergeCell ref="AM4:AM5"/>
    <mergeCell ref="G3:U3"/>
    <mergeCell ref="V3:AD3"/>
    <mergeCell ref="AE60:AN60"/>
    <mergeCell ref="A60:A62"/>
    <mergeCell ref="G61:G62"/>
    <mergeCell ref="H61:H62"/>
    <mergeCell ref="I61:I62"/>
    <mergeCell ref="U61:U62"/>
    <mergeCell ref="J61:J62"/>
    <mergeCell ref="K61:K94"/>
    <mergeCell ref="G60:U60"/>
    <mergeCell ref="L61:L94"/>
    <mergeCell ref="M61:M94"/>
    <mergeCell ref="N61:N94"/>
    <mergeCell ref="S61:S62"/>
    <mergeCell ref="T61:T62"/>
    <mergeCell ref="O61:O94"/>
    <mergeCell ref="P61:P94"/>
    <mergeCell ref="A3:A5"/>
    <mergeCell ref="B3:B5"/>
    <mergeCell ref="C3:C5"/>
    <mergeCell ref="D3:D5"/>
    <mergeCell ref="D60:D62"/>
    <mergeCell ref="B60:B62"/>
    <mergeCell ref="C60:C62"/>
    <mergeCell ref="A59:AN59"/>
    <mergeCell ref="T4:T5"/>
    <mergeCell ref="F4:F5"/>
    <mergeCell ref="E3:F3"/>
    <mergeCell ref="V60:AD60"/>
    <mergeCell ref="E60:F60"/>
    <mergeCell ref="AD61:AD62"/>
    <mergeCell ref="E61:E62"/>
    <mergeCell ref="F61:F62"/>
  </mergeCells>
  <dataValidations count="8">
    <dataValidation type="list" allowBlank="1" showInputMessage="1" showErrorMessage="1" sqref="H7:H57 P7:P57 J63:J93 H63:H93 J7:J57 L7:L57 N7:N57" xr:uid="{00000000-0002-0000-0500-000000000000}">
      <formula1>Fuel_Type</formula1>
    </dataValidation>
    <dataValidation allowBlank="1" showInputMessage="1" showErrorMessage="1" promptTitle="Row number" sqref="G6 K6" xr:uid="{00000000-0002-0000-0500-000001000000}"/>
    <dataValidation type="decimal" allowBlank="1" showInputMessage="1" showErrorMessage="1" errorTitle="CHP generation" error="figure entered must be a negative value" sqref="Y63:Y93" xr:uid="{00000000-0002-0000-0500-000002000000}">
      <formula1>-100000000000000000</formula1>
      <formula2>0</formula2>
    </dataValidation>
    <dataValidation type="decimal" allowBlank="1" showInputMessage="1" showErrorMessage="1" errorTitle="Renewable generation" error="figure entered must be a negative value" sqref="Z63:Z93" xr:uid="{00000000-0002-0000-0500-000003000000}">
      <formula1>-100000000000000000</formula1>
      <formula2>0</formula2>
    </dataValidation>
    <dataValidation allowBlank="1" showInputMessage="1" showErrorMessage="1" promptTitle="Power factor correction" prompt="Note that Part L consumption may need to be amended where power factor correction is present._x000a__x000a_See table 1 in ADL2A for adjustment factors_x000a_" sqref="W63:W93" xr:uid="{00000000-0002-0000-0500-000004000000}"/>
    <dataValidation type="decimal" allowBlank="1" showInputMessage="1" showErrorMessage="1" errorTitle="CHP generation" error="figure entered must be a negative value" promptTitle="CHP generation value" prompt="enter as negative value (-)" sqref="Q63:Q93 Q7:Q57" xr:uid="{00000000-0002-0000-0500-000005000000}">
      <formula1>-100000000000000000</formula1>
      <formula2>0</formula2>
    </dataValidation>
    <dataValidation type="decimal" allowBlank="1" showInputMessage="1" showErrorMessage="1" errorTitle="Renewable generation" error="figure entered must be a negative value" promptTitle="Renewable energy generation" prompt="enter as a negative value (-)" sqref="R63:R93 R7:R57" xr:uid="{00000000-0002-0000-0500-000006000000}">
      <formula1>-100000000000000000</formula1>
      <formula2>0</formula2>
    </dataValidation>
    <dataValidation allowBlank="1" showInputMessage="1" showErrorMessage="1" promptTitle="Row number" prompt="Note row reference letters may change depending on number of systems present" sqref="G7:G57 I7:I57 K7:K57 M7:M57" xr:uid="{00000000-0002-0000-0500-000007000000}"/>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O83"/>
  <sheetViews>
    <sheetView tabSelected="1" topLeftCell="A16" zoomScale="70" zoomScaleNormal="70" workbookViewId="0">
      <selection activeCell="H23" sqref="H23"/>
    </sheetView>
  </sheetViews>
  <sheetFormatPr defaultColWidth="9.140625" defaultRowHeight="12.75"/>
  <cols>
    <col min="1" max="1" width="30.7109375" style="2" customWidth="1"/>
    <col min="2" max="3" width="30.7109375" style="3" customWidth="1"/>
    <col min="4" max="4" width="23.28515625" style="2" customWidth="1"/>
    <col min="5" max="5" width="16.85546875" style="2" customWidth="1"/>
    <col min="6" max="6" width="17.5703125" style="21" customWidth="1"/>
    <col min="7" max="7" width="30.7109375" style="21" customWidth="1"/>
    <col min="8" max="9" width="30.7109375" style="2" customWidth="1"/>
    <col min="10" max="10" width="27.5703125" style="2" customWidth="1"/>
    <col min="11" max="11" width="23.28515625" style="2" customWidth="1"/>
    <col min="12" max="16384" width="9.140625" style="2"/>
  </cols>
  <sheetData>
    <row r="1" spans="1:15" s="188" customFormat="1" ht="26.25">
      <c r="A1" s="516" t="s">
        <v>112</v>
      </c>
      <c r="B1" s="516"/>
      <c r="C1" s="516"/>
      <c r="D1" s="516"/>
      <c r="E1" s="516"/>
      <c r="F1" s="517" t="s">
        <v>113</v>
      </c>
      <c r="G1" s="518"/>
      <c r="H1" s="518"/>
      <c r="I1" s="518"/>
      <c r="J1" s="518"/>
      <c r="K1" s="518"/>
    </row>
    <row r="2" spans="1:15">
      <c r="A2" s="21"/>
      <c r="B2" s="22"/>
      <c r="C2" s="22"/>
      <c r="D2" s="21"/>
      <c r="E2" s="23"/>
      <c r="G2" s="2"/>
    </row>
    <row r="3" spans="1:15" s="189" customFormat="1" ht="26.25">
      <c r="A3" s="515" t="s">
        <v>102</v>
      </c>
      <c r="B3" s="515"/>
      <c r="C3" s="515"/>
      <c r="D3" s="515"/>
      <c r="E3" s="515"/>
      <c r="F3" s="515"/>
      <c r="G3" s="515"/>
      <c r="H3" s="515"/>
      <c r="I3" s="515"/>
      <c r="J3" s="515"/>
      <c r="K3" s="515"/>
    </row>
    <row r="4" spans="1:15" s="1" customFormat="1">
      <c r="A4" s="21"/>
      <c r="B4" s="22"/>
      <c r="C4" s="22"/>
      <c r="D4" s="21"/>
      <c r="E4" s="23"/>
      <c r="F4" s="21"/>
      <c r="G4" s="2"/>
      <c r="H4" s="3"/>
      <c r="I4" s="3"/>
      <c r="J4" s="2"/>
      <c r="K4" s="2"/>
      <c r="L4" s="2"/>
      <c r="M4" s="2"/>
      <c r="N4" s="2"/>
      <c r="O4" s="2"/>
    </row>
    <row r="5" spans="1:15" s="4" customFormat="1" ht="13.9" customHeight="1">
      <c r="A5" s="190" t="s">
        <v>31</v>
      </c>
      <c r="B5" s="22"/>
      <c r="C5" s="22"/>
      <c r="D5" s="21"/>
      <c r="E5" s="23"/>
      <c r="F5" s="21"/>
      <c r="G5" s="191" t="s">
        <v>31</v>
      </c>
      <c r="H5" s="3"/>
      <c r="I5" s="3"/>
      <c r="J5" s="2"/>
      <c r="K5" s="2"/>
      <c r="L5" s="2"/>
      <c r="M5" s="2"/>
      <c r="N5" s="2"/>
      <c r="O5" s="2"/>
    </row>
    <row r="6" spans="1:15" s="4" customFormat="1" ht="13.9" customHeight="1">
      <c r="A6" s="21"/>
      <c r="B6" s="22"/>
      <c r="C6" s="22"/>
      <c r="D6" s="21"/>
      <c r="E6" s="23"/>
      <c r="F6" s="21"/>
      <c r="G6" s="2"/>
      <c r="H6" s="3"/>
      <c r="I6" s="3"/>
      <c r="J6" s="2"/>
      <c r="K6" s="2"/>
      <c r="L6" s="2"/>
      <c r="M6" s="2"/>
      <c r="N6" s="2"/>
      <c r="O6" s="2"/>
    </row>
    <row r="7" spans="1:15" s="4" customFormat="1" ht="29.25" customHeight="1">
      <c r="A7" s="512"/>
      <c r="B7" s="514" t="s">
        <v>261</v>
      </c>
      <c r="C7" s="514"/>
      <c r="D7" s="21"/>
      <c r="E7" s="23"/>
      <c r="F7" s="21"/>
      <c r="G7" s="512"/>
      <c r="H7" s="514" t="s">
        <v>261</v>
      </c>
      <c r="I7" s="514"/>
      <c r="J7" s="2"/>
      <c r="K7" s="2"/>
      <c r="L7" s="2"/>
      <c r="M7" s="2"/>
      <c r="N7" s="2"/>
      <c r="O7" s="2"/>
    </row>
    <row r="8" spans="1:15" s="1" customFormat="1" ht="15" customHeight="1">
      <c r="A8" s="513"/>
      <c r="B8" s="187" t="s">
        <v>32</v>
      </c>
      <c r="C8" s="187" t="s">
        <v>33</v>
      </c>
      <c r="D8" s="21"/>
      <c r="E8" s="23"/>
      <c r="F8" s="21"/>
      <c r="G8" s="513"/>
      <c r="H8" s="187" t="s">
        <v>32</v>
      </c>
      <c r="I8" s="187" t="s">
        <v>33</v>
      </c>
      <c r="J8" s="2"/>
      <c r="K8" s="2"/>
      <c r="L8" s="2"/>
      <c r="M8" s="2"/>
      <c r="N8" s="2"/>
      <c r="O8" s="2"/>
    </row>
    <row r="9" spans="1:15" s="6" customFormat="1" ht="39.950000000000003" customHeight="1">
      <c r="A9" s="7" t="s">
        <v>34</v>
      </c>
      <c r="B9" s="13">
        <f>Baseline!S57/1000</f>
        <v>409.19527638000005</v>
      </c>
      <c r="C9" s="116">
        <f>I9*'Carbon factors'!B5/'Carbon factors'!C5</f>
        <v>560.92094420600858</v>
      </c>
      <c r="D9" s="20"/>
      <c r="E9" s="24"/>
      <c r="F9" s="20"/>
      <c r="G9" s="7" t="s">
        <v>34</v>
      </c>
      <c r="H9" s="13">
        <f>Baseline!Y57/1000</f>
        <v>358.33632557999999</v>
      </c>
      <c r="I9" s="116">
        <v>251.82</v>
      </c>
      <c r="J9" s="5"/>
      <c r="K9" s="5"/>
      <c r="L9" s="5"/>
      <c r="M9" s="5"/>
      <c r="N9" s="5"/>
      <c r="O9" s="5"/>
    </row>
    <row r="10" spans="1:15" s="6" customFormat="1" ht="39.950000000000003" customHeight="1">
      <c r="A10" s="8" t="s">
        <v>35</v>
      </c>
      <c r="B10" s="13">
        <f>'Be Lean'!S57/1000</f>
        <v>374.19293885214597</v>
      </c>
      <c r="C10" s="116">
        <f>C9</f>
        <v>560.92094420600858</v>
      </c>
      <c r="D10" s="20"/>
      <c r="E10" s="24"/>
      <c r="F10" s="20"/>
      <c r="G10" s="8" t="s">
        <v>35</v>
      </c>
      <c r="H10" s="13">
        <f>'Be Lean'!Y57/1000</f>
        <v>306.27444818819737</v>
      </c>
      <c r="I10" s="116">
        <f>I9</f>
        <v>251.82</v>
      </c>
      <c r="J10" s="5"/>
      <c r="K10" s="5"/>
      <c r="L10" s="5"/>
      <c r="M10" s="5"/>
      <c r="N10" s="5"/>
      <c r="O10" s="5"/>
    </row>
    <row r="11" spans="1:15" s="6" customFormat="1" ht="39.950000000000003" customHeight="1">
      <c r="A11" s="8" t="s">
        <v>36</v>
      </c>
      <c r="B11" s="13">
        <f>'Be Clean'!X58/1000</f>
        <v>374.19293885214597</v>
      </c>
      <c r="C11" s="116">
        <f>C9</f>
        <v>560.92094420600858</v>
      </c>
      <c r="D11" s="20"/>
      <c r="E11" s="24"/>
      <c r="F11" s="20"/>
      <c r="G11" s="8" t="s">
        <v>36</v>
      </c>
      <c r="H11" s="13">
        <f>'Be Clean'!AF58/1000</f>
        <v>306.27444818819737</v>
      </c>
      <c r="I11" s="116">
        <f>I9</f>
        <v>251.82</v>
      </c>
      <c r="J11" s="5"/>
      <c r="K11" s="5"/>
      <c r="L11" s="5"/>
      <c r="M11" s="5"/>
      <c r="N11" s="5"/>
      <c r="O11" s="5"/>
    </row>
    <row r="12" spans="1:15" s="6" customFormat="1" ht="39.950000000000003" customHeight="1">
      <c r="A12" s="8" t="s">
        <v>37</v>
      </c>
      <c r="B12" s="13">
        <f>'Be Green'!AD58/1000</f>
        <v>312.68835055182967</v>
      </c>
      <c r="C12" s="116">
        <f>C9</f>
        <v>560.92094420600858</v>
      </c>
      <c r="D12" s="20"/>
      <c r="E12" s="24"/>
      <c r="F12" s="20"/>
      <c r="G12" s="8" t="s">
        <v>37</v>
      </c>
      <c r="H12" s="13">
        <f>'Be Green'!AM58/1000</f>
        <v>180.41121868828529</v>
      </c>
      <c r="I12" s="116">
        <f>I9</f>
        <v>251.82</v>
      </c>
      <c r="J12" s="5"/>
      <c r="K12" s="5"/>
      <c r="L12" s="5"/>
      <c r="M12" s="5"/>
      <c r="N12" s="5"/>
      <c r="O12" s="5"/>
    </row>
    <row r="13" spans="1:15" s="1" customFormat="1">
      <c r="A13" s="21"/>
      <c r="B13" s="22"/>
      <c r="C13" s="22"/>
      <c r="D13" s="21"/>
      <c r="E13" s="23"/>
      <c r="F13" s="21"/>
      <c r="G13" s="2"/>
      <c r="H13" s="3"/>
      <c r="I13" s="3"/>
      <c r="J13" s="2"/>
      <c r="K13" s="2"/>
      <c r="L13" s="2"/>
      <c r="M13" s="2"/>
      <c r="N13" s="2"/>
      <c r="O13" s="2"/>
    </row>
    <row r="14" spans="1:15" s="1" customFormat="1">
      <c r="A14" s="21"/>
      <c r="B14" s="22"/>
      <c r="C14" s="22"/>
      <c r="D14" s="21"/>
      <c r="E14" s="23"/>
      <c r="F14" s="21"/>
      <c r="G14" s="2"/>
      <c r="H14" s="3"/>
      <c r="I14" s="3"/>
      <c r="J14" s="2"/>
      <c r="K14" s="2"/>
      <c r="L14" s="2"/>
      <c r="M14" s="2"/>
      <c r="N14" s="2"/>
      <c r="O14" s="2"/>
    </row>
    <row r="15" spans="1:15" s="4" customFormat="1" ht="13.9" customHeight="1">
      <c r="A15" s="190" t="s">
        <v>38</v>
      </c>
      <c r="B15" s="22"/>
      <c r="C15" s="22"/>
      <c r="D15" s="21"/>
      <c r="E15" s="23"/>
      <c r="F15" s="21"/>
      <c r="G15" s="191" t="s">
        <v>38</v>
      </c>
      <c r="H15" s="3"/>
      <c r="I15" s="3"/>
      <c r="J15" s="2"/>
      <c r="K15" s="2"/>
      <c r="L15" s="2"/>
      <c r="M15" s="2"/>
      <c r="N15" s="2"/>
      <c r="O15" s="2"/>
    </row>
    <row r="16" spans="1:15" s="1" customFormat="1">
      <c r="A16" s="21"/>
      <c r="B16" s="22"/>
      <c r="C16" s="22"/>
      <c r="D16" s="21"/>
      <c r="E16" s="23"/>
      <c r="F16" s="21"/>
      <c r="G16" s="2"/>
      <c r="H16" s="3"/>
      <c r="I16" s="3"/>
      <c r="J16" s="2"/>
      <c r="K16" s="2"/>
      <c r="L16" s="2"/>
      <c r="M16" s="2"/>
      <c r="N16" s="2"/>
      <c r="O16" s="2"/>
    </row>
    <row r="17" spans="1:15" s="1" customFormat="1" ht="29.25" customHeight="1">
      <c r="A17" s="512"/>
      <c r="B17" s="514" t="s">
        <v>45</v>
      </c>
      <c r="C17" s="514"/>
      <c r="D17" s="21"/>
      <c r="E17" s="23"/>
      <c r="F17" s="21"/>
      <c r="G17" s="512"/>
      <c r="H17" s="514" t="s">
        <v>45</v>
      </c>
      <c r="I17" s="514"/>
      <c r="J17" s="2"/>
      <c r="K17" s="2"/>
      <c r="L17" s="2"/>
      <c r="M17" s="2"/>
      <c r="N17" s="2"/>
      <c r="O17" s="2"/>
    </row>
    <row r="18" spans="1:15" s="1" customFormat="1" ht="15" customHeight="1">
      <c r="A18" s="513"/>
      <c r="B18" s="187" t="s">
        <v>262</v>
      </c>
      <c r="C18" s="187" t="s">
        <v>44</v>
      </c>
      <c r="D18" s="21"/>
      <c r="E18" s="23"/>
      <c r="F18" s="21"/>
      <c r="G18" s="513"/>
      <c r="H18" s="187" t="s">
        <v>262</v>
      </c>
      <c r="I18" s="187" t="s">
        <v>44</v>
      </c>
      <c r="J18" s="2"/>
      <c r="K18" s="2"/>
      <c r="L18" s="2"/>
      <c r="M18" s="2"/>
      <c r="N18" s="2"/>
      <c r="O18" s="2"/>
    </row>
    <row r="19" spans="1:15" s="1" customFormat="1" ht="39.950000000000003" customHeight="1">
      <c r="A19" s="7" t="s">
        <v>39</v>
      </c>
      <c r="B19" s="13">
        <f>B9-B10</f>
        <v>35.002337527854081</v>
      </c>
      <c r="C19" s="14">
        <f>B19/B9</f>
        <v>8.5539446685472212E-2</v>
      </c>
      <c r="D19" s="21"/>
      <c r="E19" s="23"/>
      <c r="F19" s="21"/>
      <c r="G19" s="7" t="s">
        <v>39</v>
      </c>
      <c r="H19" s="13">
        <f>H9-H10</f>
        <v>52.061877391802625</v>
      </c>
      <c r="I19" s="14">
        <f>H19/H9</f>
        <v>0.14528774694425894</v>
      </c>
      <c r="J19" s="2"/>
      <c r="K19" s="2"/>
      <c r="L19" s="2"/>
      <c r="M19" s="2"/>
      <c r="N19" s="2"/>
      <c r="O19" s="2"/>
    </row>
    <row r="20" spans="1:15" s="1" customFormat="1" ht="39.950000000000003" customHeight="1">
      <c r="A20" s="8" t="s">
        <v>40</v>
      </c>
      <c r="B20" s="13">
        <f>B10-B11</f>
        <v>0</v>
      </c>
      <c r="C20" s="14">
        <f>B20/B9</f>
        <v>0</v>
      </c>
      <c r="D20" s="21"/>
      <c r="E20" s="23"/>
      <c r="F20" s="21"/>
      <c r="G20" s="8" t="s">
        <v>40</v>
      </c>
      <c r="H20" s="13">
        <f>H10-H11</f>
        <v>0</v>
      </c>
      <c r="I20" s="14">
        <f>H20/H9</f>
        <v>0</v>
      </c>
      <c r="J20" s="2"/>
      <c r="K20" s="2"/>
      <c r="L20" s="2"/>
      <c r="M20" s="2"/>
      <c r="N20" s="2"/>
      <c r="O20" s="2"/>
    </row>
    <row r="21" spans="1:15" s="1" customFormat="1" ht="39.950000000000003" customHeight="1">
      <c r="A21" s="8" t="s">
        <v>41</v>
      </c>
      <c r="B21" s="13">
        <f>B11-B12</f>
        <v>61.5045883003163</v>
      </c>
      <c r="C21" s="14">
        <f>B21/B9</f>
        <v>0.15030620305401554</v>
      </c>
      <c r="D21" s="21"/>
      <c r="E21" s="23"/>
      <c r="F21" s="21"/>
      <c r="G21" s="8" t="s">
        <v>41</v>
      </c>
      <c r="H21" s="13">
        <f>H11-H12</f>
        <v>125.86322949991208</v>
      </c>
      <c r="I21" s="14">
        <f>H21/H9</f>
        <v>0.35124328881865652</v>
      </c>
      <c r="J21" s="2"/>
      <c r="K21" s="2"/>
      <c r="L21" s="2"/>
      <c r="M21" s="2"/>
      <c r="N21" s="2"/>
      <c r="O21" s="2"/>
    </row>
    <row r="22" spans="1:15" s="1" customFormat="1" ht="39.950000000000003" customHeight="1">
      <c r="A22" s="9" t="s">
        <v>42</v>
      </c>
      <c r="B22" s="17">
        <f>B9-B12</f>
        <v>96.506925828170381</v>
      </c>
      <c r="C22" s="19">
        <f>B22/B9</f>
        <v>0.23584564973948777</v>
      </c>
      <c r="D22" s="21"/>
      <c r="E22" s="23"/>
      <c r="F22" s="21"/>
      <c r="G22" s="9" t="s">
        <v>42</v>
      </c>
      <c r="H22" s="17">
        <f>H9-H12</f>
        <v>177.92510689171471</v>
      </c>
      <c r="I22" s="19">
        <f>H22/H9</f>
        <v>0.49653103576291546</v>
      </c>
      <c r="J22" s="2"/>
      <c r="K22" s="2"/>
      <c r="L22" s="2"/>
      <c r="M22" s="2"/>
      <c r="N22" s="2"/>
      <c r="O22" s="2"/>
    </row>
    <row r="23" spans="1:15" s="1" customFormat="1" ht="39.950000000000003" customHeight="1">
      <c r="A23" s="7" t="s">
        <v>43</v>
      </c>
      <c r="B23" s="13">
        <f>(B9-B22)</f>
        <v>312.68835055182967</v>
      </c>
      <c r="C23" s="13" t="s">
        <v>3</v>
      </c>
      <c r="D23" s="21"/>
      <c r="E23" s="23"/>
      <c r="F23" s="21"/>
      <c r="G23" s="7" t="s">
        <v>43</v>
      </c>
      <c r="H23" s="13">
        <f>(H9-H22)</f>
        <v>180.41121868828529</v>
      </c>
      <c r="I23" s="13" t="s">
        <v>3</v>
      </c>
      <c r="J23" s="2"/>
      <c r="K23" s="2"/>
      <c r="L23" s="2"/>
      <c r="M23" s="2"/>
      <c r="N23" s="2"/>
      <c r="O23" s="2"/>
    </row>
    <row r="24" spans="1:15" s="1" customFormat="1" ht="16.5" customHeight="1">
      <c r="A24" s="192"/>
      <c r="B24" s="514" t="s">
        <v>196</v>
      </c>
      <c r="C24" s="514"/>
      <c r="D24" s="21"/>
      <c r="E24" s="23"/>
      <c r="F24" s="21"/>
      <c r="G24" s="192"/>
      <c r="H24" s="514" t="s">
        <v>196</v>
      </c>
      <c r="I24" s="514"/>
      <c r="J24" s="2"/>
      <c r="K24" s="2"/>
      <c r="L24" s="2"/>
      <c r="M24" s="2"/>
      <c r="N24" s="2"/>
      <c r="O24" s="2"/>
    </row>
    <row r="25" spans="1:15" s="1" customFormat="1" ht="39.950000000000003" customHeight="1">
      <c r="A25" s="10" t="s">
        <v>51</v>
      </c>
      <c r="B25" s="17">
        <f>B23*30</f>
        <v>9380.6505165548897</v>
      </c>
      <c r="C25" s="13" t="s">
        <v>3</v>
      </c>
      <c r="D25" s="21"/>
      <c r="E25" s="23"/>
      <c r="F25" s="21"/>
      <c r="G25" s="10" t="s">
        <v>51</v>
      </c>
      <c r="H25" s="17">
        <f>H23*30</f>
        <v>5412.3365606485586</v>
      </c>
      <c r="I25" s="13" t="s">
        <v>3</v>
      </c>
      <c r="J25" s="2"/>
      <c r="K25" s="2"/>
      <c r="L25" s="2"/>
      <c r="M25" s="2"/>
      <c r="N25" s="2"/>
      <c r="O25" s="2"/>
    </row>
    <row r="26" spans="1:15" s="1" customFormat="1" ht="39.950000000000003" customHeight="1">
      <c r="A26" s="10" t="s">
        <v>66</v>
      </c>
      <c r="B26" s="17">
        <f>B25*60</f>
        <v>562839.03099329339</v>
      </c>
      <c r="C26" s="13"/>
      <c r="D26" s="21"/>
      <c r="E26" s="23"/>
      <c r="F26" s="21"/>
      <c r="G26" s="10" t="s">
        <v>66</v>
      </c>
      <c r="H26" s="17">
        <f>H25*60</f>
        <v>324740.19363891351</v>
      </c>
      <c r="I26" s="13"/>
      <c r="J26" s="2"/>
      <c r="K26" s="2"/>
      <c r="L26" s="2"/>
      <c r="M26" s="2"/>
      <c r="N26" s="2"/>
      <c r="O26" s="2"/>
    </row>
    <row r="27" spans="1:15" s="1" customFormat="1">
      <c r="A27" s="21"/>
      <c r="B27" s="22"/>
      <c r="C27" s="22"/>
      <c r="D27" s="21"/>
      <c r="E27" s="23"/>
      <c r="F27" s="21"/>
      <c r="G27" s="2"/>
      <c r="H27" s="3"/>
      <c r="I27" s="3"/>
      <c r="J27" s="2"/>
      <c r="K27" s="2"/>
      <c r="L27" s="2"/>
      <c r="M27" s="2"/>
      <c r="N27" s="2"/>
      <c r="O27" s="2"/>
    </row>
    <row r="28" spans="1:15" s="1" customFormat="1">
      <c r="A28" s="21"/>
      <c r="B28" s="22"/>
      <c r="C28" s="22"/>
      <c r="D28" s="21"/>
      <c r="E28" s="23"/>
      <c r="F28" s="21"/>
      <c r="G28" s="2"/>
      <c r="H28" s="3"/>
      <c r="I28" s="3"/>
      <c r="J28" s="2"/>
      <c r="K28" s="2"/>
      <c r="L28" s="2"/>
      <c r="M28" s="2"/>
      <c r="N28" s="2"/>
      <c r="O28" s="2"/>
    </row>
    <row r="29" spans="1:15" s="189" customFormat="1" ht="26.25">
      <c r="A29" s="515" t="s">
        <v>104</v>
      </c>
      <c r="B29" s="515"/>
      <c r="C29" s="515"/>
      <c r="D29" s="515"/>
      <c r="E29" s="515"/>
      <c r="F29" s="515"/>
      <c r="G29" s="515"/>
      <c r="H29" s="515"/>
      <c r="I29" s="515"/>
      <c r="J29" s="515"/>
      <c r="K29" s="515"/>
    </row>
    <row r="30" spans="1:15" s="1" customFormat="1">
      <c r="A30" s="21"/>
      <c r="B30" s="22"/>
      <c r="C30" s="22"/>
      <c r="D30" s="21"/>
      <c r="E30" s="23"/>
      <c r="F30" s="21"/>
      <c r="G30" s="2"/>
      <c r="H30" s="3"/>
      <c r="I30" s="3"/>
      <c r="J30" s="2"/>
      <c r="K30" s="2"/>
      <c r="L30" s="2"/>
      <c r="M30" s="2"/>
      <c r="N30" s="2"/>
      <c r="O30" s="2"/>
    </row>
    <row r="31" spans="1:15" s="4" customFormat="1" ht="13.9" customHeight="1">
      <c r="A31" s="190" t="s">
        <v>47</v>
      </c>
      <c r="B31" s="22"/>
      <c r="C31" s="22"/>
      <c r="D31" s="21"/>
      <c r="E31" s="23"/>
      <c r="F31" s="21"/>
      <c r="G31" s="190" t="s">
        <v>47</v>
      </c>
      <c r="H31" s="3"/>
      <c r="I31" s="3"/>
      <c r="J31" s="2"/>
      <c r="K31" s="2"/>
      <c r="L31" s="2"/>
      <c r="M31" s="2"/>
      <c r="N31" s="2"/>
      <c r="O31" s="2"/>
    </row>
    <row r="32" spans="1:15" s="4" customFormat="1" ht="13.9" customHeight="1">
      <c r="A32" s="21"/>
      <c r="B32" s="22"/>
      <c r="C32" s="22"/>
      <c r="D32" s="21"/>
      <c r="E32" s="23"/>
      <c r="F32" s="21"/>
      <c r="G32" s="2"/>
      <c r="H32" s="3"/>
      <c r="I32" s="3"/>
      <c r="J32" s="2"/>
      <c r="K32" s="2"/>
      <c r="L32" s="2"/>
      <c r="M32" s="2"/>
      <c r="N32" s="2"/>
      <c r="O32" s="2"/>
    </row>
    <row r="33" spans="1:15" s="4" customFormat="1" ht="43.9" customHeight="1">
      <c r="A33" s="512"/>
      <c r="B33" s="514" t="s">
        <v>48</v>
      </c>
      <c r="C33" s="514"/>
      <c r="D33" s="21"/>
      <c r="E33" s="23"/>
      <c r="F33" s="21"/>
      <c r="G33" s="512"/>
      <c r="H33" s="514" t="s">
        <v>48</v>
      </c>
      <c r="I33" s="514"/>
      <c r="J33" s="2"/>
      <c r="K33" s="2"/>
      <c r="L33" s="2"/>
      <c r="M33" s="2"/>
      <c r="N33" s="2"/>
      <c r="O33" s="2"/>
    </row>
    <row r="34" spans="1:15" s="1" customFormat="1" ht="15" customHeight="1">
      <c r="A34" s="513"/>
      <c r="B34" s="187" t="s">
        <v>32</v>
      </c>
      <c r="C34" s="187" t="s">
        <v>33</v>
      </c>
      <c r="D34" s="21"/>
      <c r="E34" s="23"/>
      <c r="F34" s="21"/>
      <c r="G34" s="513"/>
      <c r="H34" s="187" t="s">
        <v>32</v>
      </c>
      <c r="I34" s="187" t="s">
        <v>33</v>
      </c>
      <c r="J34" s="2"/>
      <c r="K34" s="2"/>
      <c r="L34" s="2"/>
      <c r="M34" s="2"/>
      <c r="N34" s="2"/>
      <c r="O34" s="2"/>
    </row>
    <row r="35" spans="1:15" s="6" customFormat="1" ht="39.950000000000003" customHeight="1">
      <c r="A35" s="7" t="s">
        <v>34</v>
      </c>
      <c r="B35" s="13">
        <f>Baseline!S93/1000</f>
        <v>110.72567694187501</v>
      </c>
      <c r="C35" s="116">
        <f>I35*'Carbon factors'!B5/'Carbon factors'!C5</f>
        <v>227.20171673819743</v>
      </c>
      <c r="D35" s="20"/>
      <c r="E35" s="24"/>
      <c r="F35" s="20"/>
      <c r="G35" s="7" t="s">
        <v>34</v>
      </c>
      <c r="H35" s="13">
        <f>Baseline!Y93/1000</f>
        <v>83.156111868125009</v>
      </c>
      <c r="I35" s="116">
        <v>102</v>
      </c>
      <c r="J35" s="5"/>
      <c r="K35" s="5"/>
      <c r="L35" s="5"/>
      <c r="M35" s="5"/>
      <c r="N35" s="5"/>
      <c r="O35" s="5"/>
    </row>
    <row r="36" spans="1:15" s="6" customFormat="1" ht="39.950000000000003" customHeight="1">
      <c r="A36" s="8" t="s">
        <v>35</v>
      </c>
      <c r="B36" s="13">
        <f>'Be Lean'!S93/1000</f>
        <v>97.886118750000023</v>
      </c>
      <c r="C36" s="116">
        <f>C35</f>
        <v>227.20171673819743</v>
      </c>
      <c r="D36" s="20"/>
      <c r="E36" s="24"/>
      <c r="F36" s="20"/>
      <c r="G36" s="8" t="s">
        <v>35</v>
      </c>
      <c r="H36" s="13">
        <f>'Be Lean'!Y93/1000</f>
        <v>76.935331250000004</v>
      </c>
      <c r="I36" s="116">
        <f>I35</f>
        <v>102</v>
      </c>
      <c r="J36" s="5"/>
      <c r="K36" s="5"/>
      <c r="L36" s="5"/>
      <c r="M36" s="5"/>
      <c r="N36" s="5"/>
      <c r="O36" s="5"/>
    </row>
    <row r="37" spans="1:15" s="6" customFormat="1" ht="39.950000000000003" customHeight="1">
      <c r="A37" s="8" t="s">
        <v>36</v>
      </c>
      <c r="B37" s="13">
        <f>'Be Clean'!X94/1000</f>
        <v>97.886118750000023</v>
      </c>
      <c r="C37" s="116">
        <f>C35</f>
        <v>227.20171673819743</v>
      </c>
      <c r="D37" s="20"/>
      <c r="E37" s="24"/>
      <c r="F37" s="20"/>
      <c r="G37" s="8" t="s">
        <v>36</v>
      </c>
      <c r="H37" s="13">
        <f>'Be Clean'!AF94/1000</f>
        <v>76.935331250000004</v>
      </c>
      <c r="I37" s="116">
        <f>I35</f>
        <v>102</v>
      </c>
      <c r="J37" s="5"/>
      <c r="K37" s="5"/>
      <c r="L37" s="5"/>
      <c r="M37" s="5"/>
      <c r="N37" s="5"/>
      <c r="O37" s="5"/>
    </row>
    <row r="38" spans="1:15" s="6" customFormat="1" ht="39.950000000000003" customHeight="1">
      <c r="A38" s="8" t="s">
        <v>37</v>
      </c>
      <c r="B38" s="13">
        <f>'Be Green'!AD94/1000</f>
        <v>71.968230899437501</v>
      </c>
      <c r="C38" s="116">
        <f>C35</f>
        <v>227.20171673819743</v>
      </c>
      <c r="D38" s="20"/>
      <c r="E38" s="24"/>
      <c r="F38" s="20"/>
      <c r="G38" s="8" t="s">
        <v>37</v>
      </c>
      <c r="H38" s="13">
        <f>'Be Green'!AM94/1000</f>
        <v>36.598177383562508</v>
      </c>
      <c r="I38" s="116">
        <f>I35</f>
        <v>102</v>
      </c>
      <c r="J38" s="5"/>
      <c r="K38" s="5"/>
      <c r="L38" s="5"/>
      <c r="M38" s="5"/>
      <c r="N38" s="5"/>
      <c r="O38" s="5"/>
    </row>
    <row r="39" spans="1:15" s="1" customFormat="1">
      <c r="A39" s="21"/>
      <c r="B39" s="22"/>
      <c r="C39" s="22"/>
      <c r="D39" s="21"/>
      <c r="E39" s="23"/>
      <c r="F39" s="21"/>
      <c r="G39" s="2"/>
      <c r="H39" s="3"/>
      <c r="I39" s="3"/>
      <c r="J39" s="2"/>
      <c r="K39" s="2"/>
      <c r="L39" s="2"/>
      <c r="M39" s="2"/>
      <c r="N39" s="2"/>
      <c r="O39" s="2"/>
    </row>
    <row r="40" spans="1:15" s="1" customFormat="1">
      <c r="A40" s="21"/>
      <c r="B40" s="22"/>
      <c r="C40" s="22"/>
      <c r="D40" s="21"/>
      <c r="E40" s="23"/>
      <c r="F40" s="21"/>
      <c r="G40" s="2"/>
      <c r="H40" s="3"/>
      <c r="I40" s="3"/>
      <c r="J40" s="2"/>
      <c r="K40" s="2"/>
      <c r="L40" s="2"/>
      <c r="M40" s="2"/>
      <c r="N40" s="2"/>
      <c r="O40" s="2"/>
    </row>
    <row r="41" spans="1:15" s="4" customFormat="1" ht="13.9" customHeight="1">
      <c r="A41" s="190" t="s">
        <v>49</v>
      </c>
      <c r="B41" s="22"/>
      <c r="C41" s="22"/>
      <c r="D41" s="21"/>
      <c r="E41" s="23"/>
      <c r="F41" s="21"/>
      <c r="G41" s="190" t="s">
        <v>49</v>
      </c>
      <c r="H41" s="3"/>
      <c r="I41" s="3"/>
      <c r="J41" s="2"/>
      <c r="K41" s="2"/>
      <c r="L41" s="2"/>
      <c r="M41" s="2"/>
      <c r="N41" s="2"/>
      <c r="O41" s="2"/>
    </row>
    <row r="42" spans="1:15" s="1" customFormat="1">
      <c r="A42" s="21"/>
      <c r="B42" s="22"/>
      <c r="C42" s="22"/>
      <c r="D42" s="21"/>
      <c r="E42" s="23"/>
      <c r="F42" s="21"/>
      <c r="G42" s="2"/>
      <c r="H42" s="3"/>
      <c r="I42" s="3"/>
      <c r="J42" s="2"/>
      <c r="K42" s="2"/>
      <c r="L42" s="2"/>
      <c r="M42" s="2"/>
      <c r="N42" s="2"/>
      <c r="O42" s="2"/>
    </row>
    <row r="43" spans="1:15" s="1" customFormat="1" ht="29.25" customHeight="1">
      <c r="A43" s="512"/>
      <c r="B43" s="514" t="s">
        <v>50</v>
      </c>
      <c r="C43" s="514"/>
      <c r="D43" s="21"/>
      <c r="E43" s="23"/>
      <c r="F43" s="21"/>
      <c r="G43" s="512"/>
      <c r="H43" s="514" t="s">
        <v>50</v>
      </c>
      <c r="I43" s="514"/>
      <c r="J43" s="2"/>
      <c r="K43" s="2"/>
      <c r="L43" s="2"/>
      <c r="M43" s="2"/>
      <c r="N43" s="2"/>
      <c r="O43" s="2"/>
    </row>
    <row r="44" spans="1:15" s="1" customFormat="1" ht="15" customHeight="1">
      <c r="A44" s="513"/>
      <c r="B44" s="187" t="s">
        <v>262</v>
      </c>
      <c r="C44" s="187" t="s">
        <v>44</v>
      </c>
      <c r="D44" s="21"/>
      <c r="E44" s="23"/>
      <c r="F44" s="21"/>
      <c r="G44" s="513"/>
      <c r="H44" s="187" t="s">
        <v>262</v>
      </c>
      <c r="I44" s="187" t="s">
        <v>44</v>
      </c>
      <c r="J44" s="2"/>
      <c r="K44" s="2"/>
      <c r="L44" s="2"/>
      <c r="M44" s="2"/>
      <c r="N44" s="2"/>
      <c r="O44" s="2"/>
    </row>
    <row r="45" spans="1:15" s="1" customFormat="1" ht="39.950000000000003" customHeight="1">
      <c r="A45" s="7" t="s">
        <v>39</v>
      </c>
      <c r="B45" s="13">
        <f>B35-B36</f>
        <v>12.839558191874985</v>
      </c>
      <c r="C45" s="14">
        <f>B45/B35</f>
        <v>0.11595827224985095</v>
      </c>
      <c r="D45" s="21"/>
      <c r="E45" s="23"/>
      <c r="F45" s="21"/>
      <c r="G45" s="7" t="s">
        <v>39</v>
      </c>
      <c r="H45" s="13">
        <f>H35-H36</f>
        <v>6.2207806181250049</v>
      </c>
      <c r="I45" s="14">
        <f>H45/H35</f>
        <v>7.4808459394907378E-2</v>
      </c>
      <c r="J45" s="2"/>
      <c r="K45" s="2"/>
      <c r="L45" s="2"/>
      <c r="M45" s="2"/>
      <c r="N45" s="2"/>
      <c r="O45" s="2"/>
    </row>
    <row r="46" spans="1:15" s="1" customFormat="1" ht="39.950000000000003" customHeight="1">
      <c r="A46" s="8" t="s">
        <v>40</v>
      </c>
      <c r="B46" s="13">
        <f>B36-B37</f>
        <v>0</v>
      </c>
      <c r="C46" s="14">
        <f>B46/B35</f>
        <v>0</v>
      </c>
      <c r="D46" s="21"/>
      <c r="E46" s="23"/>
      <c r="F46" s="21"/>
      <c r="G46" s="8" t="s">
        <v>40</v>
      </c>
      <c r="H46" s="13">
        <f>H36-H37</f>
        <v>0</v>
      </c>
      <c r="I46" s="14">
        <f>H46/H35</f>
        <v>0</v>
      </c>
      <c r="J46" s="2"/>
      <c r="K46" s="2"/>
      <c r="L46" s="2"/>
      <c r="M46" s="2"/>
      <c r="N46" s="2"/>
      <c r="O46" s="2"/>
    </row>
    <row r="47" spans="1:15" s="1" customFormat="1" ht="39.950000000000003" customHeight="1">
      <c r="A47" s="8" t="s">
        <v>41</v>
      </c>
      <c r="B47" s="13">
        <f>B37-B38</f>
        <v>25.917887850562522</v>
      </c>
      <c r="C47" s="14">
        <f>B47/B35</f>
        <v>0.23407296813518702</v>
      </c>
      <c r="D47" s="21"/>
      <c r="E47" s="23"/>
      <c r="F47" s="21"/>
      <c r="G47" s="8" t="s">
        <v>41</v>
      </c>
      <c r="H47" s="13">
        <f>H37-H38</f>
        <v>40.337153866437497</v>
      </c>
      <c r="I47" s="14">
        <f>H47/H35</f>
        <v>0.48507744001315356</v>
      </c>
      <c r="J47" s="2"/>
      <c r="K47" s="2"/>
      <c r="L47" s="2"/>
      <c r="M47" s="2"/>
      <c r="N47" s="2"/>
      <c r="O47" s="2"/>
    </row>
    <row r="48" spans="1:15" s="1" customFormat="1" ht="39.950000000000003" customHeight="1">
      <c r="A48" s="9" t="s">
        <v>52</v>
      </c>
      <c r="B48" s="17">
        <f>B35-B38</f>
        <v>38.757446042437508</v>
      </c>
      <c r="C48" s="19">
        <f>B48/B35</f>
        <v>0.35003124038503797</v>
      </c>
      <c r="D48" s="21"/>
      <c r="E48" s="23"/>
      <c r="F48" s="21"/>
      <c r="G48" s="9" t="s">
        <v>52</v>
      </c>
      <c r="H48" s="17">
        <f>H35-H38</f>
        <v>46.557934484562502</v>
      </c>
      <c r="I48" s="19">
        <f>H48/H35</f>
        <v>0.55988589940806099</v>
      </c>
      <c r="J48" s="2"/>
      <c r="K48" s="2"/>
      <c r="L48" s="2"/>
      <c r="M48" s="2"/>
      <c r="N48" s="2"/>
      <c r="O48" s="2"/>
    </row>
    <row r="49" spans="1:15">
      <c r="A49" s="21"/>
      <c r="B49" s="22"/>
      <c r="C49" s="22"/>
      <c r="D49" s="21"/>
      <c r="E49" s="23"/>
      <c r="G49" s="2"/>
      <c r="H49" s="3"/>
      <c r="I49" s="3"/>
    </row>
    <row r="50" spans="1:15">
      <c r="A50" s="21"/>
      <c r="B50" s="22"/>
      <c r="C50" s="22"/>
      <c r="D50" s="21"/>
      <c r="E50" s="23"/>
      <c r="G50" s="2"/>
      <c r="H50" s="3"/>
      <c r="I50" s="3"/>
    </row>
    <row r="51" spans="1:15" s="4" customFormat="1" ht="13.9" customHeight="1">
      <c r="A51" s="190" t="s">
        <v>53</v>
      </c>
      <c r="B51" s="22"/>
      <c r="C51" s="22"/>
      <c r="D51" s="21"/>
      <c r="E51" s="23"/>
      <c r="F51" s="21"/>
      <c r="G51" s="190" t="s">
        <v>53</v>
      </c>
      <c r="H51" s="3"/>
      <c r="I51" s="3"/>
      <c r="J51" s="2"/>
      <c r="K51" s="2"/>
      <c r="L51" s="2"/>
      <c r="M51" s="2"/>
      <c r="N51" s="2"/>
      <c r="O51" s="2"/>
    </row>
    <row r="52" spans="1:15" s="1" customFormat="1">
      <c r="A52" s="21"/>
      <c r="B52" s="22"/>
      <c r="C52" s="22"/>
      <c r="D52" s="21"/>
      <c r="E52" s="23"/>
      <c r="F52" s="21"/>
      <c r="G52" s="2"/>
      <c r="H52" s="3"/>
      <c r="I52" s="3"/>
      <c r="J52" s="2"/>
      <c r="K52" s="2"/>
      <c r="L52" s="2"/>
      <c r="M52" s="2"/>
      <c r="N52" s="2"/>
      <c r="O52" s="2"/>
    </row>
    <row r="53" spans="1:15" s="1" customFormat="1" ht="29.25" customHeight="1">
      <c r="A53" s="194"/>
      <c r="B53" s="193" t="s">
        <v>263</v>
      </c>
      <c r="C53" s="193" t="s">
        <v>264</v>
      </c>
      <c r="D53" s="21"/>
      <c r="E53" s="23"/>
      <c r="F53" s="21"/>
      <c r="G53" s="194"/>
      <c r="H53" s="193" t="s">
        <v>263</v>
      </c>
      <c r="I53" s="193" t="s">
        <v>264</v>
      </c>
      <c r="J53" s="2"/>
      <c r="K53" s="2"/>
      <c r="L53" s="2"/>
      <c r="M53" s="2"/>
      <c r="N53" s="2"/>
      <c r="O53" s="2"/>
    </row>
    <row r="54" spans="1:15" s="1" customFormat="1" ht="33" customHeight="1">
      <c r="A54" s="10" t="s">
        <v>54</v>
      </c>
      <c r="B54" s="17">
        <f>B35*0.35</f>
        <v>38.75398692965625</v>
      </c>
      <c r="C54" s="13" t="s">
        <v>3</v>
      </c>
      <c r="D54" s="21"/>
      <c r="E54" s="23"/>
      <c r="F54" s="21"/>
      <c r="G54" s="7" t="s">
        <v>54</v>
      </c>
      <c r="H54" s="13">
        <f>H35*0.35</f>
        <v>29.104639153843753</v>
      </c>
      <c r="I54" s="13" t="s">
        <v>3</v>
      </c>
      <c r="J54" s="2"/>
      <c r="K54" s="2"/>
      <c r="L54" s="2"/>
      <c r="M54" s="2"/>
      <c r="N54" s="2"/>
      <c r="O54" s="2"/>
    </row>
    <row r="55" spans="1:15" s="1" customFormat="1" ht="33" customHeight="1">
      <c r="A55" s="8" t="s">
        <v>55</v>
      </c>
      <c r="B55" s="13">
        <f>B54-B48</f>
        <v>-3.4591127812575451E-3</v>
      </c>
      <c r="C55" s="13">
        <f>B55*30</f>
        <v>-0.10377338343772635</v>
      </c>
      <c r="D55" s="21"/>
      <c r="E55" s="23"/>
      <c r="F55" s="21"/>
      <c r="G55" s="8" t="s">
        <v>55</v>
      </c>
      <c r="H55" s="13">
        <f>H54-H48</f>
        <v>-17.453295330718749</v>
      </c>
      <c r="I55" s="13">
        <f>H55*30</f>
        <v>-523.59885992156251</v>
      </c>
      <c r="J55" s="2"/>
      <c r="K55" s="2"/>
      <c r="L55" s="2"/>
      <c r="M55" s="2"/>
      <c r="N55" s="2"/>
      <c r="O55" s="2"/>
    </row>
    <row r="56" spans="1:15" s="1" customFormat="1" ht="33" customHeight="1">
      <c r="A56" s="9" t="str">
        <f>A26</f>
        <v>Cash in-lieu contribution (£)</v>
      </c>
      <c r="B56" s="17">
        <f>C55*60</f>
        <v>-6.2264030062635811</v>
      </c>
      <c r="C56" s="13" t="s">
        <v>3</v>
      </c>
      <c r="D56" s="21"/>
      <c r="E56" s="23"/>
      <c r="F56" s="21"/>
      <c r="G56" s="9" t="str">
        <f>G26</f>
        <v>Cash in-lieu contribution (£)</v>
      </c>
      <c r="H56" s="17">
        <f>I55*60</f>
        <v>-31415.93159529375</v>
      </c>
      <c r="I56" s="13" t="s">
        <v>3</v>
      </c>
      <c r="J56" s="2"/>
      <c r="K56" s="2"/>
      <c r="L56" s="2"/>
      <c r="M56" s="2"/>
      <c r="N56" s="2"/>
      <c r="O56" s="2"/>
    </row>
    <row r="57" spans="1:15">
      <c r="A57" s="21"/>
      <c r="B57" s="22"/>
      <c r="C57" s="22"/>
      <c r="D57" s="21"/>
      <c r="E57" s="23"/>
      <c r="G57" s="2"/>
      <c r="H57" s="3"/>
      <c r="I57" s="3"/>
    </row>
    <row r="58" spans="1:15">
      <c r="A58" s="21"/>
      <c r="B58" s="22"/>
      <c r="C58" s="22"/>
      <c r="D58" s="21"/>
      <c r="E58" s="23"/>
      <c r="G58" s="2"/>
      <c r="H58" s="3"/>
      <c r="I58" s="3"/>
    </row>
    <row r="59" spans="1:15" s="189" customFormat="1" ht="26.25">
      <c r="A59" s="515" t="s">
        <v>103</v>
      </c>
      <c r="B59" s="515"/>
      <c r="C59" s="515"/>
      <c r="D59" s="515"/>
      <c r="E59" s="515"/>
      <c r="F59" s="515"/>
      <c r="G59" s="515"/>
      <c r="H59" s="515"/>
      <c r="I59" s="515"/>
      <c r="J59" s="515"/>
      <c r="K59" s="515"/>
    </row>
    <row r="60" spans="1:15">
      <c r="A60" s="21"/>
      <c r="B60" s="22"/>
      <c r="C60" s="22"/>
      <c r="D60" s="21"/>
      <c r="E60" s="23"/>
      <c r="G60" s="2"/>
      <c r="H60" s="3"/>
      <c r="I60" s="3"/>
    </row>
    <row r="61" spans="1:15" s="1" customFormat="1" ht="34.5" customHeight="1">
      <c r="A61" s="193"/>
      <c r="B61" s="193" t="s">
        <v>61</v>
      </c>
      <c r="C61" s="193" t="s">
        <v>62</v>
      </c>
      <c r="D61" s="193" t="s">
        <v>63</v>
      </c>
      <c r="E61" s="23"/>
      <c r="F61" s="21"/>
      <c r="G61" s="195"/>
      <c r="H61" s="193" t="s">
        <v>61</v>
      </c>
      <c r="I61" s="193" t="s">
        <v>62</v>
      </c>
      <c r="J61" s="193" t="s">
        <v>63</v>
      </c>
      <c r="K61" s="2"/>
      <c r="L61" s="2"/>
      <c r="M61" s="2"/>
      <c r="N61" s="2"/>
      <c r="O61" s="2"/>
    </row>
    <row r="62" spans="1:15" s="1" customFormat="1" ht="39.950000000000003" customHeight="1">
      <c r="A62" s="7" t="s">
        <v>56</v>
      </c>
      <c r="B62" s="13">
        <f>Baseline!S97/1000</f>
        <v>519.92095332187512</v>
      </c>
      <c r="C62" s="15"/>
      <c r="D62" s="16"/>
      <c r="E62" s="23"/>
      <c r="F62" s="21"/>
      <c r="G62" s="7" t="s">
        <v>56</v>
      </c>
      <c r="H62" s="13">
        <f>Baseline!Y97/1000</f>
        <v>441.49243744812497</v>
      </c>
      <c r="I62" s="15"/>
      <c r="J62" s="16"/>
      <c r="K62" s="2"/>
      <c r="L62" s="2"/>
      <c r="M62" s="2"/>
      <c r="N62" s="2"/>
      <c r="O62" s="2"/>
    </row>
    <row r="63" spans="1:15" s="1" customFormat="1" ht="39.950000000000003" customHeight="1">
      <c r="A63" s="8" t="s">
        <v>57</v>
      </c>
      <c r="B63" s="13">
        <f>'Be Lean'!S97/1000</f>
        <v>472.07905760214601</v>
      </c>
      <c r="C63" s="13">
        <f>B62-B63</f>
        <v>47.841895719729109</v>
      </c>
      <c r="D63" s="14">
        <f>C63/B62</f>
        <v>9.2017633476893027E-2</v>
      </c>
      <c r="E63" s="23"/>
      <c r="F63" s="21"/>
      <c r="G63" s="8" t="s">
        <v>57</v>
      </c>
      <c r="H63" s="13">
        <f>'Be Lean'!Y97/1000</f>
        <v>383.20977943819736</v>
      </c>
      <c r="I63" s="13">
        <f>H62-H63</f>
        <v>58.282658009927616</v>
      </c>
      <c r="J63" s="14">
        <f>I63/H62</f>
        <v>0.13201281169572873</v>
      </c>
      <c r="K63" s="2"/>
      <c r="L63" s="2"/>
      <c r="M63" s="2"/>
      <c r="N63" s="2"/>
      <c r="O63" s="2"/>
    </row>
    <row r="64" spans="1:15" s="1" customFormat="1" ht="39.950000000000003" customHeight="1">
      <c r="A64" s="8" t="s">
        <v>58</v>
      </c>
      <c r="B64" s="13">
        <f>'Be Clean'!X98/1000</f>
        <v>472.07905760214601</v>
      </c>
      <c r="C64" s="13">
        <f>B63-B64</f>
        <v>0</v>
      </c>
      <c r="D64" s="14">
        <f>C64/B62</f>
        <v>0</v>
      </c>
      <c r="E64" s="23"/>
      <c r="F64" s="21"/>
      <c r="G64" s="8" t="s">
        <v>58</v>
      </c>
      <c r="H64" s="13">
        <f>'Be Clean'!AF98/1000</f>
        <v>383.20977943819736</v>
      </c>
      <c r="I64" s="13">
        <f>H63-H64</f>
        <v>0</v>
      </c>
      <c r="J64" s="14">
        <f>I64/H62</f>
        <v>0</v>
      </c>
      <c r="K64" s="2"/>
      <c r="L64" s="2"/>
      <c r="M64" s="2"/>
      <c r="N64" s="2"/>
      <c r="O64" s="2"/>
    </row>
    <row r="65" spans="1:15" s="1" customFormat="1" ht="39.950000000000003" customHeight="1">
      <c r="A65" s="11" t="s">
        <v>59</v>
      </c>
      <c r="B65" s="13">
        <f>'Be Green'!AD98/1000</f>
        <v>384.65658145126719</v>
      </c>
      <c r="C65" s="13">
        <f>B64-B65</f>
        <v>87.422476150878822</v>
      </c>
      <c r="D65" s="14">
        <f>C65/B62</f>
        <v>0.16814570675084314</v>
      </c>
      <c r="E65" s="23"/>
      <c r="F65" s="21"/>
      <c r="G65" s="11" t="s">
        <v>59</v>
      </c>
      <c r="H65" s="13">
        <f>'Be Green'!AM98/1000</f>
        <v>217.00939607184782</v>
      </c>
      <c r="I65" s="13">
        <f>H64-H65</f>
        <v>166.20038336634954</v>
      </c>
      <c r="J65" s="14">
        <f>I65/H62</f>
        <v>0.37645125775428023</v>
      </c>
      <c r="K65" s="2"/>
      <c r="L65" s="2"/>
      <c r="M65" s="2"/>
      <c r="N65" s="2"/>
      <c r="O65" s="2"/>
    </row>
    <row r="66" spans="1:15" s="1" customFormat="1" ht="39.950000000000003" customHeight="1">
      <c r="A66" s="7"/>
      <c r="B66" s="13" t="s">
        <v>3</v>
      </c>
      <c r="C66" s="18" t="s">
        <v>65</v>
      </c>
      <c r="D66" s="14" t="s">
        <v>3</v>
      </c>
      <c r="E66" s="23"/>
      <c r="F66" s="21"/>
      <c r="G66" s="7"/>
      <c r="H66" s="13" t="s">
        <v>3</v>
      </c>
      <c r="I66" s="18" t="s">
        <v>65</v>
      </c>
      <c r="J66" s="14" t="s">
        <v>3</v>
      </c>
      <c r="K66" s="2"/>
      <c r="L66" s="2"/>
      <c r="M66" s="2"/>
      <c r="N66" s="2"/>
      <c r="O66" s="2"/>
    </row>
    <row r="67" spans="1:15" s="1" customFormat="1" ht="39.950000000000003" customHeight="1">
      <c r="A67" s="12" t="s">
        <v>60</v>
      </c>
      <c r="B67" s="13" t="s">
        <v>3</v>
      </c>
      <c r="C67" s="17">
        <f>B25+C55</f>
        <v>9380.5467431714515</v>
      </c>
      <c r="D67" s="14" t="s">
        <v>3</v>
      </c>
      <c r="E67" s="23"/>
      <c r="F67" s="21"/>
      <c r="G67" s="12" t="s">
        <v>60</v>
      </c>
      <c r="H67" s="13" t="s">
        <v>3</v>
      </c>
      <c r="I67" s="17">
        <f>H25+I55</f>
        <v>4888.7377007269961</v>
      </c>
      <c r="J67" s="14" t="s">
        <v>3</v>
      </c>
      <c r="K67" s="2"/>
      <c r="L67" s="2"/>
      <c r="M67" s="2"/>
      <c r="N67" s="2"/>
      <c r="O67" s="2"/>
    </row>
    <row r="68" spans="1:15" s="25" customFormat="1" ht="13.5" thickBot="1">
      <c r="B68" s="26"/>
      <c r="C68" s="26"/>
      <c r="E68" s="27"/>
      <c r="H68" s="26"/>
      <c r="I68" s="26"/>
    </row>
    <row r="69" spans="1:15" ht="13.5" thickTop="1"/>
    <row r="71" spans="1:15" ht="15.75" customHeight="1">
      <c r="A71" s="510" t="s">
        <v>79</v>
      </c>
      <c r="B71" s="507" t="s">
        <v>67</v>
      </c>
      <c r="C71" s="508"/>
      <c r="D71" s="508"/>
      <c r="E71" s="508"/>
      <c r="F71" s="508"/>
      <c r="G71" s="508"/>
      <c r="H71" s="509"/>
    </row>
    <row r="72" spans="1:15">
      <c r="A72" s="511"/>
      <c r="B72" s="193" t="s">
        <v>68</v>
      </c>
      <c r="C72" s="193" t="s">
        <v>69</v>
      </c>
      <c r="D72" s="193" t="s">
        <v>70</v>
      </c>
      <c r="E72" s="193" t="s">
        <v>72</v>
      </c>
      <c r="F72" s="193" t="s">
        <v>71</v>
      </c>
      <c r="G72" s="196" t="s">
        <v>73</v>
      </c>
      <c r="H72" s="193" t="s">
        <v>74</v>
      </c>
    </row>
    <row r="73" spans="1:15">
      <c r="A73" s="9" t="s">
        <v>30</v>
      </c>
      <c r="B73" s="29">
        <f>'Be Lean'!AB57/1000</f>
        <v>452.32496000000015</v>
      </c>
      <c r="C73" s="29">
        <f>'Be Lean'!AC57/1000</f>
        <v>690.41669999999999</v>
      </c>
      <c r="D73" s="29">
        <f>'Be Lean'!AD57/1000</f>
        <v>116.76569000000001</v>
      </c>
      <c r="E73" s="29">
        <f>'Be Lean'!AE57/1000</f>
        <v>0</v>
      </c>
      <c r="F73" s="29">
        <f>'Be Lean'!AF57/1000</f>
        <v>20.832819999999998</v>
      </c>
      <c r="G73" s="525">
        <f>I9</f>
        <v>251.82</v>
      </c>
      <c r="H73" s="117">
        <v>0</v>
      </c>
    </row>
    <row r="74" spans="1:15">
      <c r="A74" s="9" t="s">
        <v>46</v>
      </c>
      <c r="B74" s="29">
        <f>'Be Lean'!AB93/1000</f>
        <v>0</v>
      </c>
      <c r="C74" s="29">
        <f>'Be Lean'!AC93/1000</f>
        <v>0</v>
      </c>
      <c r="D74" s="29">
        <f>'Be Lean'!AD93/1000</f>
        <v>0</v>
      </c>
      <c r="E74" s="29">
        <f>'Be Lean'!AE93/1000</f>
        <v>0</v>
      </c>
      <c r="F74" s="29">
        <f>'Be Lean'!AF93/1000</f>
        <v>0</v>
      </c>
      <c r="G74" s="525">
        <f>I35</f>
        <v>102</v>
      </c>
      <c r="H74" s="117">
        <v>0</v>
      </c>
    </row>
    <row r="77" spans="1:15" ht="25.5">
      <c r="A77" s="197"/>
      <c r="B77" s="193" t="s">
        <v>182</v>
      </c>
      <c r="C77" s="193" t="s">
        <v>183</v>
      </c>
      <c r="D77" s="193" t="s">
        <v>75</v>
      </c>
    </row>
    <row r="78" spans="1:15">
      <c r="A78" s="9" t="s">
        <v>76</v>
      </c>
      <c r="B78" s="28">
        <f>IFERROR(Baseline!AA57,"")</f>
        <v>39.214679379323236</v>
      </c>
      <c r="C78" s="28">
        <f>IFERROR('Be Lean'!AA57,"")</f>
        <v>35.972914563469807</v>
      </c>
      <c r="D78" s="14">
        <f>IFERROR(1-C78/B78,"")</f>
        <v>8.2667125351092885E-2</v>
      </c>
    </row>
    <row r="81" spans="1:3" ht="51">
      <c r="A81" s="193"/>
      <c r="B81" s="193" t="s">
        <v>184</v>
      </c>
      <c r="C81" s="193" t="s">
        <v>80</v>
      </c>
    </row>
    <row r="82" spans="1:3">
      <c r="A82" s="9" t="s">
        <v>77</v>
      </c>
      <c r="B82" s="117"/>
      <c r="C82" s="117"/>
    </row>
    <row r="83" spans="1:3">
      <c r="A83" s="9" t="s">
        <v>78</v>
      </c>
      <c r="B83" s="117"/>
      <c r="C83" s="117"/>
    </row>
  </sheetData>
  <sheetProtection algorithmName="SHA-512" hashValue="/w9qYjNsprRbS/8nwKOiLSzxTXiPfXa19ouO3y/lfKhodTN9HMmnn423lXWkYqtrdO53jXFXJH7IYHpYPhqQkQ==" saltValue="9zo3I7hmVH/rOaL0q+SsGw==" spinCount="100000" sheet="1" objects="1" scenarios="1"/>
  <mergeCells count="25">
    <mergeCell ref="A59:K59"/>
    <mergeCell ref="G43:G44"/>
    <mergeCell ref="H43:I43"/>
    <mergeCell ref="A1:E1"/>
    <mergeCell ref="F1:K1"/>
    <mergeCell ref="G7:G8"/>
    <mergeCell ref="H7:I7"/>
    <mergeCell ref="A3:K3"/>
    <mergeCell ref="A29:K29"/>
    <mergeCell ref="B71:H71"/>
    <mergeCell ref="A71:A72"/>
    <mergeCell ref="A43:A44"/>
    <mergeCell ref="B43:C43"/>
    <mergeCell ref="B7:C7"/>
    <mergeCell ref="A7:A8"/>
    <mergeCell ref="A17:A18"/>
    <mergeCell ref="B17:C17"/>
    <mergeCell ref="A33:A34"/>
    <mergeCell ref="B33:C33"/>
    <mergeCell ref="B24:C24"/>
    <mergeCell ref="H24:I24"/>
    <mergeCell ref="G17:G18"/>
    <mergeCell ref="H17:I17"/>
    <mergeCell ref="G33:G34"/>
    <mergeCell ref="H33:I3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I20"/>
  <sheetViews>
    <sheetView workbookViewId="0">
      <selection activeCell="G29" sqref="G29"/>
    </sheetView>
  </sheetViews>
  <sheetFormatPr defaultColWidth="9.140625" defaultRowHeight="12.75"/>
  <cols>
    <col min="1" max="1" width="19.28515625" style="2" customWidth="1"/>
    <col min="2" max="2" width="23.7109375" style="2" customWidth="1"/>
    <col min="3" max="16384" width="9.140625" style="2"/>
  </cols>
  <sheetData>
    <row r="1" spans="1:9" s="152" customFormat="1">
      <c r="A1" s="326" t="s">
        <v>83</v>
      </c>
      <c r="B1" s="327">
        <v>1.1000000000000001</v>
      </c>
    </row>
    <row r="2" spans="1:9" s="152" customFormat="1">
      <c r="A2" s="326" t="s">
        <v>84</v>
      </c>
      <c r="B2" s="328">
        <v>43475</v>
      </c>
    </row>
    <row r="3" spans="1:9" s="152" customFormat="1">
      <c r="A3" s="326" t="s">
        <v>85</v>
      </c>
      <c r="B3" s="328" t="s">
        <v>121</v>
      </c>
    </row>
    <row r="5" spans="1:9">
      <c r="A5" s="329" t="s">
        <v>224</v>
      </c>
      <c r="B5" s="329" t="s">
        <v>225</v>
      </c>
      <c r="C5" s="330"/>
      <c r="D5" s="330"/>
      <c r="E5" s="330"/>
      <c r="F5" s="330"/>
      <c r="G5" s="330"/>
      <c r="H5" s="330"/>
      <c r="I5" s="331"/>
    </row>
    <row r="6" spans="1:9" ht="25.5" customHeight="1">
      <c r="A6" s="522" t="s">
        <v>268</v>
      </c>
      <c r="B6" s="519" t="s">
        <v>269</v>
      </c>
      <c r="C6" s="520"/>
      <c r="D6" s="520"/>
      <c r="E6" s="520"/>
      <c r="F6" s="520"/>
      <c r="G6" s="520"/>
      <c r="H6" s="520"/>
      <c r="I6" s="521"/>
    </row>
    <row r="7" spans="1:9" ht="25.5" customHeight="1">
      <c r="A7" s="523"/>
      <c r="B7" s="519" t="s">
        <v>270</v>
      </c>
      <c r="C7" s="520"/>
      <c r="D7" s="520"/>
      <c r="E7" s="520"/>
      <c r="F7" s="520"/>
      <c r="G7" s="520"/>
      <c r="H7" s="520"/>
      <c r="I7" s="521"/>
    </row>
    <row r="8" spans="1:9" ht="30" customHeight="1">
      <c r="A8" s="522" t="s">
        <v>226</v>
      </c>
      <c r="B8" s="519" t="s">
        <v>227</v>
      </c>
      <c r="C8" s="520"/>
      <c r="D8" s="520"/>
      <c r="E8" s="520"/>
      <c r="F8" s="520"/>
      <c r="G8" s="520"/>
      <c r="H8" s="520"/>
      <c r="I8" s="521"/>
    </row>
    <row r="9" spans="1:9" ht="69" customHeight="1">
      <c r="A9" s="523"/>
      <c r="B9" s="519" t="s">
        <v>271</v>
      </c>
      <c r="C9" s="520"/>
      <c r="D9" s="520"/>
      <c r="E9" s="520"/>
      <c r="F9" s="520"/>
      <c r="G9" s="520"/>
      <c r="H9" s="520"/>
      <c r="I9" s="521"/>
    </row>
    <row r="10" spans="1:9" ht="25.5" customHeight="1">
      <c r="A10" s="523"/>
      <c r="B10" s="519" t="s">
        <v>279</v>
      </c>
      <c r="C10" s="520"/>
      <c r="D10" s="520"/>
      <c r="E10" s="520"/>
      <c r="F10" s="520"/>
      <c r="G10" s="520"/>
      <c r="H10" s="520"/>
      <c r="I10" s="521"/>
    </row>
    <row r="11" spans="1:9" ht="25.5" customHeight="1">
      <c r="A11" s="523"/>
      <c r="B11" s="519" t="s">
        <v>272</v>
      </c>
      <c r="C11" s="520"/>
      <c r="D11" s="520"/>
      <c r="E11" s="520"/>
      <c r="F11" s="520"/>
      <c r="G11" s="520"/>
      <c r="H11" s="520"/>
      <c r="I11" s="521"/>
    </row>
    <row r="12" spans="1:9" ht="25.5" customHeight="1">
      <c r="A12" s="523"/>
      <c r="B12" s="519" t="s">
        <v>256</v>
      </c>
      <c r="C12" s="520"/>
      <c r="D12" s="520"/>
      <c r="E12" s="520"/>
      <c r="F12" s="520"/>
      <c r="G12" s="520"/>
      <c r="H12" s="520"/>
      <c r="I12" s="521"/>
    </row>
    <row r="13" spans="1:9" ht="25.5" customHeight="1">
      <c r="A13" s="523"/>
      <c r="B13" s="519" t="s">
        <v>228</v>
      </c>
      <c r="C13" s="520"/>
      <c r="D13" s="520"/>
      <c r="E13" s="520"/>
      <c r="F13" s="520"/>
      <c r="G13" s="520"/>
      <c r="H13" s="520"/>
      <c r="I13" s="521"/>
    </row>
    <row r="14" spans="1:9" ht="33" customHeight="1">
      <c r="A14" s="523"/>
      <c r="B14" s="519" t="s">
        <v>273</v>
      </c>
      <c r="C14" s="520"/>
      <c r="D14" s="520"/>
      <c r="E14" s="520"/>
      <c r="F14" s="520"/>
      <c r="G14" s="520"/>
      <c r="H14" s="520"/>
      <c r="I14" s="521"/>
    </row>
    <row r="15" spans="1:9" ht="25.5" customHeight="1">
      <c r="A15" s="523"/>
      <c r="B15" s="519" t="s">
        <v>229</v>
      </c>
      <c r="C15" s="520"/>
      <c r="D15" s="520"/>
      <c r="E15" s="520"/>
      <c r="F15" s="520"/>
      <c r="G15" s="520"/>
      <c r="H15" s="520"/>
      <c r="I15" s="521"/>
    </row>
    <row r="16" spans="1:9" ht="25.5" customHeight="1">
      <c r="A16" s="523"/>
      <c r="B16" s="519" t="s">
        <v>275</v>
      </c>
      <c r="C16" s="520"/>
      <c r="D16" s="520"/>
      <c r="E16" s="520"/>
      <c r="F16" s="520"/>
      <c r="G16" s="520"/>
      <c r="H16" s="520"/>
      <c r="I16" s="521"/>
    </row>
    <row r="17" spans="1:9" ht="25.5" customHeight="1">
      <c r="A17" s="524"/>
      <c r="B17" s="519" t="s">
        <v>274</v>
      </c>
      <c r="C17" s="520"/>
      <c r="D17" s="520"/>
      <c r="E17" s="520"/>
      <c r="F17" s="520"/>
      <c r="G17" s="520"/>
      <c r="H17" s="520"/>
      <c r="I17" s="521"/>
    </row>
    <row r="18" spans="1:9" ht="25.5" customHeight="1">
      <c r="A18" s="332" t="s">
        <v>231</v>
      </c>
      <c r="B18" s="519" t="s">
        <v>276</v>
      </c>
      <c r="C18" s="520"/>
      <c r="D18" s="520"/>
      <c r="E18" s="520"/>
      <c r="F18" s="520"/>
      <c r="G18" s="520"/>
      <c r="H18" s="520"/>
      <c r="I18" s="521"/>
    </row>
    <row r="19" spans="1:9" ht="25.5" customHeight="1">
      <c r="A19" s="522" t="s">
        <v>230</v>
      </c>
      <c r="B19" s="519" t="s">
        <v>277</v>
      </c>
      <c r="C19" s="520"/>
      <c r="D19" s="520"/>
      <c r="E19" s="520"/>
      <c r="F19" s="520"/>
      <c r="G19" s="520"/>
      <c r="H19" s="520"/>
      <c r="I19" s="521"/>
    </row>
    <row r="20" spans="1:9" ht="25.5" customHeight="1">
      <c r="A20" s="524" t="s">
        <v>230</v>
      </c>
      <c r="B20" s="519" t="s">
        <v>278</v>
      </c>
      <c r="C20" s="520"/>
      <c r="D20" s="520"/>
      <c r="E20" s="520"/>
      <c r="F20" s="520"/>
      <c r="G20" s="520"/>
      <c r="H20" s="520"/>
      <c r="I20" s="521"/>
    </row>
  </sheetData>
  <sheetProtection password="D74B" sheet="1" objects="1" scenarios="1"/>
  <mergeCells count="18">
    <mergeCell ref="A19:A20"/>
    <mergeCell ref="B19:I19"/>
    <mergeCell ref="B10:I10"/>
    <mergeCell ref="B20:I20"/>
    <mergeCell ref="B18:I18"/>
    <mergeCell ref="B6:I6"/>
    <mergeCell ref="B7:I7"/>
    <mergeCell ref="A6:A7"/>
    <mergeCell ref="B11:I11"/>
    <mergeCell ref="B14:I14"/>
    <mergeCell ref="A8:A17"/>
    <mergeCell ref="B8:I8"/>
    <mergeCell ref="B9:I9"/>
    <mergeCell ref="B12:I12"/>
    <mergeCell ref="B13:I13"/>
    <mergeCell ref="B15:I15"/>
    <mergeCell ref="B16:I16"/>
    <mergeCell ref="B17:I17"/>
  </mergeCell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Introduction</vt:lpstr>
      <vt:lpstr>Carbon factors</vt:lpstr>
      <vt:lpstr>Baseline</vt:lpstr>
      <vt:lpstr>Be Lean</vt:lpstr>
      <vt:lpstr>Be Clean</vt:lpstr>
      <vt:lpstr>Be Green</vt:lpstr>
      <vt:lpstr>GLA Summary tables</vt:lpstr>
      <vt:lpstr>Version control</vt:lpstr>
      <vt:lpstr>Fuel_Type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2019-01-07T11:02:06Z</dcterms:created>
  <dcterms:modified xsi:type="dcterms:W3CDTF">2019-06-07T17:37:10Z</dcterms:modified>
</cp:coreProperties>
</file>