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05" windowWidth="15480" windowHeight="10680" tabRatio="883" activeTab="0"/>
  </bookViews>
  <sheets>
    <sheet name="00 Summary" sheetId="1" r:id="rId1"/>
    <sheet name="01 Energy" sheetId="2" r:id="rId2"/>
    <sheet name="02 CO2" sheetId="3" r:id="rId3"/>
    <sheet name="02b CO2e" sheetId="4" state="hidden" r:id="rId4"/>
    <sheet name="03a Data_Elec&amp;Gas" sheetId="5" r:id="rId5"/>
    <sheet name="03b Data_Residual" sheetId="6" r:id="rId6"/>
    <sheet name="03c Data_CO2" sheetId="7" state="hidden" r:id="rId7"/>
    <sheet name="03c Data_Transport" sheetId="8" r:id="rId8"/>
    <sheet name="04 Emissions Factors" sheetId="9" r:id="rId9"/>
    <sheet name="05 Data_Sources" sheetId="10" r:id="rId10"/>
  </sheets>
  <externalReferences>
    <externalReference r:id="rId13"/>
    <externalReference r:id="rId14"/>
  </externalReferences>
  <definedNames>
    <definedName name="_xlfn.F.DIST" hidden="1">#NAME?</definedName>
    <definedName name="_xlfn.IFERROR" hidden="1">#NAME?</definedName>
    <definedName name="Borough">'[1]Lists'!$J$3:$J$36</definedName>
    <definedName name="EF_ATF">'[2]04 Emissions Factors'!$I$20</definedName>
    <definedName name="EF_COAL_DOM" localSheetId="7">'[2]04 Emissions Factors'!$I$9</definedName>
    <definedName name="EF_COAL_DOM">'04 Emissions Factors'!$F$9</definedName>
    <definedName name="EF_COAL_WORK">'[2]04 Emissions Factors'!$I$14</definedName>
    <definedName name="EF_COAL_WP" localSheetId="7">'[2]04 Emissions Factors'!#REF!</definedName>
    <definedName name="EF_COAL_WP">'04 Emissions Factors'!$F$14</definedName>
    <definedName name="EF_DIESEL" localSheetId="7">'[2]04 Emissions Factors'!$I$17</definedName>
    <definedName name="EF_Diesel">'04 Emissions Factors'!$F$21</definedName>
    <definedName name="EF_DIESEL_LITRE">'[2]04 Emissions Factors'!$I$28</definedName>
    <definedName name="EF_DIESEL_TONNE">'[2]04 Emissions Factors'!$I$22</definedName>
    <definedName name="EF_ELEC" localSheetId="7">'[2]04 Emissions Factors'!#REF!</definedName>
    <definedName name="EF_ELEC">'04 Emissions Factors'!$F$6</definedName>
    <definedName name="EF_ELEC_GEN">'[2]04 Emissions Factors'!$I$6</definedName>
    <definedName name="EF_ELEC_TD">'04 Emissions Factors'!$F$6</definedName>
    <definedName name="EF_GAS" localSheetId="7">'[2]04 Emissions Factors'!$I$8</definedName>
    <definedName name="EF_GAS">'04 Emissions Factors'!$F$8</definedName>
    <definedName name="EF_GAS_DOM" localSheetId="7">'[2]04 Emissions Factors'!#REF!</definedName>
    <definedName name="EF_GAS_DOM">'04 Emissions Factors'!$F$10</definedName>
    <definedName name="EF_GASOIL_TONNE">'[2]04 Emissions Factors'!$I$23</definedName>
    <definedName name="EF_LPG_TONNE">'[2]04 Emissions Factors'!$I$24</definedName>
    <definedName name="EF_OIL_DOM" localSheetId="7">'[2]04 Emissions Factors'!$I$10</definedName>
    <definedName name="EF_OIL_DOM">'04 Emissions Factors'!$F$10</definedName>
    <definedName name="EF_OIL_LITRE">'[2]04 Emissions Factors'!$I$29</definedName>
    <definedName name="EF_OIL_WORK">'[2]04 Emissions Factors'!$I$15</definedName>
    <definedName name="EF_OIL_WP" localSheetId="7">'[2]04 Emissions Factors'!#REF!</definedName>
    <definedName name="EF_OIL_WP">'04 Emissions Factors'!$F$15</definedName>
    <definedName name="EF_PETROL_LITRE">'[2]04 Emissions Factors'!$I$27</definedName>
    <definedName name="EF_PETROL_TONNE">'[2]04 Emissions Factors'!$I$21</definedName>
    <definedName name="EF_WASTE" localSheetId="7">'[2]04 Emissions Factors'!$I$16</definedName>
    <definedName name="EF_WASTE">'04 Emissions Factors'!$F$16</definedName>
    <definedName name="_xlnm.Print_Area" localSheetId="0">'00 Summary'!$A$1:$W$82</definedName>
    <definedName name="_xlnm.Print_Area" localSheetId="1">'01 Energy'!$A$1:$U$44</definedName>
    <definedName name="_xlnm.Print_Area" localSheetId="2">'02 CO2'!$A$1:$U$86</definedName>
    <definedName name="_xlnm.Print_Area" localSheetId="4">'03a Data_Elec&amp;Gas'!$A$1:$L$46</definedName>
    <definedName name="_xlnm.Print_Area" localSheetId="5">'03b Data_Residual'!$A$1:$S$89</definedName>
    <definedName name="_xlnm.Print_Area" localSheetId="6">'03c Data_CO2'!$A$1:$W$39</definedName>
    <definedName name="_xlnm.Print_Area" localSheetId="8">'04 Emissions Factors'!$A$1:$K$32</definedName>
    <definedName name="_xlnm.Print_Area" localSheetId="9">'05 Data_Sources'!$A$1:$H$21</definedName>
    <definedName name="Sector">'[1]Lists'!$B$3:$B$6</definedName>
  </definedNames>
  <calcPr fullCalcOnLoad="1"/>
</workbook>
</file>

<file path=xl/comments1.xml><?xml version="1.0" encoding="utf-8"?>
<comments xmlns="http://schemas.openxmlformats.org/spreadsheetml/2006/main">
  <authors>
    <author>Michael Doust</author>
  </authors>
  <commentList>
    <comment ref="I16" authorId="0">
      <text>
        <r>
          <rPr>
            <sz val="9"/>
            <rFont val="Calibri"/>
            <family val="2"/>
          </rPr>
          <t>DECC Local and Regional CO2 Emissions Estimates for 2005-2011 (published 11.07. 2013) used from 2005 onwards. The Mayor's Climate Change Mitigation and Energy Strategy used AEA modelling for 2005-2008. This has now been revised with 2013 DECC estimates for 2005-2011.</t>
        </r>
        <r>
          <rPr>
            <sz val="9"/>
            <rFont val="Tahoma"/>
            <family val="2"/>
          </rPr>
          <t xml:space="preserve">
</t>
        </r>
      </text>
    </comment>
    <comment ref="C16" authorId="0">
      <text>
        <r>
          <rPr>
            <sz val="9"/>
            <rFont val="Tahoma"/>
            <family val="2"/>
          </rPr>
          <t>From Climate Change Action Plan</t>
        </r>
      </text>
    </comment>
    <comment ref="D16" authorId="0">
      <text>
        <r>
          <rPr>
            <sz val="9"/>
            <rFont val="Tahoma"/>
            <family val="2"/>
          </rPr>
          <t xml:space="preserve">From AEAT modelling
</t>
        </r>
      </text>
    </comment>
    <comment ref="B77" authorId="0">
      <text>
        <r>
          <rPr>
            <b/>
            <sz val="9"/>
            <rFont val="Tahoma"/>
            <family val="2"/>
          </rPr>
          <t>Included in Industrial and Commercial up to 2010</t>
        </r>
        <r>
          <rPr>
            <sz val="9"/>
            <rFont val="Tahoma"/>
            <family val="2"/>
          </rPr>
          <t xml:space="preserve">
</t>
        </r>
      </text>
    </comment>
  </commentList>
</comments>
</file>

<file path=xl/comments3.xml><?xml version="1.0" encoding="utf-8"?>
<comments xmlns="http://schemas.openxmlformats.org/spreadsheetml/2006/main">
  <authors>
    <author>Michael Doust</author>
  </authors>
  <commentList>
    <comment ref="G45" authorId="0">
      <text>
        <r>
          <rPr>
            <b/>
            <sz val="9"/>
            <rFont val="Tahoma"/>
            <family val="2"/>
          </rPr>
          <t>DO NOT USE - KWH DATA WEATHER ADJUSTED!</t>
        </r>
      </text>
    </comment>
  </commentList>
</comments>
</file>

<file path=xl/comments6.xml><?xml version="1.0" encoding="utf-8"?>
<comments xmlns="http://schemas.openxmlformats.org/spreadsheetml/2006/main">
  <authors>
    <author>MDoust</author>
  </authors>
  <commentList>
    <comment ref="G84" authorId="0">
      <text>
        <r>
          <rPr>
            <sz val="8"/>
            <rFont val="Tahoma"/>
            <family val="2"/>
          </rPr>
          <t>Included in transport modelling</t>
        </r>
      </text>
    </comment>
  </commentList>
</comments>
</file>

<file path=xl/comments7.xml><?xml version="1.0" encoding="utf-8"?>
<comments xmlns="http://schemas.openxmlformats.org/spreadsheetml/2006/main">
  <authors>
    <author>Michael Doust</author>
  </authors>
  <commentList>
    <comment ref="U5" authorId="0">
      <text>
        <r>
          <rPr>
            <sz val="9"/>
            <rFont val="Tahoma"/>
            <family val="2"/>
          </rPr>
          <t>Previously defined as 'Road Transport Other' (see LEGGI 2010) so allocated to Road Transport emissions.</t>
        </r>
      </text>
    </comment>
  </commentList>
</comments>
</file>

<file path=xl/sharedStrings.xml><?xml version="1.0" encoding="utf-8"?>
<sst xmlns="http://schemas.openxmlformats.org/spreadsheetml/2006/main" count="1714" uniqueCount="408">
  <si>
    <t>(2) Excludes the consumption of propane.</t>
  </si>
  <si>
    <t>(3) Includes some coal consumption by auto-generators.</t>
  </si>
  <si>
    <t>thousand tonnes of oil equivalent</t>
  </si>
  <si>
    <t>kWh</t>
  </si>
  <si>
    <t>thousand toe</t>
  </si>
  <si>
    <t>toe</t>
  </si>
  <si>
    <t>n/a</t>
  </si>
  <si>
    <t>Grand Total (kWh)</t>
  </si>
  <si>
    <t>Grand Total (GWh)</t>
  </si>
  <si>
    <t>Grand Total (kt)</t>
  </si>
  <si>
    <t>Grand Total (mt)</t>
  </si>
  <si>
    <t>Sector</t>
  </si>
  <si>
    <t>Source</t>
  </si>
  <si>
    <t>Description</t>
  </si>
  <si>
    <t>Domestic</t>
  </si>
  <si>
    <t>Electricity</t>
  </si>
  <si>
    <t>Electricity use and greenhouse gas (GHG) emissions calculated from actual or estimated meter reading at domestic premises.</t>
  </si>
  <si>
    <t>Gas</t>
  </si>
  <si>
    <t>Coal</t>
  </si>
  <si>
    <t>Energy use and GHG emissions from smokeless solid fuels (SSF) - coke and anthracite - burnt exclusively within Smoke Control Areas and used for room heaters, cookers, boilers, open fires and stoves.</t>
  </si>
  <si>
    <t>Oil [Petroleum]</t>
  </si>
  <si>
    <t>Energy use and GHG emissions from domestic oil (e.g., heating oil, gas oils, kerosene, etc) used for oil- fired central heating in residential homes.</t>
  </si>
  <si>
    <t>Energy use and GHG emissions from industrial (e.g., iron and steel production, excluding coal-fired electricity generation at power stations) and commercial/ public (e.g., as feedstock for boilers providing heating and hot water in public buildings such as hospitals and schools) coal consumption.</t>
  </si>
  <si>
    <t>Energy use and GHG emissions from oil (e.g., heavy, medium and light fuel oil) used in general industrial and commercial applications, including boiler firing for hot water and steam raising, furnaces and large air heater and dryers but excluding petrol and gas oil/diesel (DERV) used by road and rail transport as well as oil used for electricity generation at power stations.</t>
  </si>
  <si>
    <t>Waste and Renewables</t>
  </si>
  <si>
    <t>Energy use and GHG emissions from wastes (excluding greenhouse gases from waste incinerated and/or used to generate energy) and renewables (including, landfill gas, sewage gas, wood, municipal solid waste, scrap tyres, waste oils, clinical waste, waste solvents, etc,). CO2 emissions from biomass are excluded but non-carbon dioxide greenhouse gases (methane and nitrous oxide) are included.</t>
  </si>
  <si>
    <t>Transport</t>
  </si>
  <si>
    <t>Domestic aviation</t>
  </si>
  <si>
    <t xml:space="preserve">Heathrow </t>
  </si>
  <si>
    <t>London City</t>
  </si>
  <si>
    <t>Domestic shipping</t>
  </si>
  <si>
    <t>Railways</t>
  </si>
  <si>
    <t>Fossil fuels</t>
  </si>
  <si>
    <t>Electric</t>
  </si>
  <si>
    <t>Road Transport</t>
  </si>
  <si>
    <t>Dataset</t>
  </si>
  <si>
    <t>Year</t>
  </si>
  <si>
    <t>CO2</t>
  </si>
  <si>
    <t>CH4</t>
  </si>
  <si>
    <t>N2O</t>
  </si>
  <si>
    <t>Coal (domestic)</t>
  </si>
  <si>
    <t>Oil</t>
  </si>
  <si>
    <t>Gas Oil</t>
  </si>
  <si>
    <t>Coal (industrial)</t>
  </si>
  <si>
    <t>Fuel Oil</t>
  </si>
  <si>
    <t>Greater London</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</si>
  <si>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</si>
  <si>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</si>
  <si>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</si>
  <si>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</si>
  <si>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</si>
  <si>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</si>
  <si>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</si>
  <si>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</si>
  <si>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</si>
  <si>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</si>
  <si>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</si>
  <si>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</si>
  <si>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</si>
  <si>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</si>
  <si>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</si>
  <si>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</si>
  <si>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</si>
  <si>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</si>
  <si>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</si>
  <si>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</si>
  <si>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</si>
  <si>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</si>
  <si>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</si>
  <si>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</si>
  <si>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</si>
  <si>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</si>
  <si>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t>
  </si>
  <si>
    <t>Richmond upon Thames</t>
  </si>
  <si>
    <t>Southwark</t>
  </si>
  <si>
    <t>Sutton</t>
  </si>
  <si>
    <t>Tower Hamlets</t>
  </si>
  <si>
    <t>Waltham Forest</t>
  </si>
  <si>
    <t>Wandsworth</t>
  </si>
  <si>
    <t>Westminster</t>
  </si>
  <si>
    <t>Greater London Total</t>
  </si>
  <si>
    <t>Second Tier Authority</t>
  </si>
  <si>
    <t>LA Region Name</t>
  </si>
  <si>
    <t>A. Industry and Commercial Electricity</t>
  </si>
  <si>
    <t>B. Industry and Commercial Gas</t>
  </si>
  <si>
    <t>C. Large Industrial Installations</t>
  </si>
  <si>
    <t>D. Industrial and Commercial Other Fuels</t>
  </si>
  <si>
    <t>E. Agricultural Combustion</t>
  </si>
  <si>
    <t>N. LULUCF Net Emissions</t>
  </si>
  <si>
    <t>Total</t>
  </si>
  <si>
    <t>Population                                              ('000s, mid-year estimate)</t>
  </si>
  <si>
    <t>Per Capita Emissions (t)</t>
  </si>
  <si>
    <t>Region Name</t>
  </si>
  <si>
    <t>Total Energy Consumption</t>
  </si>
  <si>
    <t>Industrial and Commercial</t>
  </si>
  <si>
    <t>Grand Total</t>
  </si>
  <si>
    <t>Borough</t>
  </si>
  <si>
    <t>Domestic Aviation</t>
  </si>
  <si>
    <t>Domestic Shipping</t>
  </si>
  <si>
    <t>Kingston</t>
  </si>
  <si>
    <t>LEGGI_DATA_SOURCE_TABLE_TEMPLATE</t>
  </si>
  <si>
    <t>Energy_kWh/yr</t>
  </si>
  <si>
    <r>
      <t>CO</t>
    </r>
    <r>
      <rPr>
        <b/>
        <vertAlign val="subscript"/>
        <sz val="10"/>
        <color indexed="9"/>
        <rFont val="Calibri"/>
        <family val="2"/>
      </rPr>
      <t>2</t>
    </r>
    <r>
      <rPr>
        <b/>
        <sz val="10"/>
        <color indexed="9"/>
        <rFont val="Calibri"/>
        <family val="2"/>
      </rPr>
      <t>_tCO</t>
    </r>
    <r>
      <rPr>
        <b/>
        <vertAlign val="subscript"/>
        <sz val="10"/>
        <color indexed="9"/>
        <rFont val="Calibri"/>
        <family val="2"/>
      </rPr>
      <t>2</t>
    </r>
    <r>
      <rPr>
        <b/>
        <sz val="10"/>
        <color indexed="9"/>
        <rFont val="Calibri"/>
        <family val="2"/>
      </rPr>
      <t>eq/yr</t>
    </r>
  </si>
  <si>
    <r>
      <t>CH</t>
    </r>
    <r>
      <rPr>
        <b/>
        <vertAlign val="subscript"/>
        <sz val="10"/>
        <color indexed="9"/>
        <rFont val="Calibri"/>
        <family val="2"/>
      </rPr>
      <t>4</t>
    </r>
    <r>
      <rPr>
        <b/>
        <sz val="10"/>
        <color indexed="9"/>
        <rFont val="Calibri"/>
        <family val="2"/>
      </rPr>
      <t>_tCO</t>
    </r>
    <r>
      <rPr>
        <b/>
        <vertAlign val="subscript"/>
        <sz val="10"/>
        <color indexed="9"/>
        <rFont val="Calibri"/>
        <family val="2"/>
      </rPr>
      <t>2</t>
    </r>
    <r>
      <rPr>
        <b/>
        <sz val="10"/>
        <color indexed="9"/>
        <rFont val="Calibri"/>
        <family val="2"/>
      </rPr>
      <t>eq/yr</t>
    </r>
  </si>
  <si>
    <r>
      <t>N</t>
    </r>
    <r>
      <rPr>
        <b/>
        <vertAlign val="subscript"/>
        <sz val="10"/>
        <color indexed="9"/>
        <rFont val="Calibri"/>
        <family val="2"/>
      </rPr>
      <t>2</t>
    </r>
    <r>
      <rPr>
        <b/>
        <sz val="10"/>
        <color indexed="9"/>
        <rFont val="Calibri"/>
        <family val="2"/>
      </rPr>
      <t>O_tCO2eq/yr</t>
    </r>
  </si>
  <si>
    <t>PFC_tonnes/yr</t>
  </si>
  <si>
    <t>HFC_tonnes/yr</t>
  </si>
  <si>
    <r>
      <t>SF</t>
    </r>
    <r>
      <rPr>
        <b/>
        <vertAlign val="subscript"/>
        <sz val="10"/>
        <color indexed="9"/>
        <rFont val="Calibri"/>
        <family val="2"/>
      </rPr>
      <t>6</t>
    </r>
    <r>
      <rPr>
        <b/>
        <sz val="10"/>
        <color indexed="9"/>
        <rFont val="Calibri"/>
        <family val="2"/>
      </rPr>
      <t>_tonnes/yr</t>
    </r>
  </si>
  <si>
    <r>
      <t>Total tCO</t>
    </r>
    <r>
      <rPr>
        <b/>
        <vertAlign val="subscript"/>
        <sz val="10"/>
        <color indexed="9"/>
        <rFont val="Calibri"/>
        <family val="2"/>
      </rPr>
      <t>2</t>
    </r>
    <r>
      <rPr>
        <b/>
        <sz val="10"/>
        <color indexed="9"/>
        <rFont val="Calibri"/>
        <family val="2"/>
      </rPr>
      <t>eq/yr</t>
    </r>
  </si>
  <si>
    <t>Industrial_and_Commercial</t>
  </si>
  <si>
    <t>Other</t>
  </si>
  <si>
    <t>LA name</t>
  </si>
  <si>
    <t>LA code</t>
  </si>
  <si>
    <t>MLOSA code</t>
  </si>
  <si>
    <t>UKI2101</t>
  </si>
  <si>
    <t>UKI2301</t>
  </si>
  <si>
    <t>Industrial and commercial</t>
  </si>
  <si>
    <t>Economy 7</t>
  </si>
  <si>
    <t>UKI2102</t>
  </si>
  <si>
    <t>UKI2302</t>
  </si>
  <si>
    <t>UKI2201</t>
  </si>
  <si>
    <t>UKI1102</t>
  </si>
  <si>
    <t>UKI1101</t>
  </si>
  <si>
    <t>UKI2202</t>
  </si>
  <si>
    <t>UKI2303</t>
  </si>
  <si>
    <t>UKI2103</t>
  </si>
  <si>
    <t>UKI2104</t>
  </si>
  <si>
    <t>UKI1201</t>
  </si>
  <si>
    <t>UKI1103</t>
  </si>
  <si>
    <t>UKI1202</t>
  </si>
  <si>
    <t>UKI2304</t>
  </si>
  <si>
    <t>UKI2105</t>
  </si>
  <si>
    <t>UKI2305</t>
  </si>
  <si>
    <t>UKI2306</t>
  </si>
  <si>
    <t>UKI1203</t>
  </si>
  <si>
    <t>UKI1104</t>
  </si>
  <si>
    <t>UKI2203</t>
  </si>
  <si>
    <t>UKI1204</t>
  </si>
  <si>
    <t>UKI1205</t>
  </si>
  <si>
    <t>UKI2204</t>
  </si>
  <si>
    <t>UKI1206</t>
  </si>
  <si>
    <t>UKI2106</t>
  </si>
  <si>
    <t>UKI2307</t>
  </si>
  <si>
    <t>UKI1207</t>
  </si>
  <si>
    <t>UKI2205</t>
  </si>
  <si>
    <t>UKI1208</t>
  </si>
  <si>
    <t>UKI2107</t>
  </si>
  <si>
    <t>UKI1105</t>
  </si>
  <si>
    <t>UKI1106</t>
  </si>
  <si>
    <t xml:space="preserve">      Thousand tonnes of oil equivalent</t>
  </si>
  <si>
    <t>Petroleum</t>
  </si>
  <si>
    <t>Manufactured Solid Fuels</t>
  </si>
  <si>
    <t>All Fuels</t>
  </si>
  <si>
    <t>Rail</t>
  </si>
  <si>
    <t>Public Administration</t>
  </si>
  <si>
    <t>Commercial</t>
  </si>
  <si>
    <t>Industrial</t>
  </si>
  <si>
    <t>All Sources</t>
  </si>
  <si>
    <t>Table 3.2.1</t>
  </si>
  <si>
    <t xml:space="preserve">Data sources </t>
  </si>
  <si>
    <t>Railways_ diesel</t>
  </si>
  <si>
    <t>Railways_ electric</t>
  </si>
  <si>
    <t>Table 3.2.2</t>
  </si>
  <si>
    <t>(excl. LUCLUF)</t>
  </si>
  <si>
    <r>
      <t>Total CO</t>
    </r>
    <r>
      <rPr>
        <b/>
        <vertAlign val="subscript"/>
        <sz val="10"/>
        <color indexed="9"/>
        <rFont val="Calibri"/>
        <family val="2"/>
      </rPr>
      <t>2</t>
    </r>
    <r>
      <rPr>
        <b/>
        <sz val="10"/>
        <color indexed="9"/>
        <rFont val="Calibri"/>
        <family val="2"/>
      </rPr>
      <t xml:space="preserve"> emissions (kt)</t>
    </r>
  </si>
  <si>
    <t>Other airports</t>
  </si>
  <si>
    <t>TOTAL</t>
  </si>
  <si>
    <t xml:space="preserve">Table 2.3: </t>
  </si>
  <si>
    <t>CO2 data from DECC kWh data &amp; TfL CO2 data</t>
  </si>
  <si>
    <t>Table 12a, Annex 12, 2012 Guidelines to Defra/DECC's GHG Conversion Factors for Company Reporting</t>
  </si>
  <si>
    <t>Conversion factor</t>
  </si>
  <si>
    <t>Diesel</t>
  </si>
  <si>
    <t>Railways_Diesel</t>
  </si>
  <si>
    <t>Railways_Electric</t>
  </si>
  <si>
    <t>Electricity w/o rail</t>
  </si>
  <si>
    <t xml:space="preserve">https://www.gov.uk/government/statistical-data-sets/regional-and-local-authority-electricity-consumption-statistics-2005-to-2011
</t>
  </si>
  <si>
    <t>Reference</t>
  </si>
  <si>
    <t>CO2 Emissions (MtCO2)</t>
  </si>
  <si>
    <t>Rail_diesel</t>
  </si>
  <si>
    <t>Rail_electric</t>
  </si>
  <si>
    <t>Energy Use (GWh)</t>
  </si>
  <si>
    <t>DOMESTIC</t>
  </si>
  <si>
    <t>INDUSTRIAL AND COMMERCIAL</t>
  </si>
  <si>
    <t>https://www.gov.uk/government/statistical-data-sets/estimates-of-non-gas-non-electricity-and-non-road-transport-fuels-at-regional-and-local-authority-level</t>
  </si>
  <si>
    <t>Large industrial</t>
  </si>
  <si>
    <t>Population</t>
  </si>
  <si>
    <t>SUB-TOTAL</t>
  </si>
  <si>
    <t>Reduction from 1990</t>
  </si>
  <si>
    <t>Reduction from 2000</t>
  </si>
  <si>
    <t>Table 0.1</t>
  </si>
  <si>
    <t>Table 0.2</t>
  </si>
  <si>
    <t>CO2 per capita_all</t>
  </si>
  <si>
    <t>CO2 per capita_excl. workplaces</t>
  </si>
  <si>
    <t>CO2 emissions by borough, ktCO2, 2011</t>
  </si>
  <si>
    <t>LULUCF</t>
  </si>
  <si>
    <t>Industry and Commercial Total</t>
  </si>
  <si>
    <t>F. Domestic Electricity</t>
  </si>
  <si>
    <t>G. Domestic Gas</t>
  </si>
  <si>
    <t>H. Domestic 'Other Fuels'</t>
  </si>
  <si>
    <t>Domestic Total</t>
  </si>
  <si>
    <t>I. Road Transport (A roads)</t>
  </si>
  <si>
    <t>J. Road Transport (Motorways)</t>
  </si>
  <si>
    <t>K. Road Transport (Minor roads)</t>
  </si>
  <si>
    <t>L. Diesel Railways</t>
  </si>
  <si>
    <t>M. Transport Other</t>
  </si>
  <si>
    <t>Transport Total</t>
  </si>
  <si>
    <t>Per capita</t>
  </si>
  <si>
    <t>Total excl. LULUCF</t>
  </si>
  <si>
    <t>Table 3.3</t>
  </si>
  <si>
    <t>Introduction</t>
  </si>
  <si>
    <t>TABLE 2: ENERGY USE</t>
  </si>
  <si>
    <t>Weather corrected</t>
  </si>
  <si>
    <t>Non-weather corrected</t>
  </si>
  <si>
    <t>Large industrial users</t>
  </si>
  <si>
    <t xml:space="preserve">Data and expert knowledge were provided by Ricardo-AEA. </t>
  </si>
  <si>
    <t>London Atmospheric Emissions Inventory</t>
  </si>
  <si>
    <t>Waste</t>
  </si>
  <si>
    <t>GHG</t>
  </si>
  <si>
    <t>Fuel Type</t>
  </si>
  <si>
    <t>Generation</t>
  </si>
  <si>
    <t>T&amp;D losses</t>
  </si>
  <si>
    <t xml:space="preserve">Publication date: </t>
  </si>
  <si>
    <t>Table 3.1</t>
  </si>
  <si>
    <t>NA</t>
  </si>
  <si>
    <t>Aviation Turbine Fuel</t>
  </si>
  <si>
    <t>ATF</t>
  </si>
  <si>
    <t>Petrol</t>
  </si>
  <si>
    <t>Petrol (av biofuel blend)</t>
  </si>
  <si>
    <t>Diesel (av biofuel blend)</t>
  </si>
  <si>
    <t>LPG</t>
  </si>
  <si>
    <t>Bioenergy &amp; Wastes (4)</t>
  </si>
  <si>
    <t>(1) Please note that there was a change in ONS geographies in 2010, causing some local authorities to merge. For this reason, there are fewer local authorities for 2010/11.</t>
  </si>
  <si>
    <t>(4) Excludes bioenergy and wastes used for electricity generation.</t>
  </si>
  <si>
    <t>Agriculture (2)</t>
  </si>
  <si>
    <t>Industrial &amp; Commercial (3)</t>
  </si>
  <si>
    <t>Sub-national residual fuel consumption in the United Kingdom
(URN: 14D/341)</t>
  </si>
  <si>
    <t>TRANSPORT</t>
  </si>
  <si>
    <t>C</t>
  </si>
  <si>
    <t>E</t>
  </si>
  <si>
    <t>Key</t>
  </si>
  <si>
    <t>Historical overview, MtCO2 (pre 2010) and MtCO2e (post 2010)</t>
  </si>
  <si>
    <r>
      <t xml:space="preserve">C  </t>
    </r>
    <r>
      <rPr>
        <sz val="10"/>
        <rFont val="Calibri"/>
        <family val="2"/>
      </rPr>
      <t>Confirmed figures</t>
    </r>
  </si>
  <si>
    <r>
      <t xml:space="preserve">E  </t>
    </r>
    <r>
      <rPr>
        <sz val="10"/>
        <rFont val="Calibri"/>
        <family val="2"/>
      </rPr>
      <t>Estimated figure</t>
    </r>
  </si>
  <si>
    <t>Version no.</t>
  </si>
  <si>
    <r>
      <t>Weather corrected and CO</t>
    </r>
    <r>
      <rPr>
        <b/>
        <sz val="10"/>
        <color indexed="8"/>
        <rFont val="Calibri"/>
        <family val="2"/>
      </rPr>
      <t>2</t>
    </r>
  </si>
  <si>
    <r>
      <t>Non-weather corrected and CO</t>
    </r>
    <r>
      <rPr>
        <b/>
        <sz val="10"/>
        <rFont val="Calibri"/>
        <family val="2"/>
      </rPr>
      <t>2e</t>
    </r>
  </si>
  <si>
    <t>Non weather-corrected</t>
  </si>
  <si>
    <t>Weather-corrected</t>
  </si>
  <si>
    <r>
      <t xml:space="preserve">I  </t>
    </r>
    <r>
      <rPr>
        <sz val="10"/>
        <rFont val="Calibri"/>
        <family val="2"/>
      </rPr>
      <t>Interim figures, to be confirmed in next version when final data is published</t>
    </r>
  </si>
  <si>
    <t>Conversion factors for CO2e</t>
  </si>
  <si>
    <t>Table 2.0</t>
  </si>
  <si>
    <t>Table 1.1</t>
  </si>
  <si>
    <t>Table 4.1</t>
  </si>
  <si>
    <t>Table 5.1</t>
  </si>
  <si>
    <t>Commercial and industrial</t>
  </si>
  <si>
    <t>Historical overview, GWh</t>
  </si>
  <si>
    <t>Sub-national electricity sales and numbers of customers (URN: 14D/463)</t>
  </si>
  <si>
    <t>Standard</t>
  </si>
  <si>
    <t>London population</t>
  </si>
  <si>
    <t>Population estimates for  London boroughs</t>
  </si>
  <si>
    <t>Ricardo-AEA, based on sub-national gas sales and numbers of customers (URN: 14D/464)</t>
  </si>
  <si>
    <t>Table 3.3.1</t>
  </si>
  <si>
    <t>Motorcycle</t>
  </si>
  <si>
    <t>Car</t>
  </si>
  <si>
    <t>Taxi</t>
  </si>
  <si>
    <t>Rigid</t>
  </si>
  <si>
    <t>Artic</t>
  </si>
  <si>
    <t>City</t>
  </si>
  <si>
    <t>Landside</t>
  </si>
  <si>
    <t>Heathrow</t>
  </si>
  <si>
    <t>Battersea</t>
  </si>
  <si>
    <t>Denham</t>
  </si>
  <si>
    <t>Elstree</t>
  </si>
  <si>
    <t>Northolt</t>
  </si>
  <si>
    <t>Stapleford</t>
  </si>
  <si>
    <t>Biggin Hill</t>
  </si>
  <si>
    <t>Table 3.3.2</t>
  </si>
  <si>
    <t>Table 3.3.3</t>
  </si>
  <si>
    <t>Aviation turbine fuel</t>
  </si>
  <si>
    <t>Gasoil</t>
  </si>
  <si>
    <t>kWh/tonne</t>
  </si>
  <si>
    <t>kWh/litre</t>
  </si>
  <si>
    <t>litres</t>
  </si>
  <si>
    <t>Vehicle type</t>
  </si>
  <si>
    <t>tCO2</t>
  </si>
  <si>
    <t>Road</t>
  </si>
  <si>
    <t>Table 3.3.4</t>
  </si>
  <si>
    <t>Overall</t>
  </si>
  <si>
    <t>London Tram</t>
  </si>
  <si>
    <t>DLR</t>
  </si>
  <si>
    <t>London Underground</t>
  </si>
  <si>
    <t>Rail_Total</t>
  </si>
  <si>
    <t>Freight_Diesel</t>
  </si>
  <si>
    <t>Passenger_Total</t>
  </si>
  <si>
    <t>Passenger_Electric</t>
  </si>
  <si>
    <t>Passenger_Diesel</t>
  </si>
  <si>
    <t>TfL (Electric)</t>
  </si>
  <si>
    <t>Gasoil (litres)</t>
  </si>
  <si>
    <t>Shipping</t>
  </si>
  <si>
    <t>t FU_ATF</t>
  </si>
  <si>
    <t>litres FU_Petrol</t>
  </si>
  <si>
    <t>litres FU_Diesel</t>
  </si>
  <si>
    <t>t FU_Petrol</t>
  </si>
  <si>
    <t>t FU_LPG</t>
  </si>
  <si>
    <t>t FU_Gasoil</t>
  </si>
  <si>
    <t>t FU_Diesel</t>
  </si>
  <si>
    <t>Airside</t>
  </si>
  <si>
    <t>Elevated Level</t>
  </si>
  <si>
    <t>Ground level</t>
  </si>
  <si>
    <t>Elevated level</t>
  </si>
  <si>
    <t>Stationary</t>
  </si>
  <si>
    <t>Landside vehicle</t>
  </si>
  <si>
    <t>Airside vehicle</t>
  </si>
  <si>
    <t>Aviation</t>
  </si>
  <si>
    <t>Grand total</t>
  </si>
  <si>
    <t>Total (excl Stationary)</t>
  </si>
  <si>
    <t>London Overground</t>
  </si>
  <si>
    <t>Bus and Coach</t>
  </si>
  <si>
    <t>LGV</t>
  </si>
  <si>
    <t>Rail (excluding London Overground)</t>
  </si>
  <si>
    <t>tCO2e</t>
  </si>
  <si>
    <t>Unapportioned</t>
  </si>
  <si>
    <t>Table 3.3.5</t>
  </si>
  <si>
    <t>Table 3.3.6</t>
  </si>
  <si>
    <t>Taxi (diesel)</t>
  </si>
  <si>
    <t>Motorcycle (petrol)</t>
  </si>
  <si>
    <t>Car (petrol)</t>
  </si>
  <si>
    <t>Car (diesel)</t>
  </si>
  <si>
    <t>LGV (diesel)</t>
  </si>
  <si>
    <t>LGV (petrol)</t>
  </si>
  <si>
    <t>Bus (diesel)</t>
  </si>
  <si>
    <t>Coach (diesel)</t>
  </si>
  <si>
    <t>Rigid (diesel)</t>
  </si>
  <si>
    <t>Artic (diesel)</t>
  </si>
  <si>
    <t>Diesel litres</t>
  </si>
  <si>
    <t>Petrol litres</t>
  </si>
  <si>
    <t>Notes</t>
  </si>
  <si>
    <r>
      <t xml:space="preserve">t FU_Gasoil </t>
    </r>
    <r>
      <rPr>
        <b/>
        <vertAlign val="superscript"/>
        <sz val="10"/>
        <color indexed="9"/>
        <rFont val="Calibri"/>
        <family val="2"/>
      </rPr>
      <t>1</t>
    </r>
  </si>
  <si>
    <t>Energy use and GHG emissions from natural gas supplied to homes, where it is used for cooking in natural gas-powered ranges and ovens, natural gas-heated clothes dryers, water and central heating, and domestic boilers, etc. Data is not weather corrected.</t>
  </si>
  <si>
    <t>Energy use and GHG emissions associated with industrial and commercial electricity consumption, including electricity consumption by overground electric trains and the London Underground trains.</t>
  </si>
  <si>
    <t>Energy use and GHG emissions from industrial (excluding gas-fired electricity generation and power stations), commercial (e.g., hotel and catering, warehouses, retail, sport and leisure, etc) and public services (e.g., education, Government, health, etc) gas use. Data is not weather corrected.</t>
  </si>
  <si>
    <t>Domestic (CO2e)</t>
  </si>
  <si>
    <t>Industrial and Commercial (CO2e)</t>
  </si>
  <si>
    <t>Total CO2/ CO2e emissions (kt)</t>
  </si>
  <si>
    <t xml:space="preserve">Road </t>
  </si>
  <si>
    <t>(CO2)</t>
  </si>
  <si>
    <t>Electric (CO2e)</t>
  </si>
  <si>
    <t>Rail 'diesel'</t>
  </si>
  <si>
    <t>Diesel (CO2e)</t>
  </si>
  <si>
    <t>(CO2e)</t>
  </si>
  <si>
    <t>Transport (non-road)</t>
  </si>
  <si>
    <r>
      <rPr>
        <sz val="10"/>
        <color indexed="9"/>
        <rFont val="Calibri"/>
        <family val="2"/>
      </rPr>
      <t xml:space="preserve">kgCO2e per </t>
    </r>
    <r>
      <rPr>
        <b/>
        <sz val="12"/>
        <color indexed="9"/>
        <rFont val="Calibri"/>
        <family val="2"/>
      </rPr>
      <t>kWh</t>
    </r>
  </si>
  <si>
    <r>
      <rPr>
        <sz val="10"/>
        <color indexed="9"/>
        <rFont val="Calibri"/>
        <family val="2"/>
      </rPr>
      <t xml:space="preserve">kgCO2 per </t>
    </r>
    <r>
      <rPr>
        <b/>
        <sz val="12"/>
        <color indexed="9"/>
        <rFont val="Calibri"/>
        <family val="2"/>
      </rPr>
      <t>tonne</t>
    </r>
  </si>
  <si>
    <r>
      <rPr>
        <sz val="10"/>
        <color indexed="9"/>
        <rFont val="Calibri"/>
        <family val="2"/>
      </rPr>
      <t>kgCO2 per</t>
    </r>
    <r>
      <rPr>
        <b/>
        <sz val="10"/>
        <color indexed="9"/>
        <rFont val="Calibri"/>
        <family val="2"/>
      </rPr>
      <t xml:space="preserve"> </t>
    </r>
    <r>
      <rPr>
        <b/>
        <sz val="12"/>
        <color indexed="9"/>
        <rFont val="Calibri"/>
        <family val="2"/>
      </rPr>
      <t>litre</t>
    </r>
  </si>
  <si>
    <r>
      <t xml:space="preserve">GHG Emissions (MtCO2e) </t>
    </r>
    <r>
      <rPr>
        <b/>
        <vertAlign val="superscript"/>
        <sz val="10"/>
        <color indexed="9"/>
        <rFont val="Calibri"/>
        <family val="2"/>
      </rPr>
      <t>1</t>
    </r>
  </si>
  <si>
    <t>t CO2e Diesel</t>
  </si>
  <si>
    <r>
      <t xml:space="preserve">t CO2e Gasoil </t>
    </r>
    <r>
      <rPr>
        <b/>
        <vertAlign val="superscript"/>
        <sz val="10"/>
        <color indexed="9"/>
        <rFont val="Calibri"/>
        <family val="2"/>
      </rPr>
      <t>1</t>
    </r>
  </si>
  <si>
    <t>t CO2e LPG</t>
  </si>
  <si>
    <t>t CO2e Petrol</t>
  </si>
  <si>
    <t>tCO2e Petrol</t>
  </si>
  <si>
    <t>Total litres</t>
  </si>
  <si>
    <t>(3) This area contains at least one major power station or large industrial consumer whose consumption has not been included in the data.</t>
  </si>
  <si>
    <t>Barking and Dagenham (3)</t>
  </si>
  <si>
    <t>Enfield (3)</t>
  </si>
  <si>
    <t>Islington (3)</t>
  </si>
  <si>
    <t>litres FU_ULSF</t>
  </si>
  <si>
    <r>
      <t>Please note that there was a change in methodology to calculate CO2 emissions from transport between the period 2010-2012 and 2013. The most significant change was to road transport (change from a 'Defra Company Reporting' approach to a methodology in line with the National Atmospheric Emissions Inventory). Direct comparison of CO</t>
    </r>
    <r>
      <rPr>
        <vertAlign val="subscript"/>
        <sz val="10"/>
        <rFont val="Calibri"/>
        <family val="2"/>
      </rPr>
      <t>2</t>
    </r>
    <r>
      <rPr>
        <sz val="10"/>
        <rFont val="Calibri"/>
        <family val="2"/>
      </rPr>
      <t xml:space="preserve"> emissions between these years is therefore not advised.</t>
    </r>
  </si>
  <si>
    <r>
      <t>1. Data is reported as CO</t>
    </r>
    <r>
      <rPr>
        <vertAlign val="subscript"/>
        <sz val="10"/>
        <rFont val="Calibri"/>
        <family val="2"/>
      </rPr>
      <t>2</t>
    </r>
    <r>
      <rPr>
        <sz val="10"/>
        <rFont val="Calibri"/>
        <family val="2"/>
      </rPr>
      <t xml:space="preserve"> equivalent (CO</t>
    </r>
    <r>
      <rPr>
        <vertAlign val="subscript"/>
        <sz val="10"/>
        <rFont val="Calibri"/>
        <family val="2"/>
      </rPr>
      <t>2</t>
    </r>
    <r>
      <rPr>
        <sz val="10"/>
        <rFont val="Calibri"/>
        <family val="2"/>
      </rPr>
      <t>e) where available. The data worksheets indicate where it is not available by stating 'CO</t>
    </r>
    <r>
      <rPr>
        <vertAlign val="subscript"/>
        <sz val="10"/>
        <rFont val="Calibri"/>
        <family val="2"/>
      </rPr>
      <t>2</t>
    </r>
    <r>
      <rPr>
        <sz val="10"/>
        <rFont val="Calibri"/>
        <family val="2"/>
      </rPr>
      <t>' in the data headings.</t>
    </r>
  </si>
  <si>
    <t>Electricity and gas consumption by borough, 2014 (kWh)</t>
  </si>
  <si>
    <t>Sub-national electricity sales and numbers of customers (Publication URN: 15D/528)</t>
  </si>
  <si>
    <t>Energy consumption by borough, 2014 (kWh)</t>
  </si>
  <si>
    <t>Greenhouse gas emissions by borough, 2014</t>
  </si>
  <si>
    <t>Rail energy use and CO2e emissions, 2014</t>
  </si>
  <si>
    <t>Shipping energy use and CO2 emissions, 2014</t>
  </si>
  <si>
    <t>Aviation CO2e by borough, 2014 for Heathrow and City &amp; 2013 LAEI for other airports</t>
  </si>
  <si>
    <t>1. Gasoil fuel consumption for airside vehicles uses diesel fuel emission factor</t>
  </si>
  <si>
    <t>Biomass</t>
  </si>
  <si>
    <t>https://www.gov.uk/government/publications/greenhouse-gas-reporting-conversion-factors-2016</t>
  </si>
  <si>
    <t>Wood chips</t>
  </si>
  <si>
    <t>Road energy use by borough, 2014</t>
  </si>
  <si>
    <t>Passenger</t>
  </si>
  <si>
    <t>Aviation fuel use by borough, 2014 for Heathrow and City &amp; 2013 LAEI for other airports</t>
  </si>
  <si>
    <r>
      <t>Transport energy consumption and CO</t>
    </r>
    <r>
      <rPr>
        <b/>
        <vertAlign val="subscript"/>
        <sz val="16"/>
        <rFont val="Calibri"/>
        <family val="2"/>
      </rPr>
      <t>2</t>
    </r>
    <r>
      <rPr>
        <b/>
        <sz val="16"/>
        <rFont val="Calibri"/>
        <family val="2"/>
      </rPr>
      <t>/ CO</t>
    </r>
    <r>
      <rPr>
        <b/>
        <vertAlign val="subscript"/>
        <sz val="16"/>
        <rFont val="Calibri"/>
        <family val="2"/>
      </rPr>
      <t>2</t>
    </r>
    <r>
      <rPr>
        <b/>
        <sz val="16"/>
        <rFont val="Calibri"/>
        <family val="2"/>
      </rPr>
      <t>e emissions by borough, 2014</t>
    </r>
  </si>
  <si>
    <t>Natural Gas (Gross CV)</t>
  </si>
  <si>
    <t>2013 and 2014 (see worksheet 03c Data_Transport for breakdown)</t>
  </si>
  <si>
    <t>Energy use and GHG emissions from fuel use in civil aviation (i.e. domestic and international flights and aircrafts in the landing and take-off flight phases up to 1,000m) and management of airports (including airside support vehicles, stationary heating and auxiliary power units, etc) at London Heathrow, London City, Battersea, Biggin Hill, Denham, Elstree, Lippits Hill, Northolt and Stapleford airports. Heathrow airport emissions have been interpolated based on LAEI 2013 and compared against the Heathrow Atmospheric Emission Inventory 2013. London City airport emissions have been updated using activity data from City Airport’s 2013 annual performance report. Other smaller airports remain the same as LEGGI 2013.</t>
  </si>
  <si>
    <t>Fuel consumption and emissions are based on LAEI 2013 road traffic projected to 2014, based on 2013/14 traffic growth, then using Defra’s Emissions Factors Toolkit (EFT), which estimates CO2 based on overall traffic flows, average speeds and fleet composition, (using the 2015 emission factors from Defra).</t>
  </si>
  <si>
    <t>Office for National Statistics, MYE2: Population Estimates by single year of age and sex for local authorities in the UK, mid-2014</t>
  </si>
  <si>
    <t>2013 and 2014</t>
  </si>
  <si>
    <t>Energy use and GHG emissions from domestic and international shipping/marine vessels operating on the River Thames (i.e. including the 33 ports and terminals on the River Thames, starting from the breakwater at the M25 Motorway eastern boundary and then about 43 km westward towards Teddington) in Greater London. Based on 2013 emissions adjusted using average annual growth (passenger, commercial) between 2013 and 2020 – interpolated from LAEI data</t>
  </si>
  <si>
    <t xml:space="preserve">For diesel rail, we have back calculated kWh from the LAEI CO2 2013 emissions, then applied the 2015 CO2 company reporting factor to estimate CO2 in 2014. </t>
  </si>
  <si>
    <t>Energy_Gas kWh</t>
  </si>
  <si>
    <t>Energy_Gasoil kWh</t>
  </si>
  <si>
    <t>litres_FU_LPG</t>
  </si>
  <si>
    <t>t FU_Biomass</t>
  </si>
  <si>
    <t>Energy_Gas (kWh)</t>
  </si>
  <si>
    <t>Energy_Gasoil (kWh)</t>
  </si>
  <si>
    <t>litres FU_LPG</t>
  </si>
  <si>
    <t>GasOil (marine)</t>
  </si>
  <si>
    <t>London Energy and Greenhouse Gas Inventory (LEGGI), 2014</t>
  </si>
  <si>
    <t>Sub-national estimates of non gas, non electricity and non road transport fuels, 2014 (ktoe)</t>
  </si>
  <si>
    <r>
      <t>BEIS EF Year</t>
    </r>
    <r>
      <rPr>
        <b/>
        <vertAlign val="superscript"/>
        <sz val="10"/>
        <color indexed="9"/>
        <rFont val="Calibri"/>
        <family val="2"/>
      </rPr>
      <t>1</t>
    </r>
  </si>
  <si>
    <t>Road CO2 emissions by borough, 2014</t>
  </si>
  <si>
    <t>Transport (CO2e or CO2)</t>
  </si>
  <si>
    <t>Please note that DECC/BEIS emission factors (EFs) are based on the greenhouse gas inventory two years prior. E.g. 2016 EFs are calculated using GHG emissions and energy use from 2014. So, we have applied DECC/BEIS 2016 EFs to 2014 energy use in LEGGI to provide a more accurate estimate of GHG emissions in 2014.</t>
  </si>
  <si>
    <t>LEGGI shows estimates of energy consumption and GHG emissions from homes, workplaces and transport within the Greater London area. It is produced by the Greater London Authority. LEGGI uses sub-regional energy data (electricity, gas and other fuels) published by the Department of Energy and Climate Change (DECC, now Business, Energy and Industrial Strategy) for stationary sources, and transport data from the London Atmospheric Emissions Inventory (LAEI) for mobile sources. These data sources are published at different times, and LEGGI will be updated as these are released. DECC/BEIS emission factors (EFs) are used to estimate GHG emissions from stationary and mobile sources of energy use. These EFs are produced annually based on the national greenhouse gas inventory two years prior. E.g. 2016 EFs are calculated using national GHG emissions and energy use inventory data from 2014. So, for this 2014 version of LEGGI we have applied DECC/BEIS 2016 EFs to 2014 energy use to provide a more accurate estimate of GHG emissions in 2014 that is consistent with UK inventory data for 2014. We have retrospectively applied this method for EF selection to data from 2010 onwards.</t>
  </si>
  <si>
    <t>2. Confirmed</t>
  </si>
  <si>
    <t>Residual fuel consumption consumption by borough, 2014 (ktoe and kWh), revised from interim estimate based on BEIS data</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</si>
</sst>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00000"/>
    <numFmt numFmtId="180" formatCode="#,##0.00000000000"/>
    <numFmt numFmtId="181" formatCode="#,##0.0000000000000"/>
    <numFmt numFmtId="182" formatCode="#,##0.00000000000000"/>
    <numFmt numFmtId="183" formatCode="#,##0.000000000000000"/>
    <numFmt numFmtId="184" formatCode="#,##0.000000000000"/>
    <numFmt numFmtId="185" formatCode="#,##0.00_ ;\-#,##0.00\ "/>
    <numFmt numFmtId="186" formatCode="0.0000000000000"/>
    <numFmt numFmtId="187" formatCode="0.000000000"/>
    <numFmt numFmtId="188" formatCode="0.000"/>
    <numFmt numFmtId="189" formatCode="0.0000"/>
    <numFmt numFmtId="190" formatCode="0.0%"/>
    <numFmt numFmtId="191" formatCode="0.00000"/>
    <numFmt numFmtId="192" formatCode="0.00000000"/>
    <numFmt numFmtId="193" formatCode="0.0000000"/>
    <numFmt numFmtId="194" formatCode="0.000000"/>
    <numFmt numFmtId="195" formatCode="[$-809]dd\ mmmm\ yyyy"/>
    <numFmt numFmtId="196" formatCode="[$-F800]dddd\,\ mmmm\ dd\,\ yyyy"/>
    <numFmt numFmtId="197" formatCode="mmmm\ yyyy"/>
    <numFmt numFmtId="198" formatCode="_-* #,##0.000_-;\-* #,##0.000_-;_-* &quot;-&quot;??_-;_-@_-"/>
    <numFmt numFmtId="199" formatCode="_-* #,##0.0000_-;\-* #,##0.0000_-;_-* &quot;-&quot;??_-;_-@_-"/>
    <numFmt numFmtId="200" formatCode="_-* #,##0.00000_-;\-* #,##0.00000_-;_-* &quot;-&quot;??_-;_-@_-"/>
    <numFmt numFmtId="201" formatCode="_-* #,##0.000000_-;\-* #,##0.000000_-;_-* &quot;-&quot;??_-;_-@_-"/>
    <numFmt numFmtId="202" formatCode="#,##0_ ;\-#,##0\ "/>
    <numFmt numFmtId="203" formatCode="0.0000000000"/>
    <numFmt numFmtId="204" formatCode="0.00000000000"/>
    <numFmt numFmtId="205" formatCode="_(* #,##0.00_);_(* \(#,##0.00\);_(* &quot;-&quot;??_);_(@_)"/>
    <numFmt numFmtId="206" formatCode="_-[$€-2]* #,##0.00_-;\-[$€-2]* #,##0.00_-;_-[$€-2]* &quot;-&quot;??_-"/>
    <numFmt numFmtId="207" formatCode="[&gt;0.5]#,##0;[&lt;-0.5]\-#,##0;\-"/>
    <numFmt numFmtId="208" formatCode="_-* #,##0\ _F_-;\-* #,##0\ _F_-;_-* &quot;-&quot;\ _F_-;_-@_-"/>
    <numFmt numFmtId="209" formatCode="_-* #,##0.00\ _F_-;\-* #,##0.00\ _F_-;_-* &quot;-&quot;??\ _F_-;_-@_-"/>
    <numFmt numFmtId="210" formatCode="_-* #,##0\ &quot;F&quot;_-;\-* #,##0\ &quot;F&quot;_-;_-* &quot;-&quot;\ &quot;F&quot;_-;_-@_-"/>
    <numFmt numFmtId="211" formatCode="_-* #,##0.00\ &quot;F&quot;_-;\-* #,##0.00\ &quot;F&quot;_-;_-* &quot;-&quot;??\ &quot;F&quot;_-;_-@_-"/>
    <numFmt numFmtId="212" formatCode="###.0"/>
    <numFmt numFmtId="213" formatCode="##.0"/>
    <numFmt numFmtId="214" formatCode="#,###,##0"/>
    <numFmt numFmtId="215" formatCode="_-&quot;öS&quot;\ * #,##0_-;\-&quot;öS&quot;\ * #,##0_-;_-&quot;öS&quot;\ * &quot;-&quot;_-;_-@_-"/>
    <numFmt numFmtId="216" formatCode="_-&quot;öS&quot;\ * #,##0.00_-;\-&quot;öS&quot;\ * #,##0.00_-;_-&quot;öS&quot;\ * &quot;-&quot;??_-;_-@_-"/>
    <numFmt numFmtId="217" formatCode="??0.0?????"/>
    <numFmt numFmtId="218" formatCode="_-* #,##0.0_-;\-* #,##0.0_-;_-* &quot;-&quot;_-;_-@_-"/>
    <numFmt numFmtId="219" formatCode="_-* #,##0.0_-;\-* #,##0.0_-;_-* &quot;-&quot;?_-;_-@_-"/>
  </numFmts>
  <fonts count="116">
    <font>
      <sz val="10"/>
      <name val="Arial"/>
      <family val="0"/>
    </font>
    <font>
      <sz val="8"/>
      <name val="Arial"/>
      <family val="2"/>
    </font>
    <font>
      <b/>
      <sz val="16"/>
      <name val="Calibri"/>
      <family val="2"/>
    </font>
    <font>
      <b/>
      <sz val="10"/>
      <name val="Calibri"/>
      <family val="2"/>
    </font>
    <font>
      <b/>
      <sz val="10"/>
      <color indexed="9"/>
      <name val="Calibri"/>
      <family val="2"/>
    </font>
    <font>
      <sz val="10"/>
      <name val="Calibri"/>
      <family val="2"/>
    </font>
    <font>
      <b/>
      <vertAlign val="subscript"/>
      <sz val="10"/>
      <color indexed="9"/>
      <name val="Calibri"/>
      <family val="2"/>
    </font>
    <font>
      <u val="single"/>
      <sz val="10"/>
      <color indexed="12"/>
      <name val="Arial"/>
      <family val="2"/>
    </font>
    <font>
      <u val="single"/>
      <sz val="10"/>
      <color indexed="36"/>
      <name val="Arial"/>
      <family val="2"/>
    </font>
    <font>
      <b/>
      <sz val="14"/>
      <name val="Arial"/>
      <family val="2"/>
    </font>
    <font>
      <sz val="10"/>
      <color indexed="61"/>
      <name val="Arial"/>
      <family val="2"/>
    </font>
    <font>
      <sz val="12"/>
      <name val="Arial"/>
      <family val="2"/>
    </font>
    <font>
      <u val="single"/>
      <sz val="12"/>
      <color indexed="12"/>
      <name val="Arial"/>
      <family val="2"/>
    </font>
    <font>
      <sz val="10"/>
      <color indexed="10"/>
      <name val="Calibri"/>
      <family val="2"/>
    </font>
    <font>
      <sz val="8"/>
      <name val="Tahoma"/>
      <family val="2"/>
    </font>
    <font>
      <sz val="9"/>
      <name val="Tahoma"/>
      <family val="2"/>
    </font>
    <font>
      <b/>
      <sz val="9"/>
      <name val="Tahoma"/>
      <family val="2"/>
    </font>
    <font>
      <b/>
      <sz val="10"/>
      <color indexed="8"/>
      <name val="Calibri"/>
      <family val="2"/>
    </font>
    <font>
      <sz val="9"/>
      <name val="Calibri"/>
      <family val="2"/>
    </font>
    <font>
      <b/>
      <sz val="18"/>
      <color indexed="56"/>
      <name val="Cambria"/>
      <family val="2"/>
    </font>
    <font>
      <sz val="8"/>
      <name val="Helv"/>
      <family val="0"/>
    </font>
    <font>
      <sz val="12"/>
      <color indexed="52"/>
      <name val="Arial"/>
      <family val="2"/>
    </font>
    <font>
      <sz val="10"/>
      <name val="Arial Cyr"/>
      <family val="0"/>
    </font>
    <font>
      <b/>
      <sz val="10"/>
      <color indexed="8"/>
      <name val="Arial"/>
      <family val="2"/>
    </font>
    <font>
      <b/>
      <sz val="9"/>
      <name val="Times New Roman"/>
      <family val="1"/>
    </font>
    <font>
      <b/>
      <sz val="12"/>
      <name val="Helv"/>
      <family val="0"/>
    </font>
    <font>
      <b/>
      <sz val="15"/>
      <color indexed="56"/>
      <name val="Arial"/>
      <family val="2"/>
    </font>
    <font>
      <i/>
      <sz val="12"/>
      <name val="Times New Roman"/>
      <family val="1"/>
    </font>
    <font>
      <b/>
      <sz val="13"/>
      <color indexed="56"/>
      <name val="Arial"/>
      <family val="2"/>
    </font>
    <font>
      <b/>
      <sz val="11"/>
      <color indexed="56"/>
      <name val="Arial"/>
      <family val="2"/>
    </font>
    <font>
      <sz val="12"/>
      <color indexed="20"/>
      <name val="Arial"/>
      <family val="2"/>
    </font>
    <font>
      <b/>
      <sz val="12"/>
      <color indexed="52"/>
      <name val="Arial"/>
      <family val="2"/>
    </font>
    <font>
      <sz val="12"/>
      <color indexed="10"/>
      <name val="Arial"/>
      <family val="2"/>
    </font>
    <font>
      <sz val="14"/>
      <name val="Arial"/>
      <family val="2"/>
    </font>
    <font>
      <b/>
      <sz val="10"/>
      <color indexed="18"/>
      <name val="Arial"/>
      <family val="2"/>
    </font>
    <font>
      <sz val="11"/>
      <color indexed="8"/>
      <name val="Arial"/>
      <family val="2"/>
    </font>
    <font>
      <sz val="10"/>
      <name val="Times New Roman"/>
      <family val="1"/>
    </font>
    <font>
      <b/>
      <sz val="12"/>
      <color indexed="8"/>
      <name val="Arial"/>
      <family val="2"/>
    </font>
    <font>
      <sz val="12"/>
      <color indexed="17"/>
      <name val="Arial"/>
      <family val="2"/>
    </font>
    <font>
      <b/>
      <sz val="14"/>
      <name val="Helv"/>
      <family val="0"/>
    </font>
    <font>
      <sz val="12"/>
      <color indexed="9"/>
      <name val="Arial"/>
      <family val="2"/>
    </font>
    <font>
      <i/>
      <sz val="12"/>
      <color indexed="23"/>
      <name val="Arial"/>
      <family val="2"/>
    </font>
    <font>
      <b/>
      <sz val="12"/>
      <color indexed="9"/>
      <name val="Arial"/>
      <family val="2"/>
    </font>
    <font>
      <b/>
      <sz val="12"/>
      <color indexed="63"/>
      <name val="Arial"/>
      <family val="2"/>
    </font>
    <font>
      <b/>
      <sz val="12"/>
      <color indexed="12"/>
      <name val="Arial"/>
      <family val="2"/>
    </font>
    <font>
      <sz val="12"/>
      <color indexed="8"/>
      <name val="Arial"/>
      <family val="2"/>
    </font>
    <font>
      <sz val="12"/>
      <color indexed="60"/>
      <name val="Arial"/>
      <family val="2"/>
    </font>
    <font>
      <sz val="9"/>
      <name val="Times New Roman"/>
      <family val="1"/>
    </font>
    <font>
      <sz val="12"/>
      <color indexed="62"/>
      <name val="Arial"/>
      <family val="2"/>
    </font>
    <font>
      <sz val="10"/>
      <color indexed="8"/>
      <name val="Arial"/>
      <family val="2"/>
    </font>
    <font>
      <b/>
      <vertAlign val="superscript"/>
      <sz val="10"/>
      <color indexed="9"/>
      <name val="Calibri"/>
      <family val="2"/>
    </font>
    <font>
      <sz val="10"/>
      <color indexed="9"/>
      <name val="Calibri"/>
      <family val="2"/>
    </font>
    <font>
      <b/>
      <sz val="12"/>
      <color indexed="9"/>
      <name val="Calibri"/>
      <family val="2"/>
    </font>
    <font>
      <vertAlign val="subscript"/>
      <sz val="10"/>
      <name val="Calibri"/>
      <family val="2"/>
    </font>
    <font>
      <b/>
      <vertAlign val="subscript"/>
      <sz val="16"/>
      <name val="Calibri"/>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0"/>
      <name val="MS Sans Serif"/>
      <family val="2"/>
    </font>
    <font>
      <b/>
      <sz val="18"/>
      <color indexed="62"/>
      <name val="Cambria"/>
      <family val="2"/>
    </font>
    <font>
      <sz val="10"/>
      <color indexed="20"/>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52"/>
      <name val="Calibri"/>
      <family val="2"/>
    </font>
    <font>
      <sz val="11"/>
      <color indexed="60"/>
      <name val="Calibri"/>
      <family val="2"/>
    </font>
    <font>
      <sz val="10"/>
      <color indexed="8"/>
      <name val="Calibri"/>
      <family val="2"/>
    </font>
    <font>
      <sz val="10"/>
      <color indexed="55"/>
      <name val="Calibri"/>
      <family val="2"/>
    </font>
    <font>
      <b/>
      <sz val="14"/>
      <name val="Calibri"/>
      <family val="2"/>
    </font>
    <font>
      <sz val="11"/>
      <name val="Calibri"/>
      <family val="2"/>
    </font>
    <font>
      <b/>
      <sz val="10"/>
      <color indexed="10"/>
      <name val="Calibri"/>
      <family val="2"/>
    </font>
    <font>
      <i/>
      <sz val="10"/>
      <name val="Calibri"/>
      <family val="2"/>
    </font>
    <font>
      <sz val="11"/>
      <color theme="1"/>
      <name val="Calibri"/>
      <family val="2"/>
    </font>
    <font>
      <sz val="11"/>
      <color theme="0"/>
      <name val="Calibri"/>
      <family val="2"/>
    </font>
    <font>
      <sz val="11"/>
      <color rgb="FF9C0006"/>
      <name val="Calibri"/>
      <family val="2"/>
    </font>
    <font>
      <sz val="10"/>
      <color rgb="FF9C0006"/>
      <name val="Arial"/>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theme="0" tint="-0.24997000396251678"/>
      <name val="Calibri"/>
      <family val="2"/>
    </font>
    <font>
      <b/>
      <sz val="10"/>
      <color theme="0"/>
      <name val="Calibri"/>
      <family val="2"/>
    </font>
    <font>
      <sz val="10"/>
      <color theme="0"/>
      <name val="Calibri"/>
      <family val="2"/>
    </font>
    <font>
      <b/>
      <sz val="10"/>
      <color rgb="FFFF0000"/>
      <name val="Calibri"/>
      <family val="2"/>
    </font>
    <font>
      <sz val="10"/>
      <color rgb="FFFF0000"/>
      <name val="Calibri"/>
      <family val="2"/>
    </font>
    <font>
      <b/>
      <sz val="10"/>
      <color theme="1"/>
      <name val="Calibri"/>
      <family val="2"/>
    </font>
    <font>
      <b/>
      <sz val="8"/>
      <name val="Arial"/>
      <family val="2"/>
    </font>
  </fonts>
  <fills count="6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21"/>
        <bgColor indexed="64"/>
      </patternFill>
    </fill>
    <fill>
      <patternFill patternType="solid">
        <fgColor indexed="18"/>
        <bgColor indexed="64"/>
      </patternFill>
    </fill>
    <fill>
      <patternFill patternType="solid">
        <fgColor rgb="FFCCFFFF"/>
        <bgColor indexed="64"/>
      </patternFill>
    </fill>
    <fill>
      <patternFill patternType="solid">
        <fgColor rgb="FF66FFFF"/>
        <bgColor indexed="64"/>
      </patternFill>
    </fill>
    <fill>
      <patternFill patternType="solid">
        <fgColor rgb="FF33CCCC"/>
        <bgColor indexed="64"/>
      </patternFill>
    </fill>
    <fill>
      <patternFill patternType="solid">
        <fgColor rgb="FF00999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04997999966144562"/>
        <bgColor indexed="64"/>
      </patternFill>
    </fill>
  </fills>
  <borders count="139">
    <border>
      <left/>
      <right/>
      <top/>
      <bottom/>
      <diagonal/>
    </border>
    <border>
      <left style="thin"/>
      <right style="thin"/>
      <top style="thin"/>
      <bottom style="thin"/>
    </border>
    <border>
      <left style="thin"/>
      <right style="thin"/>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style="thin"/>
      <right style="thin"/>
      <top style="thin"/>
      <bottom style="mediu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thin">
        <color indexed="9"/>
      </top>
      <bottom style="thin"/>
    </border>
    <border>
      <left style="thin"/>
      <right>
        <color indexed="63"/>
      </right>
      <top style="thin">
        <color indexed="9"/>
      </top>
      <bottom style="thin"/>
    </border>
    <border>
      <left>
        <color indexed="63"/>
      </left>
      <right>
        <color indexed="63"/>
      </right>
      <top style="thin">
        <color indexed="9"/>
      </top>
      <bottom style="thin"/>
    </border>
    <border>
      <left style="thin"/>
      <right style="thin"/>
      <top style="thin">
        <color indexed="9"/>
      </top>
      <bottom style="thin"/>
    </border>
    <border>
      <left style="thin"/>
      <right style="medium"/>
      <top style="thin">
        <color indexed="9"/>
      </top>
      <bottom style="thin"/>
    </border>
    <border>
      <left style="medium"/>
      <right>
        <color indexed="63"/>
      </right>
      <top style="medium"/>
      <bottom>
        <color indexed="63"/>
      </bottom>
    </border>
    <border>
      <left style="medium"/>
      <right>
        <color indexed="63"/>
      </right>
      <top>
        <color indexed="63"/>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medium"/>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style="thin"/>
      <right>
        <color indexed="63"/>
      </right>
      <top style="thin">
        <color indexed="9"/>
      </top>
      <bottom>
        <color indexed="63"/>
      </bottom>
    </border>
    <border>
      <left style="thin"/>
      <right style="medium"/>
      <top style="thin">
        <color indexed="9"/>
      </top>
      <bottom>
        <color indexed="63"/>
      </bottom>
    </border>
    <border>
      <left style="thin"/>
      <right style="medium"/>
      <top>
        <color indexed="63"/>
      </top>
      <bottom>
        <color indexed="63"/>
      </bottom>
    </border>
    <border>
      <left style="thin">
        <color indexed="8"/>
      </left>
      <right/>
      <top>
        <color indexed="63"/>
      </top>
      <bottom/>
    </border>
    <border>
      <left style="thin"/>
      <right style="thin"/>
      <top>
        <color indexed="63"/>
      </top>
      <bottom>
        <color indexed="63"/>
      </bottom>
    </border>
    <border>
      <left style="thin"/>
      <right>
        <color indexed="63"/>
      </right>
      <top style="thin"/>
      <bottom style="thin"/>
    </border>
    <border>
      <left/>
      <right/>
      <top style="thin"/>
      <bottom style="thin"/>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medium"/>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color indexed="9"/>
      </bottom>
    </border>
    <border>
      <left style="thin"/>
      <right>
        <color indexed="63"/>
      </right>
      <top style="medium"/>
      <bottom>
        <color indexed="63"/>
      </bottom>
    </border>
    <border>
      <left>
        <color indexed="63"/>
      </left>
      <right>
        <color indexed="63"/>
      </right>
      <top style="medium"/>
      <bottom>
        <color indexed="63"/>
      </bottom>
    </border>
    <border>
      <left>
        <color indexed="63"/>
      </left>
      <right/>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thin"/>
      <right style="medium"/>
      <top style="medium"/>
      <bottom>
        <color indexed="63"/>
      </bottom>
    </border>
    <border>
      <left style="thin"/>
      <right style="medium"/>
      <top>
        <color indexed="63"/>
      </top>
      <bottom style="medium"/>
    </border>
    <border>
      <left style="thin"/>
      <right style="medium"/>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color indexed="8"/>
      </top>
      <bottom style="thin"/>
    </border>
    <border>
      <left>
        <color indexed="63"/>
      </left>
      <right>
        <color indexed="63"/>
      </right>
      <top>
        <color indexed="63"/>
      </top>
      <bottom style="thin"/>
    </border>
    <border>
      <left style="thin">
        <color indexed="9"/>
      </left>
      <right>
        <color indexed="63"/>
      </right>
      <top style="thin">
        <color indexed="9"/>
      </top>
      <bottom>
        <color indexed="63"/>
      </bottom>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color indexed="63"/>
      </left>
      <right style="thin"/>
      <top>
        <color indexed="63"/>
      </top>
      <bottom style="thin">
        <color indexed="9"/>
      </bottom>
    </border>
    <border>
      <left style="thin"/>
      <right>
        <color indexed="63"/>
      </right>
      <top style="thin">
        <color indexed="8"/>
      </top>
      <bottom>
        <color indexed="63"/>
      </bottom>
    </border>
    <border>
      <left>
        <color indexed="63"/>
      </left>
      <right style="thin"/>
      <top>
        <color indexed="63"/>
      </top>
      <bottom style="thin"/>
    </border>
    <border>
      <left>
        <color indexed="63"/>
      </left>
      <right style="medium"/>
      <top>
        <color indexed="63"/>
      </top>
      <bottom style="medium"/>
    </border>
    <border>
      <left>
        <color indexed="63"/>
      </left>
      <right style="medium"/>
      <top>
        <color indexed="63"/>
      </top>
      <bottom style="thin"/>
    </border>
    <border>
      <left style="thin"/>
      <right>
        <color indexed="63"/>
      </right>
      <top style="medium"/>
      <bottom style="medium"/>
    </border>
    <border>
      <left style="thin"/>
      <right style="medium"/>
      <top style="medium"/>
      <bottom style="medium"/>
    </border>
    <border>
      <left style="thin"/>
      <right style="thin"/>
      <top style="medium"/>
      <bottom style="medium"/>
    </border>
    <border>
      <left style="thin"/>
      <right style="thin"/>
      <top>
        <color indexed="63"/>
      </top>
      <bottom style="medium"/>
    </border>
    <border>
      <left>
        <color indexed="63"/>
      </left>
      <right style="thin"/>
      <top style="medium"/>
      <bottom>
        <color indexed="63"/>
      </bottom>
    </border>
    <border>
      <left style="thin"/>
      <right style="thin"/>
      <top style="medium"/>
      <bottom>
        <color indexed="63"/>
      </bottom>
    </border>
    <border>
      <left style="medium"/>
      <right style="thin"/>
      <top style="thin"/>
      <bottom style="medium"/>
    </border>
    <border>
      <left style="thin"/>
      <right style="medium"/>
      <top style="thin"/>
      <bottom>
        <color indexed="63"/>
      </bottom>
    </border>
    <border>
      <left style="medium"/>
      <right style="thin"/>
      <top style="medium"/>
      <bottom style="medium"/>
    </border>
    <border>
      <left style="medium"/>
      <right/>
      <top style="medium"/>
      <bottom style="medium"/>
    </border>
    <border>
      <left>
        <color indexed="63"/>
      </left>
      <right style="thin"/>
      <top style="medium"/>
      <bottom style="medium"/>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medium"/>
      <right>
        <color indexed="63"/>
      </right>
      <top style="thin"/>
      <bottom style="thin"/>
    </border>
    <border>
      <left style="medium"/>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style="thin"/>
      <bottom>
        <color indexed="63"/>
      </bottom>
    </border>
    <border>
      <left style="medium"/>
      <right style="thin">
        <color theme="0"/>
      </right>
      <top style="thin"/>
      <bottom style="thin"/>
    </border>
    <border>
      <left style="thin">
        <color indexed="9"/>
      </left>
      <right style="medium"/>
      <top style="thin">
        <color indexed="9"/>
      </top>
      <bottom style="thin"/>
    </border>
    <border>
      <left style="medium"/>
      <right style="thin">
        <color theme="0"/>
      </right>
      <top style="thin">
        <color theme="0"/>
      </top>
      <bottom style="thin">
        <color theme="0"/>
      </bottom>
    </border>
    <border>
      <left style="thin">
        <color indexed="9"/>
      </left>
      <right style="medium"/>
      <top style="thin">
        <color indexed="9"/>
      </top>
      <bottom>
        <color indexed="63"/>
      </bottom>
    </border>
    <border>
      <left>
        <color indexed="63"/>
      </left>
      <right style="medium"/>
      <top style="thin"/>
      <bottom style="thin"/>
    </border>
    <border>
      <left style="thin">
        <color rgb="FF053D5F"/>
      </left>
      <right style="thin">
        <color rgb="FF053D5F"/>
      </right>
      <top style="thin">
        <color rgb="FF053D5F"/>
      </top>
      <bottom style="thin">
        <color rgb="FF053D5F"/>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style="medium"/>
      <top style="thin">
        <color theme="0"/>
      </top>
      <bottom style="thin">
        <color theme="0"/>
      </bottom>
    </border>
    <border>
      <left style="thin">
        <color indexed="9"/>
      </left>
      <right>
        <color indexed="63"/>
      </right>
      <top style="medium"/>
      <bottom style="thin">
        <color indexed="9"/>
      </bottom>
    </border>
    <border>
      <left>
        <color indexed="63"/>
      </left>
      <right>
        <color indexed="63"/>
      </right>
      <top style="medium"/>
      <bottom style="thin">
        <color indexed="9"/>
      </bottom>
    </border>
    <border>
      <left style="thin">
        <color theme="0"/>
      </left>
      <right>
        <color indexed="63"/>
      </right>
      <top style="medium"/>
      <bottom style="thin">
        <color indexed="9"/>
      </bottom>
    </border>
    <border>
      <left>
        <color indexed="63"/>
      </left>
      <right style="medium"/>
      <top style="medium"/>
      <bottom style="thin">
        <color indexed="9"/>
      </bottom>
    </border>
    <border>
      <left style="medium"/>
      <right style="thin">
        <color indexed="9"/>
      </right>
      <top style="medium"/>
      <bottom>
        <color indexed="63"/>
      </bottom>
    </border>
    <border>
      <left style="medium"/>
      <right style="thin">
        <color indexed="9"/>
      </right>
      <top>
        <color indexed="63"/>
      </top>
      <bottom style="thin"/>
    </border>
    <border>
      <left style="thin">
        <color indexed="9"/>
      </left>
      <right style="thin"/>
      <top style="thin"/>
      <bottom>
        <color indexed="63"/>
      </bottom>
    </border>
    <border>
      <left style="thin">
        <color indexed="9"/>
      </left>
      <right style="thin"/>
      <top>
        <color indexed="63"/>
      </top>
      <bottom>
        <color indexed="63"/>
      </bottom>
    </border>
    <border>
      <left style="thin">
        <color indexed="9"/>
      </left>
      <right style="thin"/>
      <top>
        <color indexed="63"/>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bottom>
        <color indexed="63"/>
      </bottom>
    </border>
    <border>
      <left style="thin"/>
      <right style="thin">
        <color indexed="9"/>
      </right>
      <top style="thin"/>
      <bottom>
        <color indexed="63"/>
      </bottom>
    </border>
    <border>
      <left style="thin"/>
      <right style="thin">
        <color indexed="9"/>
      </right>
      <top>
        <color indexed="63"/>
      </top>
      <bottom>
        <color indexed="63"/>
      </bottom>
    </border>
    <border>
      <left style="thin">
        <color indexed="9"/>
      </left>
      <right>
        <color indexed="63"/>
      </right>
      <top style="medium"/>
      <bottom>
        <color indexed="63"/>
      </bottom>
    </border>
    <border>
      <left style="medium"/>
      <right style="thin"/>
      <top style="medium"/>
      <bottom style="thin"/>
    </border>
    <border>
      <left style="medium"/>
      <right style="thin"/>
      <top style="thin"/>
      <bottom style="thin"/>
    </border>
    <border>
      <left>
        <color indexed="63"/>
      </left>
      <right style="medium"/>
      <top style="medium"/>
      <bottom style="thin"/>
    </border>
    <border>
      <left>
        <color indexed="63"/>
      </left>
      <right style="thin"/>
      <top style="medium"/>
      <bottom style="thin"/>
    </border>
    <border>
      <left style="thin"/>
      <right style="medium"/>
      <top>
        <color indexed="63"/>
      </top>
      <bottom style="thin"/>
    </border>
    <border>
      <left style="medium"/>
      <right style="thin"/>
      <top>
        <color indexed="63"/>
      </top>
      <bottom style="thin"/>
    </border>
    <border>
      <left/>
      <right/>
      <top style="medium"/>
      <bottom style="medium"/>
    </border>
    <border>
      <left style="medium"/>
      <right>
        <color indexed="63"/>
      </right>
      <top style="medium"/>
      <bottom style="thin"/>
    </border>
    <border>
      <left/>
      <right style="medium"/>
      <top style="medium"/>
      <bottom style="medium"/>
    </border>
  </borders>
  <cellStyleXfs count="5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86" fillId="2"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5" fillId="4" borderId="0" applyNumberFormat="0" applyBorder="0" applyAlignment="0" applyProtection="0"/>
    <xf numFmtId="0" fontId="86" fillId="5"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55" fillId="7" borderId="0" applyNumberFormat="0" applyBorder="0" applyAlignment="0" applyProtection="0"/>
    <xf numFmtId="0" fontId="86" fillId="8"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55" fillId="10" borderId="0" applyNumberFormat="0" applyBorder="0" applyAlignment="0" applyProtection="0"/>
    <xf numFmtId="0" fontId="86"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55" fillId="13" borderId="0" applyNumberFormat="0" applyBorder="0" applyAlignment="0" applyProtection="0"/>
    <xf numFmtId="0" fontId="86"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55" fillId="15" borderId="0" applyNumberFormat="0" applyBorder="0" applyAlignment="0" applyProtection="0"/>
    <xf numFmtId="0" fontId="86" fillId="1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55" fillId="10" borderId="0" applyNumberFormat="0" applyBorder="0" applyAlignment="0" applyProtection="0"/>
    <xf numFmtId="0" fontId="86" fillId="17"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55" fillId="15" borderId="0" applyNumberFormat="0" applyBorder="0" applyAlignment="0" applyProtection="0"/>
    <xf numFmtId="0" fontId="86" fillId="18"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55" fillId="7" borderId="0" applyNumberFormat="0" applyBorder="0" applyAlignment="0" applyProtection="0"/>
    <xf numFmtId="0" fontId="86" fillId="1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55" fillId="21" borderId="0" applyNumberFormat="0" applyBorder="0" applyAlignment="0" applyProtection="0"/>
    <xf numFmtId="0" fontId="86" fillId="2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55" fillId="6" borderId="0" applyNumberFormat="0" applyBorder="0" applyAlignment="0" applyProtection="0"/>
    <xf numFmtId="0" fontId="86" fillId="2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55" fillId="15" borderId="0" applyNumberFormat="0" applyBorder="0" applyAlignment="0" applyProtection="0"/>
    <xf numFmtId="0" fontId="86"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55" fillId="10" borderId="0" applyNumberFormat="0" applyBorder="0" applyAlignment="0" applyProtection="0"/>
    <xf numFmtId="0" fontId="22" fillId="0" borderId="0" applyNumberFormat="0" applyFont="0" applyFill="0" applyBorder="0" applyProtection="0">
      <alignment horizontal="left" vertical="center" indent="5"/>
    </xf>
    <xf numFmtId="0" fontId="87" fillId="26"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56" fillId="15" borderId="0" applyNumberFormat="0" applyBorder="0" applyAlignment="0" applyProtection="0"/>
    <xf numFmtId="0" fontId="87" fillId="28"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56" fillId="29" borderId="0" applyNumberFormat="0" applyBorder="0" applyAlignment="0" applyProtection="0"/>
    <xf numFmtId="0" fontId="87" fillId="3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56" fillId="25" borderId="0" applyNumberFormat="0" applyBorder="0" applyAlignment="0" applyProtection="0"/>
    <xf numFmtId="0" fontId="87" fillId="31"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56" fillId="6" borderId="0" applyNumberFormat="0" applyBorder="0" applyAlignment="0" applyProtection="0"/>
    <xf numFmtId="0" fontId="87" fillId="33"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56" fillId="15" borderId="0" applyNumberFormat="0" applyBorder="0" applyAlignment="0" applyProtection="0"/>
    <xf numFmtId="0" fontId="87" fillId="35"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56" fillId="7" borderId="0" applyNumberFormat="0" applyBorder="0" applyAlignment="0" applyProtection="0"/>
    <xf numFmtId="0" fontId="87"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56" fillId="39" borderId="0" applyNumberFormat="0" applyBorder="0" applyAlignment="0" applyProtection="0"/>
    <xf numFmtId="0" fontId="87"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56" fillId="29" borderId="0" applyNumberFormat="0" applyBorder="0" applyAlignment="0" applyProtection="0"/>
    <xf numFmtId="0" fontId="87"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56" fillId="25" borderId="0" applyNumberFormat="0" applyBorder="0" applyAlignment="0" applyProtection="0"/>
    <xf numFmtId="0" fontId="87" fillId="44"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56" fillId="45" borderId="0" applyNumberFormat="0" applyBorder="0" applyAlignment="0" applyProtection="0"/>
    <xf numFmtId="0" fontId="87" fillId="46"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56" fillId="34" borderId="0" applyNumberFormat="0" applyBorder="0" applyAlignment="0" applyProtection="0"/>
    <xf numFmtId="0" fontId="87" fillId="47"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56" fillId="41" borderId="0" applyNumberFormat="0" applyBorder="0" applyAlignment="0" applyProtection="0"/>
    <xf numFmtId="4" fontId="47" fillId="15" borderId="1">
      <alignment horizontal="right" vertical="center"/>
      <protection/>
    </xf>
    <xf numFmtId="0" fontId="88" fillId="48" borderId="0" applyNumberFormat="0" applyBorder="0" applyAlignment="0" applyProtection="0"/>
    <xf numFmtId="0" fontId="89" fillId="48"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89" fillId="48" borderId="0" applyNumberFormat="0" applyBorder="0" applyAlignment="0" applyProtection="0"/>
    <xf numFmtId="0" fontId="57" fillId="12" borderId="0" applyNumberFormat="0" applyBorder="0" applyAlignment="0" applyProtection="0"/>
    <xf numFmtId="4" fontId="24" fillId="0" borderId="2" applyFill="0" applyBorder="0" applyProtection="0">
      <alignment horizontal="right" vertical="center"/>
    </xf>
    <xf numFmtId="0" fontId="90" fillId="49" borderId="3" applyNumberFormat="0" applyAlignment="0" applyProtection="0"/>
    <xf numFmtId="0" fontId="31" fillId="50" borderId="4" applyNumberFormat="0" applyAlignment="0" applyProtection="0"/>
    <xf numFmtId="0" fontId="31" fillId="50" borderId="4" applyNumberFormat="0" applyAlignment="0" applyProtection="0"/>
    <xf numFmtId="0" fontId="31" fillId="50" borderId="4" applyNumberFormat="0" applyAlignment="0" applyProtection="0"/>
    <xf numFmtId="0" fontId="31" fillId="50" borderId="4" applyNumberFormat="0" applyAlignment="0" applyProtection="0"/>
    <xf numFmtId="0" fontId="31" fillId="50" borderId="4" applyNumberFormat="0" applyAlignment="0" applyProtection="0"/>
    <xf numFmtId="0" fontId="31" fillId="50" borderId="4" applyNumberFormat="0" applyAlignment="0" applyProtection="0"/>
    <xf numFmtId="0" fontId="31" fillId="50" borderId="4" applyNumberFormat="0" applyAlignment="0" applyProtection="0"/>
    <xf numFmtId="0" fontId="31" fillId="50" borderId="4" applyNumberFormat="0" applyAlignment="0" applyProtection="0"/>
    <xf numFmtId="0" fontId="31" fillId="50" borderId="4" applyNumberFormat="0" applyAlignment="0" applyProtection="0"/>
    <xf numFmtId="0" fontId="31" fillId="50" borderId="4" applyNumberFormat="0" applyAlignment="0" applyProtection="0"/>
    <xf numFmtId="0" fontId="31" fillId="50" borderId="4" applyNumberFormat="0" applyAlignment="0" applyProtection="0"/>
    <xf numFmtId="0" fontId="31" fillId="50" borderId="4" applyNumberFormat="0" applyAlignment="0" applyProtection="0"/>
    <xf numFmtId="0" fontId="31" fillId="50" borderId="4" applyNumberFormat="0" applyAlignment="0" applyProtection="0"/>
    <xf numFmtId="0" fontId="65" fillId="51" borderId="4" applyNumberFormat="0" applyAlignment="0" applyProtection="0"/>
    <xf numFmtId="0" fontId="91" fillId="52" borderId="5" applyNumberFormat="0" applyAlignment="0" applyProtection="0"/>
    <xf numFmtId="0" fontId="42" fillId="53" borderId="6" applyNumberFormat="0" applyAlignment="0" applyProtection="0"/>
    <xf numFmtId="0" fontId="42" fillId="53" borderId="6" applyNumberFormat="0" applyAlignment="0" applyProtection="0"/>
    <xf numFmtId="0" fontId="42" fillId="53" borderId="6" applyNumberFormat="0" applyAlignment="0" applyProtection="0"/>
    <xf numFmtId="0" fontId="42" fillId="53" borderId="6" applyNumberFormat="0" applyAlignment="0" applyProtection="0"/>
    <xf numFmtId="0" fontId="42" fillId="53" borderId="6" applyNumberFormat="0" applyAlignment="0" applyProtection="0"/>
    <xf numFmtId="0" fontId="58" fillId="53"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6" fillId="0" borderId="0" applyFont="0" applyFill="0" applyBorder="0" applyAlignment="0" applyProtection="0"/>
    <xf numFmtId="205"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6"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6" fillId="0" borderId="0" applyFont="0" applyFill="0" applyBorder="0" applyAlignment="0" applyProtection="0"/>
    <xf numFmtId="43" fontId="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0" fontId="0" fillId="21" borderId="0" applyNumberFormat="0"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0" fontId="9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9" fillId="0" borderId="0" applyNumberFormat="0" applyFill="0" applyBorder="0" applyAlignment="0" applyProtection="0"/>
    <xf numFmtId="0" fontId="8" fillId="0" borderId="0" applyNumberFormat="0" applyFill="0" applyBorder="0" applyAlignment="0" applyProtection="0"/>
    <xf numFmtId="0" fontId="93" fillId="54"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60" fillId="15" borderId="0" applyNumberFormat="0" applyBorder="0" applyAlignment="0" applyProtection="0"/>
    <xf numFmtId="207" fontId="33" fillId="0" borderId="0">
      <alignment horizontal="left" vertical="center"/>
      <protection/>
    </xf>
    <xf numFmtId="0" fontId="94"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66" fillId="0" borderId="9" applyNumberFormat="0" applyFill="0" applyAlignment="0" applyProtection="0"/>
    <xf numFmtId="0" fontId="95" fillId="0" borderId="10"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67" fillId="0" borderId="12" applyNumberFormat="0" applyFill="0" applyAlignment="0" applyProtection="0"/>
    <xf numFmtId="0" fontId="96" fillId="0" borderId="13"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68" fillId="0" borderId="15" applyNumberFormat="0" applyFill="0" applyAlignment="0" applyProtection="0"/>
    <xf numFmtId="0" fontId="9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8" fillId="0" borderId="0" applyNumberFormat="0" applyFill="0" applyBorder="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97" fillId="0" borderId="0" applyNumberFormat="0" applyFill="0" applyBorder="0" applyAlignment="0" applyProtection="0"/>
    <xf numFmtId="0" fontId="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12"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7" fillId="0" borderId="0" applyNumberFormat="0" applyFill="0" applyBorder="0" applyAlignment="0" applyProtection="0"/>
    <xf numFmtId="0" fontId="99" fillId="55" borderId="3" applyNumberFormat="0" applyAlignment="0" applyProtection="0"/>
    <xf numFmtId="0" fontId="48" fillId="13" borderId="4" applyNumberFormat="0" applyAlignment="0" applyProtection="0"/>
    <xf numFmtId="0" fontId="48" fillId="13" borderId="4" applyNumberFormat="0" applyAlignment="0" applyProtection="0"/>
    <xf numFmtId="0" fontId="48" fillId="13" borderId="4" applyNumberFormat="0" applyAlignment="0" applyProtection="0"/>
    <xf numFmtId="0" fontId="48" fillId="13" borderId="4" applyNumberFormat="0" applyAlignment="0" applyProtection="0"/>
    <xf numFmtId="0" fontId="48" fillId="13" borderId="4" applyNumberFormat="0" applyAlignment="0" applyProtection="0"/>
    <xf numFmtId="0" fontId="48" fillId="13" borderId="4" applyNumberFormat="0" applyAlignment="0" applyProtection="0"/>
    <xf numFmtId="0" fontId="48" fillId="13" borderId="4" applyNumberFormat="0" applyAlignment="0" applyProtection="0"/>
    <xf numFmtId="0" fontId="48" fillId="13" borderId="4" applyNumberFormat="0" applyAlignment="0" applyProtection="0"/>
    <xf numFmtId="0" fontId="48" fillId="13" borderId="4" applyNumberFormat="0" applyAlignment="0" applyProtection="0"/>
    <xf numFmtId="0" fontId="48" fillId="13" borderId="4" applyNumberFormat="0" applyAlignment="0" applyProtection="0"/>
    <xf numFmtId="0" fontId="48" fillId="13" borderId="4" applyNumberFormat="0" applyAlignment="0" applyProtection="0"/>
    <xf numFmtId="0" fontId="48" fillId="13" borderId="4" applyNumberFormat="0" applyAlignment="0" applyProtection="0"/>
    <xf numFmtId="0" fontId="48" fillId="13" borderId="4" applyNumberFormat="0" applyAlignment="0" applyProtection="0"/>
    <xf numFmtId="0" fontId="61" fillId="21" borderId="4" applyNumberFormat="0" applyAlignment="0" applyProtection="0"/>
    <xf numFmtId="4" fontId="47" fillId="0" borderId="16">
      <alignment horizontal="right" vertical="center"/>
      <protection/>
    </xf>
    <xf numFmtId="0" fontId="100"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64" fillId="0" borderId="19" applyNumberFormat="0" applyFill="0" applyAlignment="0" applyProtection="0"/>
    <xf numFmtId="0" fontId="0" fillId="13" borderId="0" applyNumberFormat="0" applyFont="0" applyBorder="0" applyAlignment="0">
      <protection/>
    </xf>
    <xf numFmtId="208" fontId="0" fillId="0" borderId="0" applyFont="0" applyFill="0" applyBorder="0" applyAlignment="0" applyProtection="0"/>
    <xf numFmtId="209" fontId="0" fillId="0" borderId="0" applyFont="0" applyFill="0" applyBorder="0" applyAlignment="0" applyProtection="0"/>
    <xf numFmtId="210" fontId="0" fillId="0" borderId="0" applyFont="0" applyFill="0" applyBorder="0" applyAlignment="0" applyProtection="0"/>
    <xf numFmtId="211" fontId="0" fillId="0" borderId="0" applyFont="0" applyFill="0" applyBorder="0" applyAlignment="0" applyProtection="0"/>
    <xf numFmtId="0" fontId="101" fillId="56"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69" fillId="21" borderId="0" applyNumberFormat="0" applyBorder="0" applyAlignment="0" applyProtection="0"/>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0" borderId="0">
      <alignment/>
      <protection/>
    </xf>
    <xf numFmtId="0" fontId="0" fillId="0" borderId="0">
      <alignment/>
      <protection/>
    </xf>
    <xf numFmtId="0" fontId="86" fillId="0" borderId="0">
      <alignment/>
      <protection/>
    </xf>
    <xf numFmtId="0" fontId="86" fillId="0" borderId="0">
      <alignment/>
      <protection/>
    </xf>
    <xf numFmtId="0" fontId="0" fillId="0" borderId="0">
      <alignment/>
      <protection/>
    </xf>
    <xf numFmtId="0" fontId="70" fillId="0" borderId="0">
      <alignment/>
      <protection/>
    </xf>
    <xf numFmtId="0" fontId="86" fillId="0" borderId="0">
      <alignment/>
      <protection/>
    </xf>
    <xf numFmtId="0" fontId="86" fillId="0" borderId="0">
      <alignment/>
      <protection/>
    </xf>
    <xf numFmtId="0" fontId="11"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86" fillId="0" borderId="0">
      <alignment/>
      <protection/>
    </xf>
    <xf numFmtId="0" fontId="0" fillId="0" borderId="0">
      <alignment/>
      <protection/>
    </xf>
    <xf numFmtId="0" fontId="11" fillId="0" borderId="0">
      <alignment/>
      <protection/>
    </xf>
    <xf numFmtId="0" fontId="0" fillId="0" borderId="0">
      <alignment/>
      <protection/>
    </xf>
    <xf numFmtId="0" fontId="102" fillId="0" borderId="0">
      <alignment/>
      <protection/>
    </xf>
    <xf numFmtId="0" fontId="11" fillId="0" borderId="0">
      <alignment/>
      <protection/>
    </xf>
    <xf numFmtId="0" fontId="0" fillId="0" borderId="0">
      <alignment/>
      <protection/>
    </xf>
    <xf numFmtId="0" fontId="86"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03" fillId="0" borderId="0">
      <alignment/>
      <protection/>
    </xf>
    <xf numFmtId="0" fontId="11" fillId="0" borderId="0">
      <alignment/>
      <protection/>
    </xf>
    <xf numFmtId="0" fontId="86" fillId="0" borderId="0">
      <alignment/>
      <protection/>
    </xf>
    <xf numFmtId="0" fontId="102" fillId="0" borderId="0">
      <alignment/>
      <protection/>
    </xf>
    <xf numFmtId="0" fontId="103"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03" fillId="0" borderId="0">
      <alignment/>
      <protection/>
    </xf>
    <xf numFmtId="0" fontId="0"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103" fillId="0" borderId="0">
      <alignment/>
      <protection/>
    </xf>
    <xf numFmtId="0" fontId="0" fillId="0" borderId="0">
      <alignment/>
      <protection/>
    </xf>
    <xf numFmtId="0" fontId="103" fillId="0" borderId="0">
      <alignment/>
      <protection/>
    </xf>
    <xf numFmtId="0" fontId="11" fillId="0" borderId="0">
      <alignment/>
      <protection/>
    </xf>
    <xf numFmtId="0" fontId="103" fillId="0" borderId="0">
      <alignment/>
      <protection/>
    </xf>
    <xf numFmtId="0" fontId="103" fillId="0" borderId="0">
      <alignment/>
      <protection/>
    </xf>
    <xf numFmtId="0" fontId="11" fillId="0" borderId="0">
      <alignment/>
      <protection/>
    </xf>
    <xf numFmtId="0" fontId="86" fillId="0" borderId="0">
      <alignment/>
      <protection/>
    </xf>
    <xf numFmtId="0" fontId="103" fillId="0" borderId="0">
      <alignment/>
      <protection/>
    </xf>
    <xf numFmtId="0" fontId="0" fillId="0" borderId="0">
      <alignment/>
      <protection/>
    </xf>
    <xf numFmtId="0" fontId="103" fillId="0" borderId="0">
      <alignment/>
      <protection/>
    </xf>
    <xf numFmtId="0" fontId="0" fillId="0" borderId="0">
      <alignment/>
      <protection/>
    </xf>
    <xf numFmtId="0" fontId="22" fillId="53" borderId="0" applyNumberFormat="0" applyFont="0" applyBorder="0" applyAlignment="0" applyProtection="0"/>
    <xf numFmtId="0" fontId="49" fillId="0" borderId="0">
      <alignment/>
      <protection/>
    </xf>
    <xf numFmtId="0" fontId="49" fillId="0" borderId="0">
      <alignment/>
      <protection/>
    </xf>
    <xf numFmtId="0" fontId="0" fillId="57" borderId="20" applyNumberFormat="0" applyFont="0" applyAlignment="0" applyProtection="0"/>
    <xf numFmtId="0" fontId="45" fillId="10" borderId="21" applyNumberFormat="0" applyFont="0" applyAlignment="0" applyProtection="0"/>
    <xf numFmtId="0" fontId="45" fillId="10" borderId="21" applyNumberFormat="0" applyFont="0" applyAlignment="0" applyProtection="0"/>
    <xf numFmtId="0" fontId="45" fillId="10" borderId="21" applyNumberFormat="0" applyFont="0" applyAlignment="0" applyProtection="0"/>
    <xf numFmtId="0" fontId="45" fillId="10" borderId="21" applyNumberFormat="0" applyFont="0" applyAlignment="0" applyProtection="0"/>
    <xf numFmtId="0" fontId="45" fillId="10" borderId="21" applyNumberFormat="0" applyFont="0" applyAlignment="0" applyProtection="0"/>
    <xf numFmtId="0" fontId="45" fillId="10" borderId="21" applyNumberFormat="0" applyFont="0" applyAlignment="0" applyProtection="0"/>
    <xf numFmtId="0" fontId="0" fillId="10" borderId="21" applyNumberFormat="0" applyFont="0" applyAlignment="0" applyProtection="0"/>
    <xf numFmtId="0" fontId="45" fillId="10" borderId="21" applyNumberFormat="0" applyFont="0" applyAlignment="0" applyProtection="0"/>
    <xf numFmtId="0" fontId="45" fillId="10" borderId="21" applyNumberFormat="0" applyFont="0" applyAlignment="0" applyProtection="0"/>
    <xf numFmtId="0" fontId="45" fillId="10" borderId="21" applyNumberFormat="0" applyFont="0" applyAlignment="0" applyProtection="0"/>
    <xf numFmtId="0" fontId="45" fillId="10" borderId="21" applyNumberFormat="0" applyFont="0" applyAlignment="0" applyProtection="0"/>
    <xf numFmtId="0" fontId="0" fillId="10" borderId="21" applyNumberFormat="0" applyFont="0" applyAlignment="0" applyProtection="0"/>
    <xf numFmtId="0" fontId="104" fillId="49" borderId="22" applyNumberFormat="0" applyAlignment="0" applyProtection="0"/>
    <xf numFmtId="0" fontId="43" fillId="50" borderId="23" applyNumberFormat="0" applyAlignment="0" applyProtection="0"/>
    <xf numFmtId="0" fontId="43" fillId="50" borderId="23" applyNumberFormat="0" applyAlignment="0" applyProtection="0"/>
    <xf numFmtId="0" fontId="43" fillId="50" borderId="23" applyNumberFormat="0" applyAlignment="0" applyProtection="0"/>
    <xf numFmtId="0" fontId="43" fillId="50" borderId="23" applyNumberFormat="0" applyAlignment="0" applyProtection="0"/>
    <xf numFmtId="0" fontId="43" fillId="50" borderId="23" applyNumberFormat="0" applyAlignment="0" applyProtection="0"/>
    <xf numFmtId="0" fontId="43" fillId="50" borderId="23" applyNumberFormat="0" applyAlignment="0" applyProtection="0"/>
    <xf numFmtId="0" fontId="43" fillId="50" borderId="23" applyNumberFormat="0" applyAlignment="0" applyProtection="0"/>
    <xf numFmtId="0" fontId="43" fillId="50" borderId="23" applyNumberFormat="0" applyAlignment="0" applyProtection="0"/>
    <xf numFmtId="0" fontId="43" fillId="50" borderId="23" applyNumberFormat="0" applyAlignment="0" applyProtection="0"/>
    <xf numFmtId="0" fontId="62" fillId="51" borderId="2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8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70" fillId="0" borderId="0" applyFont="0" applyFill="0" applyBorder="0" applyAlignment="0" applyProtection="0"/>
    <xf numFmtId="9" fontId="0" fillId="0" borderId="0" applyFont="0" applyFill="0" applyBorder="0" applyAlignment="0" applyProtection="0"/>
    <xf numFmtId="9" fontId="103"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10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13" fontId="0" fillId="0" borderId="0" applyFont="0" applyFill="0" applyProtection="0">
      <alignment/>
    </xf>
    <xf numFmtId="9" fontId="103" fillId="0" borderId="0" applyFont="0" applyFill="0" applyBorder="0" applyAlignment="0" applyProtection="0"/>
    <xf numFmtId="207" fontId="36"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47" fillId="53" borderId="1">
      <alignment/>
      <protection/>
    </xf>
    <xf numFmtId="0" fontId="47" fillId="53" borderId="1">
      <alignment/>
      <protection/>
    </xf>
    <xf numFmtId="0" fontId="47" fillId="53" borderId="1">
      <alignment/>
      <protection/>
    </xf>
    <xf numFmtId="0" fontId="27" fillId="0" borderId="0">
      <alignment/>
      <protection/>
    </xf>
    <xf numFmtId="0" fontId="20" fillId="0" borderId="0">
      <alignment horizontal="right"/>
      <protection/>
    </xf>
    <xf numFmtId="0" fontId="20" fillId="0" borderId="0">
      <alignment horizontal="left"/>
      <protection/>
    </xf>
    <xf numFmtId="0" fontId="0" fillId="0" borderId="0">
      <alignment horizontal="left" vertical="center"/>
      <protection/>
    </xf>
    <xf numFmtId="0" fontId="1" fillId="0" borderId="0">
      <alignment/>
      <protection/>
    </xf>
    <xf numFmtId="212" fontId="0" fillId="0" borderId="0" applyFont="0" applyFill="0" applyBorder="0" applyAlignment="0" applyProtection="0"/>
    <xf numFmtId="212"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213" fontId="0" fillId="0" borderId="0" applyFont="0" applyFill="0" applyBorder="0" applyAlignment="0" applyProtection="0"/>
    <xf numFmtId="213" fontId="0" fillId="0" borderId="0" applyFont="0" applyFill="0" applyBorder="0" applyAlignment="0" applyProtection="0"/>
    <xf numFmtId="49" fontId="0" fillId="0" borderId="0" applyFill="0" applyBorder="0" applyProtection="0">
      <alignment horizontal="left"/>
    </xf>
    <xf numFmtId="49" fontId="0" fillId="0" borderId="0" applyFill="0" applyBorder="0" applyProtection="0">
      <alignment horizontal="left"/>
    </xf>
    <xf numFmtId="212" fontId="0" fillId="0" borderId="0" applyFont="0" applyFill="0" applyBorder="0" applyAlignment="0" applyProtection="0"/>
    <xf numFmtId="212"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213" fontId="0" fillId="0" borderId="0" applyFont="0" applyFill="0" applyBorder="0" applyAlignment="0" applyProtection="0"/>
    <xf numFmtId="213" fontId="0" fillId="0" borderId="0" applyFont="0" applyFill="0" applyBorder="0" applyAlignment="0" applyProtection="0"/>
    <xf numFmtId="49" fontId="0" fillId="0" borderId="0" applyFill="0" applyBorder="0" applyProtection="0">
      <alignment horizontal="left"/>
    </xf>
    <xf numFmtId="49" fontId="0" fillId="0" borderId="0" applyFill="0" applyBorder="0" applyProtection="0">
      <alignment horizontal="left"/>
    </xf>
    <xf numFmtId="0" fontId="105"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1" fillId="0" borderId="0" applyNumberFormat="0" applyFill="0" applyBorder="0" applyAlignment="0" applyProtection="0"/>
    <xf numFmtId="0" fontId="39" fillId="0" borderId="0">
      <alignment horizontal="left" vertical="top"/>
      <protection/>
    </xf>
    <xf numFmtId="0" fontId="25" fillId="0" borderId="0">
      <alignment horizontal="left"/>
      <protection/>
    </xf>
    <xf numFmtId="214" fontId="34" fillId="58" borderId="0" applyNumberFormat="0" applyBorder="0">
      <alignment/>
      <protection locked="0"/>
    </xf>
    <xf numFmtId="0" fontId="106" fillId="0" borderId="24"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63" fillId="0" borderId="26" applyNumberFormat="0" applyFill="0" applyAlignment="0" applyProtection="0"/>
    <xf numFmtId="214" fontId="23" fillId="59" borderId="0" applyNumberFormat="0" applyBorder="0">
      <alignment/>
      <protection locked="0"/>
    </xf>
    <xf numFmtId="41" fontId="0" fillId="0" borderId="0" applyFont="0" applyFill="0" applyBorder="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215" fontId="36" fillId="0" borderId="0" applyFont="0" applyFill="0" applyBorder="0" applyAlignment="0" applyProtection="0"/>
    <xf numFmtId="216" fontId="36" fillId="0" borderId="0" applyFont="0" applyFill="0" applyBorder="0" applyAlignment="0" applyProtection="0"/>
    <xf numFmtId="0" fontId="10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4" fillId="0" borderId="0" applyNumberFormat="0" applyFill="0" applyBorder="0" applyAlignment="0" applyProtection="0"/>
    <xf numFmtId="0" fontId="44" fillId="21" borderId="0">
      <alignment horizontal="left" vertical="center" indent="1"/>
      <protection/>
    </xf>
    <xf numFmtId="4" fontId="47" fillId="0" borderId="0">
      <alignment/>
      <protection/>
    </xf>
  </cellStyleXfs>
  <cellXfs count="815">
    <xf numFmtId="0" fontId="0" fillId="0" borderId="0" xfId="0" applyAlignment="1">
      <alignment/>
    </xf>
    <xf numFmtId="0" fontId="2"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5" fillId="0" borderId="1" xfId="0" applyNumberFormat="1"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0" xfId="0" applyFont="1" applyBorder="1" applyAlignment="1">
      <alignment/>
    </xf>
    <xf numFmtId="0" fontId="9" fillId="0" borderId="0" xfId="0" applyFont="1" applyAlignment="1">
      <alignment/>
    </xf>
    <xf numFmtId="0" fontId="0" fillId="0" borderId="0" xfId="0" applyAlignment="1">
      <alignment horizontal="left" vertical="center"/>
    </xf>
    <xf numFmtId="0" fontId="4" fillId="50" borderId="30" xfId="0" applyFont="1" applyFill="1" applyBorder="1" applyAlignment="1">
      <alignment/>
    </xf>
    <xf numFmtId="0" fontId="3" fillId="50" borderId="31" xfId="0" applyFont="1" applyFill="1" applyBorder="1" applyAlignment="1">
      <alignment horizontal="center"/>
    </xf>
    <xf numFmtId="0" fontId="3" fillId="50" borderId="32" xfId="0" applyFont="1" applyFill="1" applyBorder="1" applyAlignment="1">
      <alignment horizontal="center"/>
    </xf>
    <xf numFmtId="0" fontId="3" fillId="50" borderId="32" xfId="0" applyFont="1" applyFill="1" applyBorder="1" applyAlignment="1">
      <alignment horizontal="left"/>
    </xf>
    <xf numFmtId="0" fontId="3" fillId="50" borderId="33" xfId="0" applyFont="1" applyFill="1" applyBorder="1" applyAlignment="1">
      <alignment horizontal="center"/>
    </xf>
    <xf numFmtId="0" fontId="3" fillId="50" borderId="34" xfId="0" applyFont="1" applyFill="1" applyBorder="1" applyAlignment="1">
      <alignment horizontal="center"/>
    </xf>
    <xf numFmtId="0" fontId="4" fillId="60" borderId="35" xfId="0" applyFont="1" applyFill="1" applyBorder="1" applyAlignment="1">
      <alignment/>
    </xf>
    <xf numFmtId="0" fontId="4" fillId="60" borderId="36" xfId="0" applyFont="1" applyFill="1" applyBorder="1" applyAlignment="1">
      <alignment/>
    </xf>
    <xf numFmtId="0" fontId="4" fillId="60" borderId="36" xfId="0" applyFont="1" applyFill="1" applyBorder="1" applyAlignment="1">
      <alignment horizontal="left" vertical="center"/>
    </xf>
    <xf numFmtId="0" fontId="4" fillId="60" borderId="37" xfId="0" applyFont="1" applyFill="1" applyBorder="1" applyAlignment="1">
      <alignment horizontal="center" vertical="center" wrapText="1"/>
    </xf>
    <xf numFmtId="0" fontId="4" fillId="60" borderId="38" xfId="0" applyFont="1" applyFill="1" applyBorder="1" applyAlignment="1">
      <alignment horizontal="center" vertical="center" wrapText="1"/>
    </xf>
    <xf numFmtId="0" fontId="0" fillId="0" borderId="0" xfId="0" applyAlignment="1">
      <alignment horizontal="center"/>
    </xf>
    <xf numFmtId="0" fontId="9" fillId="0" borderId="0" xfId="0" applyFont="1" applyAlignment="1">
      <alignment horizontal="left"/>
    </xf>
    <xf numFmtId="0" fontId="4" fillId="39" borderId="39" xfId="0" applyFont="1" applyFill="1" applyBorder="1" applyAlignment="1">
      <alignment horizontal="center"/>
    </xf>
    <xf numFmtId="0" fontId="4" fillId="39" borderId="40" xfId="0" applyFont="1" applyFill="1" applyBorder="1" applyAlignment="1">
      <alignment horizontal="center"/>
    </xf>
    <xf numFmtId="0" fontId="4" fillId="39" borderId="41" xfId="0" applyFont="1" applyFill="1" applyBorder="1" applyAlignment="1">
      <alignment horizontal="center"/>
    </xf>
    <xf numFmtId="0" fontId="10" fillId="50" borderId="36" xfId="0" applyFont="1" applyFill="1" applyBorder="1" applyAlignment="1">
      <alignment horizontal="center"/>
    </xf>
    <xf numFmtId="0" fontId="10" fillId="50" borderId="0" xfId="0" applyFont="1" applyFill="1" applyBorder="1" applyAlignment="1">
      <alignment horizontal="center"/>
    </xf>
    <xf numFmtId="0" fontId="10" fillId="50" borderId="42" xfId="0" applyFont="1" applyFill="1" applyBorder="1" applyAlignment="1">
      <alignment horizontal="center"/>
    </xf>
    <xf numFmtId="0" fontId="10" fillId="50" borderId="43" xfId="0" applyFont="1" applyFill="1" applyBorder="1" applyAlignment="1">
      <alignment horizontal="center"/>
    </xf>
    <xf numFmtId="0" fontId="0" fillId="0" borderId="36"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44" xfId="0" applyBorder="1" applyAlignment="1">
      <alignment horizontal="center"/>
    </xf>
    <xf numFmtId="0" fontId="0" fillId="0" borderId="0" xfId="0" applyFill="1" applyBorder="1" applyAlignment="1">
      <alignment horizontal="center"/>
    </xf>
    <xf numFmtId="0" fontId="5" fillId="50" borderId="0" xfId="0" applyFont="1" applyFill="1" applyBorder="1" applyAlignment="1">
      <alignment/>
    </xf>
    <xf numFmtId="3" fontId="5" fillId="0" borderId="45" xfId="0" applyNumberFormat="1" applyFont="1" applyBorder="1" applyAlignment="1">
      <alignment horizontal="center"/>
    </xf>
    <xf numFmtId="3" fontId="5" fillId="0" borderId="0" xfId="0" applyNumberFormat="1" applyFont="1" applyBorder="1" applyAlignment="1">
      <alignment horizontal="center"/>
    </xf>
    <xf numFmtId="3" fontId="5" fillId="50" borderId="0" xfId="0" applyNumberFormat="1" applyFont="1" applyFill="1" applyBorder="1" applyAlignment="1">
      <alignment horizontal="center"/>
    </xf>
    <xf numFmtId="3" fontId="5" fillId="0" borderId="46" xfId="0" applyNumberFormat="1" applyFont="1" applyBorder="1" applyAlignment="1">
      <alignment horizontal="center"/>
    </xf>
    <xf numFmtId="0" fontId="2" fillId="0" borderId="0" xfId="0" applyFont="1" applyBorder="1" applyAlignment="1">
      <alignment horizontal="left" vertical="center"/>
    </xf>
    <xf numFmtId="166" fontId="5" fillId="0" borderId="0" xfId="406" applyNumberFormat="1" applyFont="1" applyFill="1">
      <alignment/>
      <protection/>
    </xf>
    <xf numFmtId="166" fontId="3" fillId="0" borderId="0" xfId="406" applyNumberFormat="1" applyFont="1" applyFill="1" applyBorder="1">
      <alignment/>
      <protection/>
    </xf>
    <xf numFmtId="166" fontId="3" fillId="0" borderId="0" xfId="406" applyNumberFormat="1" applyFont="1" applyFill="1">
      <alignment/>
      <protection/>
    </xf>
    <xf numFmtId="0" fontId="5" fillId="0" borderId="0" xfId="406" applyFont="1" applyFill="1">
      <alignment/>
      <protection/>
    </xf>
    <xf numFmtId="166" fontId="13" fillId="0" borderId="0" xfId="406" applyNumberFormat="1" applyFont="1" applyFill="1">
      <alignment/>
      <protection/>
    </xf>
    <xf numFmtId="166" fontId="5" fillId="0" borderId="0" xfId="406" applyNumberFormat="1" applyFont="1" applyFill="1" applyBorder="1">
      <alignment/>
      <protection/>
    </xf>
    <xf numFmtId="166" fontId="5" fillId="0" borderId="0" xfId="406" applyNumberFormat="1" applyFont="1" applyFill="1" applyBorder="1" applyAlignment="1">
      <alignment horizontal="right"/>
      <protection/>
    </xf>
    <xf numFmtId="166" fontId="13" fillId="0" borderId="0" xfId="406" applyNumberFormat="1" applyFont="1" applyFill="1" applyBorder="1">
      <alignment/>
      <protection/>
    </xf>
    <xf numFmtId="166" fontId="3" fillId="0" borderId="0" xfId="406" applyNumberFormat="1" applyFont="1" applyFill="1" applyBorder="1" applyAlignment="1">
      <alignment horizontal="right"/>
      <protection/>
    </xf>
    <xf numFmtId="0" fontId="5" fillId="0" borderId="0" xfId="406" applyFont="1" applyFill="1" applyBorder="1">
      <alignment/>
      <protection/>
    </xf>
    <xf numFmtId="166" fontId="13" fillId="0" borderId="0" xfId="406" applyNumberFormat="1" applyFont="1" applyFill="1" applyBorder="1" applyAlignment="1">
      <alignment horizontal="right"/>
      <protection/>
    </xf>
    <xf numFmtId="166" fontId="5" fillId="50" borderId="29" xfId="406" applyNumberFormat="1" applyFont="1" applyFill="1" applyBorder="1">
      <alignment/>
      <protection/>
    </xf>
    <xf numFmtId="166" fontId="5" fillId="0" borderId="0" xfId="406" applyNumberFormat="1" applyFont="1" applyFill="1" applyAlignment="1">
      <alignment horizontal="center"/>
      <protection/>
    </xf>
    <xf numFmtId="0" fontId="5" fillId="50" borderId="46" xfId="383" applyFont="1" applyFill="1" applyBorder="1">
      <alignment/>
      <protection/>
    </xf>
    <xf numFmtId="166" fontId="3" fillId="50" borderId="0" xfId="406" applyNumberFormat="1" applyFont="1" applyFill="1" applyBorder="1">
      <alignment/>
      <protection/>
    </xf>
    <xf numFmtId="166" fontId="5" fillId="50" borderId="0" xfId="406" applyNumberFormat="1" applyFont="1" applyFill="1" applyBorder="1">
      <alignment/>
      <protection/>
    </xf>
    <xf numFmtId="0" fontId="5" fillId="0" borderId="46" xfId="0" applyFont="1" applyBorder="1" applyAlignment="1">
      <alignment horizontal="center"/>
    </xf>
    <xf numFmtId="0" fontId="5" fillId="50" borderId="27" xfId="0" applyFont="1" applyFill="1" applyBorder="1" applyAlignment="1">
      <alignment/>
    </xf>
    <xf numFmtId="0" fontId="5" fillId="50" borderId="28" xfId="0" applyFont="1" applyFill="1" applyBorder="1" applyAlignment="1">
      <alignment/>
    </xf>
    <xf numFmtId="0" fontId="5" fillId="50" borderId="29" xfId="0" applyFont="1" applyFill="1" applyBorder="1" applyAlignment="1">
      <alignment/>
    </xf>
    <xf numFmtId="3" fontId="3" fillId="50" borderId="27" xfId="0" applyNumberFormat="1" applyFont="1" applyFill="1" applyBorder="1" applyAlignment="1">
      <alignment horizontal="center"/>
    </xf>
    <xf numFmtId="3" fontId="3" fillId="50" borderId="28" xfId="0" applyNumberFormat="1" applyFont="1" applyFill="1" applyBorder="1" applyAlignment="1">
      <alignment horizontal="center"/>
    </xf>
    <xf numFmtId="3" fontId="3" fillId="50" borderId="47" xfId="0" applyNumberFormat="1" applyFont="1" applyFill="1" applyBorder="1" applyAlignment="1">
      <alignment horizontal="center"/>
    </xf>
    <xf numFmtId="3" fontId="3" fillId="50" borderId="48" xfId="0" applyNumberFormat="1" applyFont="1" applyFill="1" applyBorder="1" applyAlignment="1">
      <alignment horizontal="center"/>
    </xf>
    <xf numFmtId="0" fontId="3" fillId="50" borderId="36" xfId="0" applyFont="1" applyFill="1" applyBorder="1" applyAlignment="1">
      <alignment/>
    </xf>
    <xf numFmtId="4" fontId="3" fillId="50" borderId="49" xfId="0" applyNumberFormat="1" applyFont="1" applyFill="1" applyBorder="1" applyAlignment="1">
      <alignment horizontal="center"/>
    </xf>
    <xf numFmtId="4" fontId="3" fillId="50" borderId="50" xfId="0" applyNumberFormat="1" applyFont="1" applyFill="1" applyBorder="1" applyAlignment="1">
      <alignment horizontal="center"/>
    </xf>
    <xf numFmtId="4" fontId="3" fillId="50" borderId="51" xfId="0" applyNumberFormat="1" applyFont="1" applyFill="1" applyBorder="1" applyAlignment="1">
      <alignment horizontal="center"/>
    </xf>
    <xf numFmtId="0" fontId="3" fillId="50" borderId="52" xfId="0" applyFont="1" applyFill="1" applyBorder="1" applyAlignment="1">
      <alignment/>
    </xf>
    <xf numFmtId="4" fontId="3" fillId="50" borderId="53" xfId="0" applyNumberFormat="1" applyFont="1" applyFill="1" applyBorder="1" applyAlignment="1">
      <alignment horizontal="center"/>
    </xf>
    <xf numFmtId="173" fontId="3" fillId="50" borderId="54" xfId="0" applyNumberFormat="1" applyFont="1" applyFill="1" applyBorder="1" applyAlignment="1">
      <alignment horizontal="center"/>
    </xf>
    <xf numFmtId="1" fontId="5" fillId="0" borderId="46" xfId="0" applyNumberFormat="1" applyFont="1" applyBorder="1" applyAlignment="1">
      <alignment horizontal="center"/>
    </xf>
    <xf numFmtId="3" fontId="3" fillId="50" borderId="55" xfId="0" applyNumberFormat="1" applyFont="1" applyFill="1" applyBorder="1" applyAlignment="1">
      <alignment horizontal="center"/>
    </xf>
    <xf numFmtId="2" fontId="3" fillId="50" borderId="49" xfId="0" applyNumberFormat="1" applyFont="1" applyFill="1" applyBorder="1" applyAlignment="1">
      <alignment horizontal="center"/>
    </xf>
    <xf numFmtId="2" fontId="3" fillId="50" borderId="54" xfId="0" applyNumberFormat="1" applyFont="1" applyFill="1" applyBorder="1" applyAlignment="1">
      <alignment horizontal="center"/>
    </xf>
    <xf numFmtId="1" fontId="5" fillId="50" borderId="0" xfId="0" applyNumberFormat="1" applyFont="1" applyFill="1" applyBorder="1" applyAlignment="1">
      <alignment horizontal="center"/>
    </xf>
    <xf numFmtId="4" fontId="5" fillId="0" borderId="0" xfId="0" applyNumberFormat="1" applyFont="1" applyBorder="1" applyAlignment="1">
      <alignment horizontal="center"/>
    </xf>
    <xf numFmtId="3" fontId="5" fillId="50" borderId="44" xfId="0" applyNumberFormat="1" applyFont="1" applyFill="1" applyBorder="1" applyAlignment="1">
      <alignment horizontal="center"/>
    </xf>
    <xf numFmtId="174" fontId="3" fillId="50" borderId="54" xfId="0" applyNumberFormat="1" applyFont="1" applyFill="1" applyBorder="1" applyAlignment="1">
      <alignment horizontal="center"/>
    </xf>
    <xf numFmtId="0" fontId="3" fillId="50" borderId="33" xfId="0" applyFont="1" applyFill="1" applyBorder="1" applyAlignment="1">
      <alignment horizontal="left"/>
    </xf>
    <xf numFmtId="0" fontId="5" fillId="0" borderId="1" xfId="0" applyFont="1" applyBorder="1" applyAlignment="1">
      <alignment horizontal="center"/>
    </xf>
    <xf numFmtId="0" fontId="3" fillId="0" borderId="0" xfId="0" applyFont="1" applyFill="1" applyBorder="1" applyAlignment="1">
      <alignment/>
    </xf>
    <xf numFmtId="4" fontId="3" fillId="0"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0" fillId="0" borderId="0" xfId="0" applyFill="1" applyAlignment="1">
      <alignment/>
    </xf>
    <xf numFmtId="3" fontId="5" fillId="50" borderId="46" xfId="0" applyNumberFormat="1" applyFont="1" applyFill="1" applyBorder="1" applyAlignment="1">
      <alignment horizontal="center"/>
    </xf>
    <xf numFmtId="3" fontId="5" fillId="0" borderId="0" xfId="0" applyNumberFormat="1" applyFont="1" applyAlignment="1">
      <alignment/>
    </xf>
    <xf numFmtId="3" fontId="0" fillId="0" borderId="0" xfId="0" applyNumberFormat="1" applyAlignment="1">
      <alignment/>
    </xf>
    <xf numFmtId="0" fontId="5" fillId="50" borderId="29" xfId="383" applyFont="1" applyFill="1" applyBorder="1">
      <alignment/>
      <protection/>
    </xf>
    <xf numFmtId="0" fontId="4" fillId="60" borderId="56" xfId="0" applyFont="1" applyFill="1" applyBorder="1" applyAlignment="1">
      <alignment horizontal="center" vertical="center"/>
    </xf>
    <xf numFmtId="0" fontId="4" fillId="60" borderId="57" xfId="0" applyFont="1" applyFill="1" applyBorder="1" applyAlignment="1">
      <alignment horizontal="center" vertical="center"/>
    </xf>
    <xf numFmtId="0" fontId="4" fillId="60" borderId="58" xfId="0" applyFont="1" applyFill="1" applyBorder="1" applyAlignment="1">
      <alignment horizontal="center" vertical="center"/>
    </xf>
    <xf numFmtId="0" fontId="3" fillId="50" borderId="35" xfId="0" applyFont="1" applyFill="1" applyBorder="1" applyAlignment="1">
      <alignment/>
    </xf>
    <xf numFmtId="3" fontId="3" fillId="50" borderId="59" xfId="0" applyNumberFormat="1" applyFont="1" applyFill="1" applyBorder="1" applyAlignment="1">
      <alignment horizontal="center"/>
    </xf>
    <xf numFmtId="3" fontId="3" fillId="50" borderId="60" xfId="0" applyNumberFormat="1" applyFont="1" applyFill="1" applyBorder="1" applyAlignment="1">
      <alignment horizontal="center"/>
    </xf>
    <xf numFmtId="3" fontId="3" fillId="50" borderId="61" xfId="0" applyNumberFormat="1" applyFont="1" applyFill="1" applyBorder="1" applyAlignment="1">
      <alignment horizontal="center"/>
    </xf>
    <xf numFmtId="3" fontId="3" fillId="50" borderId="62" xfId="0" applyNumberFormat="1" applyFont="1" applyFill="1" applyBorder="1" applyAlignment="1">
      <alignment horizontal="center"/>
    </xf>
    <xf numFmtId="3" fontId="3" fillId="50" borderId="63" xfId="0" applyNumberFormat="1" applyFont="1" applyFill="1" applyBorder="1" applyAlignment="1">
      <alignment horizontal="center"/>
    </xf>
    <xf numFmtId="3" fontId="3" fillId="50" borderId="64" xfId="0" applyNumberFormat="1" applyFont="1" applyFill="1" applyBorder="1" applyAlignment="1">
      <alignment horizontal="center"/>
    </xf>
    <xf numFmtId="2" fontId="0" fillId="0" borderId="0" xfId="0" applyNumberFormat="1" applyAlignment="1">
      <alignment/>
    </xf>
    <xf numFmtId="4" fontId="0" fillId="0" borderId="0" xfId="0" applyNumberFormat="1" applyAlignment="1">
      <alignment/>
    </xf>
    <xf numFmtId="172" fontId="0" fillId="0" borderId="0" xfId="0" applyNumberFormat="1" applyAlignment="1">
      <alignment/>
    </xf>
    <xf numFmtId="181" fontId="0" fillId="0" borderId="0" xfId="0" applyNumberFormat="1" applyAlignment="1">
      <alignment/>
    </xf>
    <xf numFmtId="180" fontId="0" fillId="0" borderId="0" xfId="0" applyNumberFormat="1" applyAlignment="1">
      <alignment/>
    </xf>
    <xf numFmtId="0" fontId="5" fillId="0" borderId="0" xfId="0" applyFont="1" applyAlignment="1">
      <alignment/>
    </xf>
    <xf numFmtId="3" fontId="3" fillId="50" borderId="1" xfId="0" applyNumberFormat="1" applyFont="1" applyFill="1" applyBorder="1" applyAlignment="1">
      <alignment horizontal="center"/>
    </xf>
    <xf numFmtId="0" fontId="0" fillId="0" borderId="0" xfId="0" applyAlignment="1">
      <alignment wrapText="1"/>
    </xf>
    <xf numFmtId="0" fontId="4" fillId="61" borderId="65" xfId="0" applyFont="1" applyFill="1" applyBorder="1" applyAlignment="1">
      <alignment horizontal="left" vertical="center" wrapText="1"/>
    </xf>
    <xf numFmtId="0" fontId="5" fillId="0" borderId="66" xfId="0" applyFont="1" applyBorder="1" applyAlignment="1">
      <alignment horizontal="left" vertical="center" wrapText="1"/>
    </xf>
    <xf numFmtId="0" fontId="7" fillId="0" borderId="67" xfId="299" applyBorder="1" applyAlignment="1" applyProtection="1">
      <alignment horizontal="left" vertical="center" wrapText="1"/>
      <protection/>
    </xf>
    <xf numFmtId="0" fontId="5" fillId="0" borderId="67" xfId="0" applyFont="1" applyBorder="1" applyAlignment="1">
      <alignment horizontal="left" vertical="center" wrapText="1"/>
    </xf>
    <xf numFmtId="0" fontId="5" fillId="62" borderId="1" xfId="0" applyFont="1" applyFill="1" applyBorder="1" applyAlignment="1">
      <alignment horizontal="center" textRotation="90" wrapText="1"/>
    </xf>
    <xf numFmtId="0" fontId="5" fillId="63" borderId="1" xfId="0" applyFont="1" applyFill="1" applyBorder="1" applyAlignment="1">
      <alignment horizontal="center" textRotation="90" wrapText="1"/>
    </xf>
    <xf numFmtId="0" fontId="5" fillId="64" borderId="1" xfId="0" applyFont="1" applyFill="1" applyBorder="1" applyAlignment="1">
      <alignment horizontal="center" textRotation="90" wrapText="1"/>
    </xf>
    <xf numFmtId="166" fontId="5" fillId="0" borderId="1" xfId="0" applyNumberFormat="1" applyFont="1" applyFill="1" applyBorder="1" applyAlignment="1">
      <alignment horizontal="center" textRotation="90" wrapText="1"/>
    </xf>
    <xf numFmtId="166" fontId="5" fillId="0" borderId="0" xfId="0" applyNumberFormat="1" applyFont="1" applyFill="1" applyBorder="1" applyAlignment="1">
      <alignment/>
    </xf>
    <xf numFmtId="0" fontId="17" fillId="0" borderId="1" xfId="0" applyFont="1" applyBorder="1" applyAlignment="1">
      <alignment vertical="center"/>
    </xf>
    <xf numFmtId="0" fontId="17" fillId="0" borderId="1" xfId="0" applyFont="1" applyBorder="1" applyAlignment="1">
      <alignment vertical="center" wrapText="1"/>
    </xf>
    <xf numFmtId="0" fontId="108" fillId="63" borderId="1" xfId="0" applyFont="1" applyFill="1" applyBorder="1" applyAlignment="1">
      <alignment horizontal="center" textRotation="90" wrapText="1"/>
    </xf>
    <xf numFmtId="0" fontId="108" fillId="64" borderId="1" xfId="0" applyFont="1" applyFill="1" applyBorder="1" applyAlignment="1">
      <alignment horizontal="center" textRotation="90" wrapText="1"/>
    </xf>
    <xf numFmtId="0" fontId="108" fillId="65" borderId="1" xfId="0" applyFont="1" applyFill="1" applyBorder="1" applyAlignment="1">
      <alignment horizontal="center" textRotation="90" wrapText="1"/>
    </xf>
    <xf numFmtId="0" fontId="108" fillId="62" borderId="1" xfId="0" applyFont="1" applyFill="1" applyBorder="1" applyAlignment="1">
      <alignment horizontal="center" textRotation="90" wrapText="1"/>
    </xf>
    <xf numFmtId="0" fontId="5" fillId="0" borderId="47" xfId="0" applyFont="1" applyFill="1" applyBorder="1" applyAlignment="1">
      <alignment/>
    </xf>
    <xf numFmtId="0" fontId="5" fillId="0" borderId="48" xfId="0" applyFont="1" applyFill="1" applyBorder="1" applyAlignment="1">
      <alignment/>
    </xf>
    <xf numFmtId="166" fontId="5" fillId="0" borderId="68" xfId="0" applyNumberFormat="1" applyFont="1" applyFill="1" applyBorder="1" applyAlignment="1">
      <alignment/>
    </xf>
    <xf numFmtId="166" fontId="5" fillId="0" borderId="69" xfId="0" applyNumberFormat="1" applyFont="1" applyFill="1" applyBorder="1" applyAlignment="1">
      <alignment/>
    </xf>
    <xf numFmtId="166" fontId="5" fillId="0" borderId="70" xfId="0" applyNumberFormat="1" applyFont="1" applyFill="1" applyBorder="1" applyAlignment="1">
      <alignment/>
    </xf>
    <xf numFmtId="166" fontId="5" fillId="0" borderId="47" xfId="0" applyNumberFormat="1" applyFont="1" applyFill="1" applyBorder="1" applyAlignment="1">
      <alignment/>
    </xf>
    <xf numFmtId="0" fontId="5" fillId="0" borderId="55" xfId="0" applyFont="1" applyBorder="1" applyAlignment="1">
      <alignment/>
    </xf>
    <xf numFmtId="0" fontId="5" fillId="0" borderId="46" xfId="0" applyFont="1" applyBorder="1" applyAlignment="1">
      <alignment/>
    </xf>
    <xf numFmtId="0" fontId="5" fillId="0" borderId="1" xfId="0" applyFont="1" applyFill="1" applyBorder="1" applyAlignment="1">
      <alignment/>
    </xf>
    <xf numFmtId="166" fontId="5" fillId="0" borderId="28" xfId="0" applyNumberFormat="1" applyFont="1" applyFill="1" applyBorder="1" applyAlignment="1">
      <alignment/>
    </xf>
    <xf numFmtId="1" fontId="5" fillId="0" borderId="27" xfId="0" applyNumberFormat="1" applyFont="1" applyBorder="1" applyAlignment="1">
      <alignment horizontal="center" textRotation="90" wrapText="1"/>
    </xf>
    <xf numFmtId="0" fontId="5" fillId="0" borderId="2" xfId="0" applyFont="1" applyFill="1" applyBorder="1" applyAlignment="1">
      <alignment/>
    </xf>
    <xf numFmtId="0" fontId="5" fillId="0" borderId="2" xfId="0" applyFont="1" applyBorder="1" applyAlignment="1">
      <alignment/>
    </xf>
    <xf numFmtId="0" fontId="17" fillId="0" borderId="55" xfId="0" applyFont="1" applyBorder="1" applyAlignment="1">
      <alignment horizontal="center" vertical="center" wrapText="1"/>
    </xf>
    <xf numFmtId="0" fontId="5" fillId="0" borderId="71" xfId="0" applyFont="1" applyFill="1" applyBorder="1" applyAlignment="1">
      <alignment/>
    </xf>
    <xf numFmtId="0" fontId="5" fillId="0" borderId="55" xfId="0" applyFont="1" applyBorder="1" applyAlignment="1">
      <alignment horizontal="center"/>
    </xf>
    <xf numFmtId="0" fontId="5" fillId="0" borderId="2" xfId="0" applyFont="1" applyBorder="1" applyAlignment="1">
      <alignment horizontal="center"/>
    </xf>
    <xf numFmtId="0" fontId="2" fillId="0" borderId="0" xfId="0" applyFont="1" applyFill="1" applyAlignment="1">
      <alignment horizontal="left" vertical="center"/>
    </xf>
    <xf numFmtId="0" fontId="5" fillId="0" borderId="0" xfId="0" applyFont="1" applyFill="1" applyAlignment="1">
      <alignment/>
    </xf>
    <xf numFmtId="0" fontId="9" fillId="0" borderId="0" xfId="0" applyFont="1" applyFill="1" applyAlignment="1">
      <alignment/>
    </xf>
    <xf numFmtId="3" fontId="5" fillId="66" borderId="0" xfId="0" applyNumberFormat="1" applyFont="1" applyFill="1" applyBorder="1" applyAlignment="1">
      <alignment horizontal="center"/>
    </xf>
    <xf numFmtId="2" fontId="5" fillId="67" borderId="0" xfId="0" applyNumberFormat="1" applyFont="1" applyFill="1" applyBorder="1" applyAlignment="1">
      <alignment horizontal="center"/>
    </xf>
    <xf numFmtId="0" fontId="5" fillId="50" borderId="29" xfId="0" applyFont="1" applyFill="1" applyBorder="1" applyAlignment="1">
      <alignment horizontal="center" vertical="center"/>
    </xf>
    <xf numFmtId="1" fontId="5" fillId="66" borderId="0" xfId="0" applyNumberFormat="1" applyFont="1" applyFill="1" applyBorder="1" applyAlignment="1">
      <alignment horizontal="center"/>
    </xf>
    <xf numFmtId="3" fontId="108" fillId="66" borderId="71" xfId="0" applyNumberFormat="1" applyFont="1" applyFill="1" applyBorder="1" applyAlignment="1">
      <alignment horizontal="center"/>
    </xf>
    <xf numFmtId="3" fontId="5" fillId="50" borderId="29" xfId="0" applyNumberFormat="1" applyFont="1" applyFill="1" applyBorder="1" applyAlignment="1">
      <alignment horizontal="center"/>
    </xf>
    <xf numFmtId="3" fontId="5" fillId="50" borderId="71" xfId="0" applyNumberFormat="1" applyFont="1" applyFill="1" applyBorder="1" applyAlignment="1">
      <alignment horizontal="center"/>
    </xf>
    <xf numFmtId="3" fontId="109" fillId="50" borderId="71" xfId="0" applyNumberFormat="1" applyFont="1" applyFill="1" applyBorder="1" applyAlignment="1">
      <alignment horizontal="center"/>
    </xf>
    <xf numFmtId="0" fontId="5" fillId="0" borderId="1" xfId="0" applyFont="1" applyFill="1" applyBorder="1" applyAlignment="1">
      <alignment horizontal="center" vertical="center" wrapText="1"/>
    </xf>
    <xf numFmtId="0" fontId="4" fillId="37" borderId="1" xfId="0" applyFont="1" applyFill="1" applyBorder="1" applyAlignment="1">
      <alignment horizontal="left" vertical="center" wrapText="1"/>
    </xf>
    <xf numFmtId="0" fontId="4" fillId="37" borderId="1" xfId="0" applyFont="1" applyFill="1" applyBorder="1" applyAlignment="1">
      <alignment horizontal="center" vertical="center" wrapText="1"/>
    </xf>
    <xf numFmtId="0" fontId="9" fillId="0" borderId="0" xfId="0" applyFont="1" applyAlignment="1">
      <alignment/>
    </xf>
    <xf numFmtId="0" fontId="0" fillId="0" borderId="0" xfId="0" applyAlignment="1">
      <alignment/>
    </xf>
    <xf numFmtId="0" fontId="3" fillId="50" borderId="1" xfId="0" applyFont="1" applyFill="1" applyBorder="1" applyAlignment="1">
      <alignment vertical="center" wrapText="1"/>
    </xf>
    <xf numFmtId="0" fontId="5" fillId="0" borderId="0" xfId="0" applyNumberFormat="1" applyFont="1" applyAlignment="1">
      <alignment vertical="center"/>
    </xf>
    <xf numFmtId="1" fontId="5" fillId="66" borderId="46" xfId="0" applyNumberFormat="1" applyFont="1" applyFill="1" applyBorder="1" applyAlignment="1">
      <alignment horizontal="center"/>
    </xf>
    <xf numFmtId="0" fontId="4" fillId="37" borderId="37" xfId="0" applyFont="1" applyFill="1" applyBorder="1" applyAlignment="1">
      <alignment horizontal="center" vertical="center" wrapText="1"/>
    </xf>
    <xf numFmtId="0" fontId="4" fillId="37" borderId="38" xfId="0" applyFont="1" applyFill="1" applyBorder="1" applyAlignment="1">
      <alignment horizontal="center" vertical="center" wrapText="1"/>
    </xf>
    <xf numFmtId="0" fontId="4" fillId="37" borderId="27" xfId="0" applyFont="1" applyFill="1" applyBorder="1" applyAlignment="1">
      <alignment/>
    </xf>
    <xf numFmtId="0" fontId="4" fillId="37" borderId="29" xfId="0" applyFont="1" applyFill="1" applyBorder="1" applyAlignment="1">
      <alignment/>
    </xf>
    <xf numFmtId="0" fontId="4" fillId="37" borderId="29" xfId="0" applyFont="1" applyFill="1" applyBorder="1" applyAlignment="1">
      <alignment horizontal="left" vertical="center"/>
    </xf>
    <xf numFmtId="0" fontId="3" fillId="50" borderId="29" xfId="0" applyFont="1" applyFill="1" applyBorder="1" applyAlignment="1">
      <alignment/>
    </xf>
    <xf numFmtId="0" fontId="3" fillId="50" borderId="72" xfId="0" applyFont="1" applyFill="1" applyBorder="1" applyAlignment="1">
      <alignment/>
    </xf>
    <xf numFmtId="0" fontId="3" fillId="50" borderId="71" xfId="0" applyFont="1" applyFill="1" applyBorder="1" applyAlignment="1">
      <alignment/>
    </xf>
    <xf numFmtId="3" fontId="3" fillId="50" borderId="73" xfId="0" applyNumberFormat="1" applyFont="1" applyFill="1" applyBorder="1" applyAlignment="1">
      <alignment horizontal="center"/>
    </xf>
    <xf numFmtId="3" fontId="3" fillId="50" borderId="71" xfId="0" applyNumberFormat="1" applyFont="1" applyFill="1" applyBorder="1" applyAlignment="1">
      <alignment horizontal="center"/>
    </xf>
    <xf numFmtId="2" fontId="3" fillId="68" borderId="29" xfId="0" applyNumberFormat="1" applyFont="1" applyFill="1" applyBorder="1" applyAlignment="1">
      <alignment horizontal="center" vertical="center"/>
    </xf>
    <xf numFmtId="2" fontId="3" fillId="68" borderId="0" xfId="0" applyNumberFormat="1" applyFont="1" applyFill="1" applyBorder="1" applyAlignment="1">
      <alignment horizontal="center" vertical="center"/>
    </xf>
    <xf numFmtId="0" fontId="5" fillId="66" borderId="0" xfId="0" applyFont="1" applyFill="1" applyBorder="1" applyAlignment="1">
      <alignment horizontal="center"/>
    </xf>
    <xf numFmtId="185" fontId="110" fillId="37" borderId="48" xfId="0" applyNumberFormat="1" applyFont="1" applyFill="1" applyBorder="1" applyAlignment="1">
      <alignment horizontal="center"/>
    </xf>
    <xf numFmtId="0" fontId="4" fillId="37" borderId="38" xfId="0" applyFont="1" applyFill="1" applyBorder="1" applyAlignment="1">
      <alignment horizontal="center" vertical="center"/>
    </xf>
    <xf numFmtId="0" fontId="4" fillId="37" borderId="74" xfId="0" applyFont="1" applyFill="1" applyBorder="1" applyAlignment="1">
      <alignment horizontal="center" vertical="center"/>
    </xf>
    <xf numFmtId="0" fontId="3" fillId="50" borderId="29" xfId="0" applyFont="1" applyFill="1" applyBorder="1" applyAlignment="1">
      <alignment vertical="center"/>
    </xf>
    <xf numFmtId="0" fontId="4" fillId="37" borderId="75" xfId="0" applyFont="1" applyFill="1" applyBorder="1" applyAlignment="1">
      <alignment horizontal="center" vertical="center"/>
    </xf>
    <xf numFmtId="0" fontId="4" fillId="37" borderId="76" xfId="0" applyFont="1" applyFill="1" applyBorder="1" applyAlignment="1">
      <alignment horizontal="center" vertical="center"/>
    </xf>
    <xf numFmtId="9" fontId="5" fillId="66" borderId="28" xfId="442" applyFont="1" applyFill="1" applyBorder="1" applyAlignment="1">
      <alignment horizontal="center" vertical="center"/>
    </xf>
    <xf numFmtId="3" fontId="5" fillId="50" borderId="28" xfId="442" applyNumberFormat="1" applyFont="1" applyFill="1" applyBorder="1" applyAlignment="1">
      <alignment horizontal="center" vertical="center"/>
    </xf>
    <xf numFmtId="2" fontId="5" fillId="66" borderId="0" xfId="0" applyNumberFormat="1" applyFont="1" applyFill="1" applyBorder="1" applyAlignment="1">
      <alignment horizontal="center"/>
    </xf>
    <xf numFmtId="2" fontId="5" fillId="66" borderId="29" xfId="0" applyNumberFormat="1" applyFont="1" applyFill="1" applyBorder="1" applyAlignment="1">
      <alignment horizontal="center" vertical="center"/>
    </xf>
    <xf numFmtId="2" fontId="5" fillId="66" borderId="0" xfId="0" applyNumberFormat="1" applyFont="1" applyFill="1" applyBorder="1" applyAlignment="1">
      <alignment horizontal="center" vertical="center"/>
    </xf>
    <xf numFmtId="0" fontId="5" fillId="66" borderId="29" xfId="0" applyFont="1" applyFill="1" applyBorder="1" applyAlignment="1">
      <alignment/>
    </xf>
    <xf numFmtId="2" fontId="3" fillId="67" borderId="29" xfId="0" applyNumberFormat="1" applyFont="1" applyFill="1" applyBorder="1" applyAlignment="1">
      <alignment horizontal="center" vertical="center"/>
    </xf>
    <xf numFmtId="2" fontId="3" fillId="67" borderId="0" xfId="0" applyNumberFormat="1" applyFont="1" applyFill="1" applyBorder="1" applyAlignment="1">
      <alignment horizontal="center" vertical="center"/>
    </xf>
    <xf numFmtId="2" fontId="3" fillId="67" borderId="0" xfId="0" applyNumberFormat="1" applyFont="1" applyFill="1" applyBorder="1" applyAlignment="1">
      <alignment horizontal="center"/>
    </xf>
    <xf numFmtId="0" fontId="5" fillId="67" borderId="29" xfId="0" applyFont="1" applyFill="1" applyBorder="1" applyAlignment="1">
      <alignment/>
    </xf>
    <xf numFmtId="2" fontId="5" fillId="67" borderId="0" xfId="0" applyNumberFormat="1" applyFont="1" applyFill="1" applyBorder="1" applyAlignment="1">
      <alignment horizontal="center" vertical="center"/>
    </xf>
    <xf numFmtId="9" fontId="5" fillId="67" borderId="0" xfId="442" applyFont="1" applyFill="1" applyBorder="1" applyAlignment="1">
      <alignment horizontal="center" vertical="center"/>
    </xf>
    <xf numFmtId="2" fontId="3" fillId="67" borderId="71" xfId="0" applyNumberFormat="1" applyFont="1" applyFill="1" applyBorder="1" applyAlignment="1">
      <alignment horizontal="center" vertical="center"/>
    </xf>
    <xf numFmtId="2" fontId="3" fillId="67" borderId="73" xfId="0" applyNumberFormat="1" applyFont="1" applyFill="1" applyBorder="1" applyAlignment="1">
      <alignment horizontal="center" vertical="center"/>
    </xf>
    <xf numFmtId="9" fontId="5" fillId="67" borderId="73" xfId="442" applyFont="1" applyFill="1" applyBorder="1" applyAlignment="1">
      <alignment horizontal="center" vertical="center"/>
    </xf>
    <xf numFmtId="2" fontId="5" fillId="67" borderId="29" xfId="0" applyNumberFormat="1" applyFont="1" applyFill="1" applyBorder="1" applyAlignment="1">
      <alignment horizontal="center" vertical="center"/>
    </xf>
    <xf numFmtId="9" fontId="5" fillId="67" borderId="0" xfId="442" applyFont="1" applyFill="1" applyBorder="1" applyAlignment="1">
      <alignment horizontal="center"/>
    </xf>
    <xf numFmtId="9" fontId="5" fillId="67" borderId="0" xfId="442" applyNumberFormat="1" applyFont="1" applyFill="1" applyBorder="1" applyAlignment="1">
      <alignment horizontal="center"/>
    </xf>
    <xf numFmtId="0" fontId="5" fillId="67" borderId="0" xfId="0" applyFont="1" applyFill="1" applyBorder="1" applyAlignment="1">
      <alignment/>
    </xf>
    <xf numFmtId="3" fontId="5" fillId="67" borderId="29" xfId="0" applyNumberFormat="1" applyFont="1" applyFill="1" applyBorder="1" applyAlignment="1">
      <alignment horizontal="center" vertical="center"/>
    </xf>
    <xf numFmtId="3" fontId="5" fillId="67" borderId="0" xfId="0" applyNumberFormat="1" applyFont="1" applyFill="1" applyBorder="1" applyAlignment="1">
      <alignment horizontal="center" vertical="center"/>
    </xf>
    <xf numFmtId="3" fontId="5" fillId="67" borderId="70" xfId="0" applyNumberFormat="1" applyFont="1" applyFill="1" applyBorder="1" applyAlignment="1">
      <alignment horizontal="center" vertical="center"/>
    </xf>
    <xf numFmtId="4" fontId="5" fillId="67" borderId="29" xfId="0" applyNumberFormat="1" applyFont="1" applyFill="1" applyBorder="1" applyAlignment="1">
      <alignment horizontal="center" vertical="center"/>
    </xf>
    <xf numFmtId="0" fontId="4" fillId="37" borderId="69" xfId="0" applyFont="1" applyFill="1" applyBorder="1" applyAlignment="1">
      <alignment horizontal="center" vertical="center"/>
    </xf>
    <xf numFmtId="0" fontId="4" fillId="37" borderId="70" xfId="0" applyFont="1" applyFill="1" applyBorder="1" applyAlignment="1">
      <alignment horizontal="center" vertical="center"/>
    </xf>
    <xf numFmtId="0" fontId="4" fillId="37" borderId="77" xfId="0" applyFont="1" applyFill="1" applyBorder="1" applyAlignment="1">
      <alignment horizontal="center" vertical="center"/>
    </xf>
    <xf numFmtId="3" fontId="3" fillId="50" borderId="46" xfId="0" applyNumberFormat="1" applyFont="1" applyFill="1" applyBorder="1" applyAlignment="1">
      <alignment horizontal="center"/>
    </xf>
    <xf numFmtId="0" fontId="3" fillId="50" borderId="78" xfId="0" applyFont="1" applyFill="1" applyBorder="1" applyAlignment="1">
      <alignment/>
    </xf>
    <xf numFmtId="4" fontId="3" fillId="50" borderId="55" xfId="0" applyNumberFormat="1" applyFont="1" applyFill="1" applyBorder="1" applyAlignment="1">
      <alignment horizontal="center"/>
    </xf>
    <xf numFmtId="0" fontId="3" fillId="50" borderId="47" xfId="0" applyFont="1" applyFill="1" applyBorder="1" applyAlignment="1">
      <alignment/>
    </xf>
    <xf numFmtId="4" fontId="3" fillId="50" borderId="47" xfId="0" applyNumberFormat="1" applyFont="1" applyFill="1" applyBorder="1" applyAlignment="1">
      <alignment horizontal="center"/>
    </xf>
    <xf numFmtId="4" fontId="3" fillId="50" borderId="48" xfId="0" applyNumberFormat="1" applyFont="1" applyFill="1" applyBorder="1" applyAlignment="1">
      <alignment horizontal="center"/>
    </xf>
    <xf numFmtId="172" fontId="3" fillId="50" borderId="47" xfId="0" applyNumberFormat="1" applyFont="1" applyFill="1" applyBorder="1" applyAlignment="1">
      <alignment horizontal="center"/>
    </xf>
    <xf numFmtId="4" fontId="3" fillId="50" borderId="1" xfId="0" applyNumberFormat="1" applyFont="1" applyFill="1" applyBorder="1" applyAlignment="1">
      <alignment horizontal="center"/>
    </xf>
    <xf numFmtId="0" fontId="4" fillId="37" borderId="1" xfId="0" applyFont="1" applyFill="1" applyBorder="1" applyAlignment="1">
      <alignment horizontal="center" vertical="top"/>
    </xf>
    <xf numFmtId="0" fontId="5" fillId="50" borderId="27" xfId="383" applyFont="1" applyFill="1" applyBorder="1">
      <alignment/>
      <protection/>
    </xf>
    <xf numFmtId="0" fontId="5" fillId="50" borderId="55" xfId="383" applyFont="1" applyFill="1" applyBorder="1">
      <alignment/>
      <protection/>
    </xf>
    <xf numFmtId="166" fontId="5" fillId="50" borderId="27" xfId="406" applyNumberFormat="1" applyFont="1" applyFill="1" applyBorder="1">
      <alignment/>
      <protection/>
    </xf>
    <xf numFmtId="0" fontId="5" fillId="50" borderId="29" xfId="217" applyNumberFormat="1" applyFont="1" applyFill="1" applyBorder="1" applyAlignment="1">
      <alignment/>
    </xf>
    <xf numFmtId="0" fontId="5" fillId="50" borderId="71" xfId="383" applyFont="1" applyFill="1" applyBorder="1">
      <alignment/>
      <protection/>
    </xf>
    <xf numFmtId="0" fontId="5" fillId="50" borderId="2" xfId="383" applyFont="1" applyFill="1" applyBorder="1">
      <alignment/>
      <protection/>
    </xf>
    <xf numFmtId="166" fontId="5" fillId="50" borderId="71" xfId="406" applyNumberFormat="1" applyFont="1" applyFill="1" applyBorder="1">
      <alignment/>
      <protection/>
    </xf>
    <xf numFmtId="0" fontId="5" fillId="67" borderId="1" xfId="0" applyFont="1" applyFill="1" applyBorder="1" applyAlignment="1">
      <alignment horizontal="left"/>
    </xf>
    <xf numFmtId="0" fontId="5" fillId="67" borderId="1" xfId="0" applyFont="1" applyFill="1" applyBorder="1" applyAlignment="1">
      <alignment horizontal="center"/>
    </xf>
    <xf numFmtId="3" fontId="5" fillId="66" borderId="46" xfId="0" applyNumberFormat="1" applyFont="1" applyFill="1" applyBorder="1" applyAlignment="1">
      <alignment horizontal="center"/>
    </xf>
    <xf numFmtId="1" fontId="5" fillId="66" borderId="71" xfId="0" applyNumberFormat="1" applyFont="1" applyFill="1" applyBorder="1" applyAlignment="1">
      <alignment horizontal="center"/>
    </xf>
    <xf numFmtId="0" fontId="5" fillId="0" borderId="0" xfId="368" applyFont="1">
      <alignment/>
      <protection/>
    </xf>
    <xf numFmtId="0" fontId="111" fillId="0" borderId="0" xfId="368" applyFont="1">
      <alignment/>
      <protection/>
    </xf>
    <xf numFmtId="2" fontId="5" fillId="67" borderId="29" xfId="0" applyNumberFormat="1" applyFont="1" applyFill="1" applyBorder="1" applyAlignment="1">
      <alignment horizontal="center"/>
    </xf>
    <xf numFmtId="2" fontId="5" fillId="66" borderId="29" xfId="0" applyNumberFormat="1" applyFont="1" applyFill="1" applyBorder="1" applyAlignment="1">
      <alignment horizontal="center"/>
    </xf>
    <xf numFmtId="2" fontId="3" fillId="67" borderId="29" xfId="0" applyNumberFormat="1" applyFont="1" applyFill="1" applyBorder="1" applyAlignment="1">
      <alignment horizontal="center"/>
    </xf>
    <xf numFmtId="9" fontId="5" fillId="67" borderId="29" xfId="442" applyFont="1" applyFill="1" applyBorder="1" applyAlignment="1">
      <alignment horizontal="center" vertical="center"/>
    </xf>
    <xf numFmtId="9" fontId="5" fillId="67" borderId="71" xfId="442" applyFont="1" applyFill="1" applyBorder="1" applyAlignment="1">
      <alignment horizontal="center" vertical="center"/>
    </xf>
    <xf numFmtId="185" fontId="110" fillId="37" borderId="47" xfId="0" applyNumberFormat="1" applyFont="1" applyFill="1" applyBorder="1" applyAlignment="1">
      <alignment horizontal="center"/>
    </xf>
    <xf numFmtId="9" fontId="5" fillId="67" borderId="29" xfId="442" applyNumberFormat="1" applyFont="1" applyFill="1" applyBorder="1" applyAlignment="1">
      <alignment horizontal="center"/>
    </xf>
    <xf numFmtId="9" fontId="5" fillId="66" borderId="27" xfId="442" applyFont="1" applyFill="1" applyBorder="1" applyAlignment="1">
      <alignment horizontal="center" vertical="center"/>
    </xf>
    <xf numFmtId="3" fontId="5" fillId="50" borderId="27" xfId="442" applyNumberFormat="1" applyFont="1" applyFill="1" applyBorder="1" applyAlignment="1">
      <alignment horizontal="center" vertical="center"/>
    </xf>
    <xf numFmtId="3" fontId="3" fillId="67" borderId="71" xfId="0" applyNumberFormat="1" applyFont="1" applyFill="1" applyBorder="1" applyAlignment="1">
      <alignment horizontal="center" vertical="center"/>
    </xf>
    <xf numFmtId="3" fontId="3" fillId="67" borderId="73" xfId="0" applyNumberFormat="1" applyFont="1" applyFill="1" applyBorder="1" applyAlignment="1">
      <alignment horizontal="center" vertical="center"/>
    </xf>
    <xf numFmtId="3" fontId="3" fillId="67" borderId="0" xfId="0" applyNumberFormat="1" applyFont="1" applyFill="1" applyBorder="1" applyAlignment="1">
      <alignment horizontal="center" vertical="center"/>
    </xf>
    <xf numFmtId="3" fontId="3" fillId="67" borderId="71" xfId="442" applyNumberFormat="1" applyFont="1" applyFill="1" applyBorder="1" applyAlignment="1">
      <alignment horizontal="center" vertical="center"/>
    </xf>
    <xf numFmtId="3" fontId="3" fillId="67" borderId="73" xfId="442" applyNumberFormat="1" applyFont="1" applyFill="1" applyBorder="1" applyAlignment="1">
      <alignment horizontal="center" vertical="center"/>
    </xf>
    <xf numFmtId="3" fontId="5" fillId="66" borderId="0" xfId="0" applyNumberFormat="1" applyFont="1" applyFill="1" applyBorder="1" applyAlignment="1">
      <alignment horizontal="center" vertical="center"/>
    </xf>
    <xf numFmtId="3" fontId="5" fillId="66" borderId="29" xfId="0" applyNumberFormat="1" applyFont="1" applyFill="1" applyBorder="1" applyAlignment="1">
      <alignment horizontal="center" vertical="center"/>
    </xf>
    <xf numFmtId="3" fontId="3" fillId="66" borderId="71" xfId="0" applyNumberFormat="1" applyFont="1" applyFill="1" applyBorder="1" applyAlignment="1">
      <alignment horizontal="center" vertical="center"/>
    </xf>
    <xf numFmtId="3" fontId="3" fillId="66" borderId="29" xfId="0" applyNumberFormat="1" applyFont="1" applyFill="1" applyBorder="1" applyAlignment="1">
      <alignment horizontal="center" vertical="center"/>
    </xf>
    <xf numFmtId="0" fontId="5" fillId="67" borderId="0" xfId="0" applyFont="1" applyFill="1" applyAlignment="1">
      <alignment/>
    </xf>
    <xf numFmtId="0" fontId="82" fillId="67" borderId="0" xfId="0" applyFont="1" applyFill="1" applyAlignment="1">
      <alignment/>
    </xf>
    <xf numFmtId="0" fontId="82" fillId="67" borderId="0" xfId="0" applyFont="1" applyFill="1" applyAlignment="1">
      <alignment vertical="top"/>
    </xf>
    <xf numFmtId="0" fontId="5" fillId="67" borderId="0" xfId="0" applyFont="1" applyFill="1" applyAlignment="1">
      <alignment/>
    </xf>
    <xf numFmtId="196" fontId="5" fillId="67" borderId="0" xfId="0" applyNumberFormat="1" applyFont="1" applyFill="1" applyAlignment="1">
      <alignment horizontal="left"/>
    </xf>
    <xf numFmtId="0" fontId="83" fillId="67" borderId="0" xfId="0" applyFont="1" applyFill="1" applyAlignment="1">
      <alignment/>
    </xf>
    <xf numFmtId="0" fontId="83" fillId="67" borderId="0" xfId="0" applyFont="1" applyFill="1" applyAlignment="1">
      <alignment/>
    </xf>
    <xf numFmtId="196" fontId="83" fillId="67" borderId="0" xfId="0" applyNumberFormat="1" applyFont="1" applyFill="1" applyAlignment="1">
      <alignment horizontal="left"/>
    </xf>
    <xf numFmtId="0" fontId="5" fillId="67" borderId="0" xfId="368" applyFont="1" applyFill="1">
      <alignment/>
      <protection/>
    </xf>
    <xf numFmtId="0" fontId="111" fillId="67" borderId="0" xfId="368" applyFont="1" applyFill="1">
      <alignment/>
      <protection/>
    </xf>
    <xf numFmtId="0" fontId="3" fillId="67" borderId="0" xfId="0" applyFont="1" applyFill="1" applyBorder="1" applyAlignment="1">
      <alignment vertical="center"/>
    </xf>
    <xf numFmtId="2" fontId="3" fillId="67" borderId="0" xfId="0" applyNumberFormat="1" applyFont="1" applyFill="1" applyAlignment="1">
      <alignment horizontal="center" vertical="center"/>
    </xf>
    <xf numFmtId="9" fontId="3" fillId="67" borderId="0" xfId="442" applyFont="1" applyFill="1" applyBorder="1" applyAlignment="1">
      <alignment horizontal="center" vertical="center"/>
    </xf>
    <xf numFmtId="0" fontId="2" fillId="0" borderId="0" xfId="0" applyFont="1" applyFill="1" applyAlignment="1">
      <alignment horizontal="left" vertical="center"/>
    </xf>
    <xf numFmtId="0" fontId="5" fillId="0" borderId="0" xfId="0" applyFont="1" applyFill="1" applyAlignment="1">
      <alignment/>
    </xf>
    <xf numFmtId="0" fontId="5" fillId="0" borderId="0" xfId="0" applyFont="1" applyFill="1" applyAlignment="1">
      <alignment horizontal="center"/>
    </xf>
    <xf numFmtId="0" fontId="5" fillId="0" borderId="0" xfId="0" applyFont="1" applyAlignment="1">
      <alignment vertical="center"/>
    </xf>
    <xf numFmtId="0" fontId="5" fillId="0" borderId="0" xfId="0" applyFont="1" applyAlignment="1">
      <alignment horizontal="center" vertical="center"/>
    </xf>
    <xf numFmtId="0" fontId="5" fillId="67" borderId="1" xfId="0" applyFont="1" applyFill="1" applyBorder="1" applyAlignment="1">
      <alignment vertical="center"/>
    </xf>
    <xf numFmtId="0" fontId="5" fillId="67" borderId="1" xfId="0" applyFont="1" applyFill="1" applyBorder="1" applyAlignment="1">
      <alignment horizontal="center" vertical="center"/>
    </xf>
    <xf numFmtId="0" fontId="5" fillId="67" borderId="1" xfId="0" applyFont="1" applyFill="1" applyBorder="1" applyAlignment="1">
      <alignment horizontal="left" vertical="center"/>
    </xf>
    <xf numFmtId="0" fontId="5" fillId="0" borderId="1" xfId="0" applyFont="1" applyBorder="1" applyAlignment="1">
      <alignment/>
    </xf>
    <xf numFmtId="0" fontId="3" fillId="50" borderId="71" xfId="0" applyFont="1" applyFill="1" applyBorder="1" applyAlignment="1">
      <alignment vertical="center"/>
    </xf>
    <xf numFmtId="0" fontId="5" fillId="67" borderId="55" xfId="0" applyFont="1" applyFill="1" applyBorder="1" applyAlignment="1">
      <alignment horizontal="center" vertical="center"/>
    </xf>
    <xf numFmtId="0" fontId="5" fillId="67" borderId="1" xfId="0" applyFont="1" applyFill="1" applyBorder="1" applyAlignment="1">
      <alignment horizontal="left"/>
    </xf>
    <xf numFmtId="0" fontId="5" fillId="0" borderId="1" xfId="0" applyFont="1" applyBorder="1" applyAlignment="1">
      <alignment/>
    </xf>
    <xf numFmtId="0" fontId="3" fillId="50" borderId="1" xfId="0" applyFont="1" applyFill="1" applyBorder="1" applyAlignment="1">
      <alignment vertical="center"/>
    </xf>
    <xf numFmtId="0" fontId="3" fillId="50" borderId="69" xfId="0" applyFont="1" applyFill="1" applyBorder="1" applyAlignment="1">
      <alignment vertical="center"/>
    </xf>
    <xf numFmtId="0" fontId="5" fillId="67" borderId="55" xfId="0" applyFont="1" applyFill="1" applyBorder="1" applyAlignment="1">
      <alignment vertical="center"/>
    </xf>
    <xf numFmtId="0" fontId="5" fillId="51" borderId="1" xfId="0" applyFont="1" applyFill="1" applyBorder="1" applyAlignment="1">
      <alignment/>
    </xf>
    <xf numFmtId="0" fontId="5" fillId="51" borderId="55" xfId="0" applyFont="1" applyFill="1" applyBorder="1" applyAlignment="1">
      <alignment/>
    </xf>
    <xf numFmtId="0" fontId="5" fillId="67" borderId="0" xfId="0" applyFont="1" applyFill="1" applyBorder="1" applyAlignment="1">
      <alignment horizontal="center" vertical="center"/>
    </xf>
    <xf numFmtId="0" fontId="5" fillId="51" borderId="1" xfId="0" applyFont="1" applyFill="1" applyBorder="1" applyAlignment="1">
      <alignment horizontal="center"/>
    </xf>
    <xf numFmtId="0" fontId="3" fillId="50" borderId="47" xfId="0" applyFont="1" applyFill="1" applyBorder="1" applyAlignment="1">
      <alignment vertical="center"/>
    </xf>
    <xf numFmtId="0" fontId="4" fillId="37" borderId="55" xfId="0" applyFont="1" applyFill="1" applyBorder="1" applyAlignment="1">
      <alignment horizontal="center" vertical="top" wrapText="1"/>
    </xf>
    <xf numFmtId="0" fontId="4" fillId="37" borderId="55" xfId="0" applyFont="1" applyFill="1" applyBorder="1" applyAlignment="1">
      <alignment horizontal="center" vertical="top"/>
    </xf>
    <xf numFmtId="3" fontId="5" fillId="66" borderId="71" xfId="0" applyNumberFormat="1" applyFont="1" applyFill="1" applyBorder="1" applyAlignment="1">
      <alignment horizontal="right"/>
    </xf>
    <xf numFmtId="0" fontId="5" fillId="0" borderId="1" xfId="0" applyFont="1" applyFill="1" applyBorder="1" applyAlignment="1">
      <alignment vertical="center" wrapText="1"/>
    </xf>
    <xf numFmtId="165" fontId="5" fillId="67" borderId="47" xfId="217" applyNumberFormat="1" applyFont="1" applyFill="1" applyBorder="1" applyAlignment="1">
      <alignment horizontal="right"/>
    </xf>
    <xf numFmtId="0" fontId="5" fillId="0" borderId="0" xfId="0" applyFont="1" applyFill="1" applyBorder="1" applyAlignment="1">
      <alignment horizontal="left"/>
    </xf>
    <xf numFmtId="0" fontId="5" fillId="0" borderId="0" xfId="0" applyFont="1" applyFill="1" applyBorder="1" applyAlignment="1">
      <alignment horizontal="center"/>
    </xf>
    <xf numFmtId="1" fontId="5" fillId="0" borderId="0" xfId="0" applyNumberFormat="1" applyFont="1" applyFill="1" applyBorder="1" applyAlignment="1">
      <alignment horizontal="right"/>
    </xf>
    <xf numFmtId="165" fontId="5" fillId="0" borderId="0" xfId="217" applyNumberFormat="1" applyFont="1" applyFill="1" applyBorder="1" applyAlignment="1">
      <alignment horizontal="right"/>
    </xf>
    <xf numFmtId="165" fontId="5" fillId="0" borderId="0" xfId="0" applyNumberFormat="1" applyFont="1" applyAlignment="1">
      <alignment/>
    </xf>
    <xf numFmtId="0" fontId="83" fillId="67" borderId="0" xfId="0" applyFont="1" applyFill="1" applyAlignment="1">
      <alignment horizontal="left" wrapText="1"/>
    </xf>
    <xf numFmtId="0" fontId="4" fillId="37" borderId="55" xfId="0" applyFont="1" applyFill="1" applyBorder="1" applyAlignment="1">
      <alignment horizontal="center" vertical="top" wrapText="1"/>
    </xf>
    <xf numFmtId="191" fontId="5" fillId="67" borderId="47" xfId="0" applyNumberFormat="1" applyFont="1" applyFill="1" applyBorder="1" applyAlignment="1">
      <alignment horizontal="center"/>
    </xf>
    <xf numFmtId="191" fontId="5" fillId="67" borderId="1" xfId="0" applyNumberFormat="1" applyFont="1" applyFill="1" applyBorder="1" applyAlignment="1">
      <alignment horizontal="center"/>
    </xf>
    <xf numFmtId="189" fontId="5" fillId="67" borderId="79" xfId="0" applyNumberFormat="1" applyFont="1" applyFill="1" applyBorder="1" applyAlignment="1">
      <alignment horizontal="center" vertical="center"/>
    </xf>
    <xf numFmtId="1" fontId="5" fillId="67" borderId="1" xfId="0" applyNumberFormat="1" applyFont="1" applyFill="1" applyBorder="1" applyAlignment="1">
      <alignment horizontal="center" vertical="center"/>
    </xf>
    <xf numFmtId="0" fontId="5" fillId="67" borderId="1" xfId="0" applyFont="1" applyFill="1" applyBorder="1" applyAlignment="1">
      <alignment horizontal="left" vertical="center" wrapText="1"/>
    </xf>
    <xf numFmtId="0" fontId="5" fillId="50" borderId="27" xfId="0" applyFont="1" applyFill="1" applyBorder="1" applyAlignment="1">
      <alignment horizontal="center" vertical="center"/>
    </xf>
    <xf numFmtId="0" fontId="5" fillId="66" borderId="28" xfId="0" applyFont="1" applyFill="1" applyBorder="1" applyAlignment="1">
      <alignment horizontal="center"/>
    </xf>
    <xf numFmtId="0" fontId="3" fillId="67" borderId="0" xfId="0" applyFont="1" applyFill="1" applyAlignment="1">
      <alignment/>
    </xf>
    <xf numFmtId="0" fontId="5" fillId="50" borderId="28" xfId="0" applyFont="1" applyFill="1" applyBorder="1" applyAlignment="1">
      <alignment horizontal="center" vertical="center"/>
    </xf>
    <xf numFmtId="0" fontId="3" fillId="50" borderId="31" xfId="0" applyFont="1" applyFill="1" applyBorder="1" applyAlignment="1">
      <alignment/>
    </xf>
    <xf numFmtId="0" fontId="4" fillId="37" borderId="27" xfId="0" applyFont="1" applyFill="1" applyBorder="1" applyAlignment="1">
      <alignment horizontal="center" vertical="top" wrapText="1"/>
    </xf>
    <xf numFmtId="0" fontId="3" fillId="67" borderId="0" xfId="0" applyFont="1" applyFill="1" applyAlignment="1">
      <alignment horizontal="right"/>
    </xf>
    <xf numFmtId="0" fontId="5" fillId="66" borderId="27" xfId="0" applyFont="1" applyFill="1" applyBorder="1" applyAlignment="1">
      <alignment horizontal="center" vertical="center"/>
    </xf>
    <xf numFmtId="0" fontId="5" fillId="66" borderId="28" xfId="0" applyFont="1" applyFill="1" applyBorder="1" applyAlignment="1">
      <alignment horizontal="center" vertical="center"/>
    </xf>
    <xf numFmtId="2" fontId="5" fillId="66" borderId="28" xfId="0" applyNumberFormat="1" applyFont="1" applyFill="1" applyBorder="1" applyAlignment="1">
      <alignment horizontal="center" vertical="center"/>
    </xf>
    <xf numFmtId="3" fontId="5" fillId="66" borderId="2" xfId="0" applyNumberFormat="1" applyFont="1" applyFill="1" applyBorder="1" applyAlignment="1">
      <alignment horizontal="center"/>
    </xf>
    <xf numFmtId="166" fontId="5" fillId="50" borderId="46" xfId="406" applyNumberFormat="1" applyFont="1" applyFill="1" applyBorder="1">
      <alignment/>
      <protection/>
    </xf>
    <xf numFmtId="3" fontId="5" fillId="0" borderId="27" xfId="406" applyNumberFormat="1" applyFont="1" applyFill="1" applyBorder="1" applyAlignment="1">
      <alignment horizontal="center"/>
      <protection/>
    </xf>
    <xf numFmtId="3" fontId="5" fillId="0" borderId="71" xfId="406" applyNumberFormat="1" applyFont="1" applyFill="1" applyBorder="1" applyAlignment="1">
      <alignment horizontal="center"/>
      <protection/>
    </xf>
    <xf numFmtId="0" fontId="4" fillId="37" borderId="1" xfId="0" applyFont="1" applyFill="1" applyBorder="1" applyAlignment="1">
      <alignment horizontal="center" vertical="top" wrapText="1"/>
    </xf>
    <xf numFmtId="3" fontId="5" fillId="16" borderId="27" xfId="0" applyNumberFormat="1" applyFont="1" applyFill="1" applyBorder="1" applyAlignment="1">
      <alignment horizontal="right"/>
    </xf>
    <xf numFmtId="3" fontId="5" fillId="16" borderId="29" xfId="0" applyNumberFormat="1" applyFont="1" applyFill="1" applyBorder="1" applyAlignment="1">
      <alignment horizontal="right"/>
    </xf>
    <xf numFmtId="165" fontId="5" fillId="16" borderId="47" xfId="217" applyNumberFormat="1" applyFont="1" applyFill="1" applyBorder="1" applyAlignment="1">
      <alignment horizontal="right"/>
    </xf>
    <xf numFmtId="0" fontId="5" fillId="0" borderId="1" xfId="0" applyFont="1" applyBorder="1" applyAlignment="1">
      <alignment vertical="center" wrapText="1"/>
    </xf>
    <xf numFmtId="0" fontId="5" fillId="0" borderId="1" xfId="0" applyFont="1" applyBorder="1" applyAlignment="1">
      <alignment horizontal="center" vertical="center" wrapText="1"/>
    </xf>
    <xf numFmtId="165" fontId="5" fillId="67" borderId="1" xfId="217" applyNumberFormat="1" applyFont="1" applyFill="1" applyBorder="1" applyAlignment="1">
      <alignment horizontal="right"/>
    </xf>
    <xf numFmtId="166" fontId="5" fillId="67" borderId="0" xfId="406" applyNumberFormat="1" applyFont="1" applyFill="1">
      <alignment/>
      <protection/>
    </xf>
    <xf numFmtId="0" fontId="5" fillId="67" borderId="1" xfId="368" applyFont="1" applyFill="1" applyBorder="1" applyAlignment="1">
      <alignment vertical="center" wrapText="1"/>
      <protection/>
    </xf>
    <xf numFmtId="0" fontId="5" fillId="67" borderId="1" xfId="0" applyFont="1" applyFill="1" applyBorder="1" applyAlignment="1">
      <alignment horizontal="center" vertical="center" wrapText="1"/>
    </xf>
    <xf numFmtId="0" fontId="0" fillId="0" borderId="0" xfId="0" applyBorder="1" applyAlignment="1">
      <alignment/>
    </xf>
    <xf numFmtId="166" fontId="5" fillId="0" borderId="0" xfId="406" applyNumberFormat="1" applyFont="1" applyFill="1">
      <alignment/>
      <protection/>
    </xf>
    <xf numFmtId="166" fontId="5" fillId="0" borderId="0" xfId="406" applyNumberFormat="1" applyFont="1" applyFill="1" applyBorder="1">
      <alignment/>
      <protection/>
    </xf>
    <xf numFmtId="166" fontId="13" fillId="0" borderId="0" xfId="406" applyNumberFormat="1" applyFont="1" applyFill="1" applyBorder="1">
      <alignment/>
      <protection/>
    </xf>
    <xf numFmtId="166" fontId="5" fillId="0" borderId="0" xfId="406" applyNumberFormat="1" applyFont="1" applyFill="1" applyBorder="1" applyAlignment="1">
      <alignment horizontal="right"/>
      <protection/>
    </xf>
    <xf numFmtId="166" fontId="5" fillId="67" borderId="80" xfId="406" applyNumberFormat="1" applyFont="1" applyFill="1" applyBorder="1" applyAlignment="1">
      <alignment/>
      <protection/>
    </xf>
    <xf numFmtId="166" fontId="5" fillId="67" borderId="54" xfId="406" applyNumberFormat="1" applyFont="1" applyFill="1" applyBorder="1" applyAlignment="1">
      <alignment/>
      <protection/>
    </xf>
    <xf numFmtId="166" fontId="5" fillId="67" borderId="57" xfId="406" applyNumberFormat="1" applyFont="1" applyFill="1" applyBorder="1" applyAlignment="1">
      <alignment/>
      <protection/>
    </xf>
    <xf numFmtId="166" fontId="5" fillId="67" borderId="0" xfId="406" applyNumberFormat="1" applyFont="1" applyFill="1" applyBorder="1" applyAlignment="1">
      <alignment/>
      <protection/>
    </xf>
    <xf numFmtId="166" fontId="5" fillId="67" borderId="57" xfId="406" applyNumberFormat="1" applyFont="1" applyFill="1" applyBorder="1" applyAlignment="1">
      <alignment horizontal="left"/>
      <protection/>
    </xf>
    <xf numFmtId="166" fontId="5" fillId="67" borderId="0" xfId="406" applyNumberFormat="1" applyFont="1" applyFill="1" applyBorder="1" applyAlignment="1">
      <alignment horizontal="left"/>
      <protection/>
    </xf>
    <xf numFmtId="166" fontId="5" fillId="67" borderId="81" xfId="406" applyNumberFormat="1" applyFont="1" applyFill="1" applyBorder="1" applyAlignment="1">
      <alignment vertical="top" wrapText="1"/>
      <protection/>
    </xf>
    <xf numFmtId="166" fontId="5" fillId="67" borderId="73" xfId="406" applyNumberFormat="1" applyFont="1" applyFill="1" applyBorder="1" applyAlignment="1">
      <alignment vertical="top" wrapText="1"/>
      <protection/>
    </xf>
    <xf numFmtId="166" fontId="51" fillId="37" borderId="82" xfId="406" applyNumberFormat="1" applyFont="1" applyFill="1" applyBorder="1" applyAlignment="1">
      <alignment horizontal="center"/>
      <protection/>
    </xf>
    <xf numFmtId="3" fontId="5" fillId="0" borderId="0" xfId="0" applyNumberFormat="1" applyFont="1" applyAlignment="1">
      <alignment/>
    </xf>
    <xf numFmtId="3" fontId="5" fillId="0" borderId="83" xfId="0" applyNumberFormat="1" applyFont="1" applyBorder="1" applyAlignment="1">
      <alignment horizontal="center"/>
    </xf>
    <xf numFmtId="3" fontId="5" fillId="0" borderId="82" xfId="0" applyNumberFormat="1" applyFont="1" applyBorder="1" applyAlignment="1">
      <alignment horizontal="center"/>
    </xf>
    <xf numFmtId="3" fontId="5" fillId="0" borderId="84" xfId="0" applyNumberFormat="1" applyFont="1" applyBorder="1" applyAlignment="1">
      <alignment horizontal="center"/>
    </xf>
    <xf numFmtId="3" fontId="5" fillId="16" borderId="0" xfId="0" applyNumberFormat="1" applyFont="1" applyFill="1" applyBorder="1" applyAlignment="1">
      <alignment horizontal="center"/>
    </xf>
    <xf numFmtId="166" fontId="5" fillId="50" borderId="29" xfId="406" applyNumberFormat="1" applyFont="1" applyFill="1" applyBorder="1">
      <alignment/>
      <protection/>
    </xf>
    <xf numFmtId="0" fontId="5" fillId="50" borderId="29" xfId="383" applyFont="1" applyFill="1" applyBorder="1">
      <alignment/>
      <protection/>
    </xf>
    <xf numFmtId="0" fontId="5" fillId="50" borderId="46" xfId="383" applyFont="1" applyFill="1" applyBorder="1">
      <alignment/>
      <protection/>
    </xf>
    <xf numFmtId="166" fontId="4" fillId="37" borderId="66" xfId="406" applyNumberFormat="1" applyFont="1" applyFill="1" applyBorder="1" applyAlignment="1">
      <alignment horizontal="center"/>
      <protection/>
    </xf>
    <xf numFmtId="166" fontId="4" fillId="37" borderId="53" xfId="406" applyNumberFormat="1" applyFont="1" applyFill="1" applyBorder="1" applyAlignment="1">
      <alignment horizontal="center"/>
      <protection/>
    </xf>
    <xf numFmtId="166" fontId="4" fillId="37" borderId="85" xfId="406" applyNumberFormat="1" applyFont="1" applyFill="1" applyBorder="1" applyAlignment="1">
      <alignment horizontal="center"/>
      <protection/>
    </xf>
    <xf numFmtId="0" fontId="4" fillId="37" borderId="54" xfId="0" applyFont="1" applyFill="1" applyBorder="1" applyAlignment="1">
      <alignment horizontal="center" vertical="top" wrapText="1"/>
    </xf>
    <xf numFmtId="0" fontId="4" fillId="37" borderId="85" xfId="0" applyFont="1" applyFill="1" applyBorder="1" applyAlignment="1">
      <alignment vertical="top" wrapText="1"/>
    </xf>
    <xf numFmtId="166" fontId="4" fillId="37" borderId="2" xfId="406" applyNumberFormat="1" applyFont="1" applyFill="1" applyBorder="1" applyAlignment="1">
      <alignment horizontal="center"/>
      <protection/>
    </xf>
    <xf numFmtId="166" fontId="3" fillId="37" borderId="0" xfId="406" applyNumberFormat="1" applyFont="1" applyFill="1" applyBorder="1">
      <alignment/>
      <protection/>
    </xf>
    <xf numFmtId="166" fontId="3" fillId="37" borderId="46" xfId="406" applyNumberFormat="1" applyFont="1" applyFill="1" applyBorder="1">
      <alignment/>
      <protection/>
    </xf>
    <xf numFmtId="0" fontId="4" fillId="37" borderId="86" xfId="0" applyFont="1" applyFill="1" applyBorder="1" applyAlignment="1">
      <alignment horizontal="center" vertical="top" wrapText="1"/>
    </xf>
    <xf numFmtId="0" fontId="4" fillId="37" borderId="87" xfId="0" applyFont="1" applyFill="1" applyBorder="1" applyAlignment="1">
      <alignment vertical="top" wrapText="1"/>
    </xf>
    <xf numFmtId="3" fontId="5" fillId="67" borderId="70" xfId="0" applyNumberFormat="1" applyFont="1" applyFill="1" applyBorder="1" applyAlignment="1">
      <alignment horizontal="center"/>
    </xf>
    <xf numFmtId="3" fontId="5" fillId="67" borderId="29" xfId="0" applyNumberFormat="1" applyFont="1" applyFill="1" applyBorder="1" applyAlignment="1">
      <alignment horizontal="center"/>
    </xf>
    <xf numFmtId="166" fontId="4" fillId="37" borderId="67" xfId="406" applyNumberFormat="1" applyFont="1" applyFill="1" applyBorder="1" applyAlignment="1">
      <alignment horizontal="center"/>
      <protection/>
    </xf>
    <xf numFmtId="166" fontId="4" fillId="37" borderId="64" xfId="406" applyNumberFormat="1" applyFont="1" applyFill="1" applyBorder="1" applyAlignment="1">
      <alignment horizontal="center"/>
      <protection/>
    </xf>
    <xf numFmtId="0" fontId="2" fillId="0" borderId="0" xfId="0" applyFont="1" applyAlignment="1">
      <alignment horizontal="left" vertical="center"/>
    </xf>
    <xf numFmtId="3" fontId="5" fillId="0" borderId="0" xfId="0" applyNumberFormat="1" applyFont="1" applyFill="1" applyBorder="1" applyAlignment="1">
      <alignment horizontal="center"/>
    </xf>
    <xf numFmtId="3" fontId="5" fillId="67" borderId="83" xfId="0" applyNumberFormat="1" applyFont="1" applyFill="1" applyBorder="1" applyAlignment="1">
      <alignment horizontal="center"/>
    </xf>
    <xf numFmtId="3" fontId="5" fillId="67" borderId="82" xfId="0" applyNumberFormat="1" applyFont="1" applyFill="1" applyBorder="1" applyAlignment="1">
      <alignment horizontal="center"/>
    </xf>
    <xf numFmtId="3" fontId="5" fillId="0" borderId="82" xfId="0" applyNumberFormat="1" applyFont="1" applyFill="1" applyBorder="1" applyAlignment="1">
      <alignment horizontal="center"/>
    </xf>
    <xf numFmtId="3" fontId="5" fillId="67" borderId="84" xfId="0" applyNumberFormat="1" applyFont="1" applyFill="1" applyBorder="1" applyAlignment="1">
      <alignment horizontal="center"/>
    </xf>
    <xf numFmtId="3" fontId="5" fillId="67" borderId="46" xfId="0" applyNumberFormat="1" applyFont="1" applyFill="1" applyBorder="1" applyAlignment="1">
      <alignment horizontal="center"/>
    </xf>
    <xf numFmtId="3" fontId="5" fillId="16" borderId="46" xfId="0" applyNumberFormat="1" applyFont="1" applyFill="1" applyBorder="1" applyAlignment="1">
      <alignment horizontal="center" vertical="center"/>
    </xf>
    <xf numFmtId="3" fontId="5" fillId="16" borderId="70" xfId="0" applyNumberFormat="1" applyFont="1" applyFill="1" applyBorder="1" applyAlignment="1">
      <alignment horizontal="center"/>
    </xf>
    <xf numFmtId="3" fontId="5" fillId="67" borderId="46" xfId="406" applyNumberFormat="1" applyFont="1" applyFill="1" applyBorder="1" applyAlignment="1">
      <alignment horizontal="center"/>
      <protection/>
    </xf>
    <xf numFmtId="3" fontId="5" fillId="67" borderId="29" xfId="406" applyNumberFormat="1" applyFont="1" applyFill="1" applyBorder="1" applyAlignment="1">
      <alignment horizontal="center"/>
      <protection/>
    </xf>
    <xf numFmtId="3" fontId="5" fillId="16" borderId="46" xfId="0" applyNumberFormat="1" applyFont="1" applyFill="1" applyBorder="1" applyAlignment="1">
      <alignment horizontal="center"/>
    </xf>
    <xf numFmtId="166" fontId="4" fillId="37" borderId="16" xfId="406" applyNumberFormat="1" applyFont="1" applyFill="1" applyBorder="1" applyAlignment="1">
      <alignment horizontal="center"/>
      <protection/>
    </xf>
    <xf numFmtId="166" fontId="4" fillId="37" borderId="88" xfId="406" applyNumberFormat="1" applyFont="1" applyFill="1" applyBorder="1" applyAlignment="1">
      <alignment horizontal="center"/>
      <protection/>
    </xf>
    <xf numFmtId="166" fontId="4" fillId="37" borderId="47" xfId="406" applyNumberFormat="1" applyFont="1" applyFill="1" applyBorder="1" applyAlignment="1">
      <alignment/>
      <protection/>
    </xf>
    <xf numFmtId="0" fontId="4" fillId="37" borderId="60" xfId="0" applyFont="1" applyFill="1" applyBorder="1" applyAlignment="1">
      <alignment horizontal="center" vertical="top" wrapText="1"/>
    </xf>
    <xf numFmtId="0" fontId="5" fillId="50" borderId="85" xfId="383" applyFont="1" applyFill="1" applyBorder="1">
      <alignment/>
      <protection/>
    </xf>
    <xf numFmtId="3" fontId="5" fillId="67" borderId="44" xfId="0" applyNumberFormat="1" applyFont="1" applyFill="1" applyBorder="1" applyAlignment="1">
      <alignment horizontal="center"/>
    </xf>
    <xf numFmtId="3" fontId="5" fillId="16" borderId="70" xfId="406" applyNumberFormat="1" applyFont="1" applyFill="1" applyBorder="1" applyAlignment="1">
      <alignment horizontal="center"/>
      <protection/>
    </xf>
    <xf numFmtId="3" fontId="5" fillId="16" borderId="46" xfId="406" applyNumberFormat="1" applyFont="1" applyFill="1" applyBorder="1" applyAlignment="1">
      <alignment horizontal="center"/>
      <protection/>
    </xf>
    <xf numFmtId="166" fontId="4" fillId="37" borderId="51" xfId="406" applyNumberFormat="1" applyFont="1" applyFill="1" applyBorder="1" applyAlignment="1">
      <alignment horizontal="center"/>
      <protection/>
    </xf>
    <xf numFmtId="0" fontId="4" fillId="37" borderId="85" xfId="0" applyFont="1" applyFill="1" applyBorder="1" applyAlignment="1">
      <alignment horizontal="center" wrapText="1"/>
    </xf>
    <xf numFmtId="165" fontId="5" fillId="0" borderId="0" xfId="256" applyNumberFormat="1" applyFont="1" applyBorder="1" applyAlignment="1">
      <alignment horizontal="left"/>
    </xf>
    <xf numFmtId="165" fontId="5" fillId="0" borderId="0" xfId="256" applyNumberFormat="1" applyFont="1" applyBorder="1" applyAlignment="1">
      <alignment horizontal="left" vertical="center"/>
    </xf>
    <xf numFmtId="165" fontId="5" fillId="0" borderId="0" xfId="256" applyNumberFormat="1" applyFont="1" applyBorder="1" applyAlignment="1">
      <alignment horizontal="center" vertical="center"/>
    </xf>
    <xf numFmtId="3" fontId="5" fillId="0" borderId="0" xfId="0" applyNumberFormat="1" applyFont="1" applyBorder="1" applyAlignment="1">
      <alignment horizontal="center" vertical="center"/>
    </xf>
    <xf numFmtId="3" fontId="5" fillId="0" borderId="0" xfId="406" applyNumberFormat="1" applyFont="1" applyFill="1" applyBorder="1" applyAlignment="1">
      <alignment horizontal="center" vertical="center"/>
      <protection/>
    </xf>
    <xf numFmtId="0" fontId="5" fillId="0" borderId="0" xfId="0" applyFont="1" applyBorder="1" applyAlignment="1">
      <alignment horizontal="center" vertical="center"/>
    </xf>
    <xf numFmtId="0" fontId="5" fillId="0" borderId="0" xfId="0" applyFont="1" applyBorder="1" applyAlignment="1">
      <alignment horizontal="left" vertical="center"/>
    </xf>
    <xf numFmtId="3" fontId="5" fillId="0" borderId="84" xfId="0" applyNumberFormat="1" applyFont="1" applyBorder="1" applyAlignment="1">
      <alignment horizontal="center" vertical="center"/>
    </xf>
    <xf numFmtId="3" fontId="5" fillId="0" borderId="82" xfId="406" applyNumberFormat="1" applyFont="1" applyFill="1" applyBorder="1" applyAlignment="1">
      <alignment horizontal="center" vertical="center"/>
      <protection/>
    </xf>
    <xf numFmtId="3" fontId="5" fillId="16" borderId="0" xfId="0" applyNumberFormat="1" applyFont="1" applyFill="1" applyBorder="1" applyAlignment="1">
      <alignment horizontal="center" vertical="center"/>
    </xf>
    <xf numFmtId="3" fontId="5" fillId="16" borderId="29" xfId="406" applyNumberFormat="1" applyFont="1" applyFill="1" applyBorder="1" applyAlignment="1">
      <alignment horizontal="center" vertical="center"/>
      <protection/>
    </xf>
    <xf numFmtId="3" fontId="5" fillId="16" borderId="46" xfId="406" applyNumberFormat="1" applyFont="1" applyFill="1" applyBorder="1" applyAlignment="1">
      <alignment horizontal="center" vertical="center"/>
      <protection/>
    </xf>
    <xf numFmtId="3" fontId="80" fillId="16" borderId="0" xfId="416" applyNumberFormat="1" applyFont="1" applyFill="1" applyBorder="1" applyAlignment="1">
      <alignment horizontal="center" vertical="center" wrapText="1"/>
      <protection/>
    </xf>
    <xf numFmtId="166" fontId="4" fillId="37" borderId="1" xfId="406" applyNumberFormat="1" applyFont="1" applyFill="1" applyBorder="1" applyAlignment="1">
      <alignment horizontal="center" vertical="center"/>
      <protection/>
    </xf>
    <xf numFmtId="166" fontId="4" fillId="37" borderId="47" xfId="406" applyNumberFormat="1" applyFont="1" applyFill="1" applyBorder="1" applyAlignment="1">
      <alignment horizontal="center" vertical="center"/>
      <protection/>
    </xf>
    <xf numFmtId="0" fontId="4" fillId="37" borderId="1" xfId="0" applyFont="1" applyFill="1" applyBorder="1" applyAlignment="1">
      <alignment horizontal="center" vertical="center" wrapText="1"/>
    </xf>
    <xf numFmtId="0" fontId="4" fillId="37" borderId="47" xfId="0" applyFont="1" applyFill="1" applyBorder="1" applyAlignment="1">
      <alignment horizontal="center" vertical="center" wrapText="1"/>
    </xf>
    <xf numFmtId="166" fontId="4" fillId="37" borderId="1" xfId="406" applyNumberFormat="1" applyFont="1" applyFill="1" applyBorder="1" applyAlignment="1">
      <alignment horizontal="center"/>
      <protection/>
    </xf>
    <xf numFmtId="166" fontId="4" fillId="37" borderId="55" xfId="406" applyNumberFormat="1" applyFont="1" applyFill="1" applyBorder="1" applyAlignment="1">
      <alignment horizontal="center"/>
      <protection/>
    </xf>
    <xf numFmtId="1" fontId="5" fillId="0" borderId="0" xfId="406" applyNumberFormat="1" applyFont="1" applyFill="1" applyBorder="1" applyAlignment="1">
      <alignment horizontal="center"/>
      <protection/>
    </xf>
    <xf numFmtId="2" fontId="5" fillId="0" borderId="0" xfId="406" applyNumberFormat="1" applyFont="1" applyFill="1" applyBorder="1" applyAlignment="1">
      <alignment horizontal="center"/>
      <protection/>
    </xf>
    <xf numFmtId="166" fontId="5" fillId="0" borderId="0" xfId="406" applyNumberFormat="1" applyFont="1" applyFill="1" applyBorder="1" applyAlignment="1">
      <alignment horizontal="center"/>
      <protection/>
    </xf>
    <xf numFmtId="3" fontId="5" fillId="67" borderId="44" xfId="406" applyNumberFormat="1" applyFont="1" applyFill="1" applyBorder="1" applyAlignment="1">
      <alignment horizontal="center"/>
      <protection/>
    </xf>
    <xf numFmtId="3" fontId="5" fillId="67" borderId="57" xfId="406" applyNumberFormat="1" applyFont="1" applyFill="1" applyBorder="1" applyAlignment="1">
      <alignment horizontal="center"/>
      <protection/>
    </xf>
    <xf numFmtId="166" fontId="3" fillId="0" borderId="0" xfId="406" applyNumberFormat="1" applyFont="1" applyFill="1">
      <alignment/>
      <protection/>
    </xf>
    <xf numFmtId="166" fontId="3" fillId="0" borderId="0" xfId="406" applyNumberFormat="1" applyFont="1" applyFill="1" applyBorder="1">
      <alignment/>
      <protection/>
    </xf>
    <xf numFmtId="166" fontId="84" fillId="0" borderId="0" xfId="406" applyNumberFormat="1" applyFont="1" applyFill="1" applyBorder="1">
      <alignment/>
      <protection/>
    </xf>
    <xf numFmtId="166" fontId="4" fillId="0" borderId="0" xfId="406" applyNumberFormat="1" applyFont="1" applyFill="1" applyBorder="1" applyAlignment="1">
      <alignment horizontal="center"/>
      <protection/>
    </xf>
    <xf numFmtId="0" fontId="4" fillId="0" borderId="0" xfId="0" applyFont="1" applyFill="1" applyBorder="1" applyAlignment="1">
      <alignment horizontal="center" wrapText="1"/>
    </xf>
    <xf numFmtId="166" fontId="4" fillId="37" borderId="89" xfId="406" applyNumberFormat="1" applyFont="1" applyFill="1" applyBorder="1" applyAlignment="1">
      <alignment horizontal="center"/>
      <protection/>
    </xf>
    <xf numFmtId="166" fontId="5" fillId="50" borderId="0" xfId="406" applyNumberFormat="1" applyFont="1" applyFill="1" applyBorder="1">
      <alignment/>
      <protection/>
    </xf>
    <xf numFmtId="166" fontId="5" fillId="50" borderId="54" xfId="406" applyNumberFormat="1" applyFont="1" applyFill="1" applyBorder="1">
      <alignment/>
      <protection/>
    </xf>
    <xf numFmtId="0" fontId="5" fillId="0" borderId="0" xfId="0" applyFont="1" applyBorder="1" applyAlignment="1">
      <alignment/>
    </xf>
    <xf numFmtId="0" fontId="5" fillId="0" borderId="0" xfId="0" applyFont="1" applyBorder="1" applyAlignment="1">
      <alignment vertical="center"/>
    </xf>
    <xf numFmtId="166" fontId="4" fillId="37" borderId="71" xfId="406" applyNumberFormat="1" applyFont="1" applyFill="1" applyBorder="1" applyAlignment="1">
      <alignment horizontal="center"/>
      <protection/>
    </xf>
    <xf numFmtId="3" fontId="5" fillId="0" borderId="90" xfId="0" applyNumberFormat="1" applyFont="1" applyBorder="1" applyAlignment="1">
      <alignment horizontal="center" vertical="center"/>
    </xf>
    <xf numFmtId="3" fontId="5" fillId="0" borderId="83" xfId="0" applyNumberFormat="1" applyFont="1" applyBorder="1" applyAlignment="1">
      <alignment horizontal="center" vertical="center"/>
    </xf>
    <xf numFmtId="9" fontId="5" fillId="67" borderId="0" xfId="442" applyFont="1" applyFill="1" applyAlignment="1">
      <alignment/>
    </xf>
    <xf numFmtId="9" fontId="5" fillId="0" borderId="0" xfId="442" applyFont="1" applyAlignment="1">
      <alignment/>
    </xf>
    <xf numFmtId="1" fontId="5" fillId="67" borderId="0" xfId="0" applyNumberFormat="1" applyFont="1" applyFill="1" applyBorder="1" applyAlignment="1">
      <alignment horizontal="center"/>
    </xf>
    <xf numFmtId="3" fontId="5" fillId="67" borderId="57" xfId="0" applyNumberFormat="1" applyFont="1" applyFill="1" applyBorder="1" applyAlignment="1">
      <alignment horizontal="center"/>
    </xf>
    <xf numFmtId="0" fontId="5" fillId="0" borderId="91" xfId="0" applyFont="1" applyBorder="1" applyAlignment="1">
      <alignment/>
    </xf>
    <xf numFmtId="3" fontId="5" fillId="0" borderId="92" xfId="0" applyNumberFormat="1" applyFont="1" applyBorder="1" applyAlignment="1">
      <alignment horizontal="center"/>
    </xf>
    <xf numFmtId="166" fontId="4" fillId="37" borderId="63" xfId="406" applyNumberFormat="1" applyFont="1" applyFill="1" applyBorder="1" applyAlignment="1">
      <alignment horizontal="center"/>
      <protection/>
    </xf>
    <xf numFmtId="0" fontId="4" fillId="37" borderId="93" xfId="0" applyFont="1" applyFill="1" applyBorder="1" applyAlignment="1">
      <alignment vertical="top" wrapText="1"/>
    </xf>
    <xf numFmtId="0" fontId="5" fillId="50" borderId="36" xfId="383" applyFont="1" applyFill="1" applyBorder="1">
      <alignment/>
      <protection/>
    </xf>
    <xf numFmtId="166" fontId="4" fillId="37" borderId="83" xfId="406" applyNumberFormat="1" applyFont="1" applyFill="1" applyBorder="1" applyAlignment="1">
      <alignment horizontal="center"/>
      <protection/>
    </xf>
    <xf numFmtId="0" fontId="4" fillId="37" borderId="94" xfId="0" applyFont="1" applyFill="1" applyBorder="1" applyAlignment="1">
      <alignment vertical="top" wrapText="1"/>
    </xf>
    <xf numFmtId="166" fontId="3" fillId="37" borderId="95" xfId="406" applyNumberFormat="1" applyFont="1" applyFill="1" applyBorder="1">
      <alignment/>
      <protection/>
    </xf>
    <xf numFmtId="0" fontId="5" fillId="0" borderId="90" xfId="0" applyFont="1" applyBorder="1" applyAlignment="1">
      <alignment/>
    </xf>
    <xf numFmtId="2" fontId="49" fillId="0" borderId="21" xfId="417" applyNumberFormat="1" applyFont="1" applyFill="1" applyBorder="1" applyAlignment="1">
      <alignment horizontal="right" wrapText="1"/>
      <protection/>
    </xf>
    <xf numFmtId="166" fontId="4" fillId="37" borderId="48" xfId="406" applyNumberFormat="1" applyFont="1" applyFill="1" applyBorder="1" applyAlignment="1">
      <alignment horizontal="center" vertical="center"/>
      <protection/>
    </xf>
    <xf numFmtId="3" fontId="5" fillId="16" borderId="85" xfId="406" applyNumberFormat="1" applyFont="1" applyFill="1" applyBorder="1" applyAlignment="1">
      <alignment horizontal="center" vertical="center"/>
      <protection/>
    </xf>
    <xf numFmtId="3" fontId="5" fillId="16" borderId="85" xfId="0" applyNumberFormat="1" applyFont="1" applyFill="1" applyBorder="1" applyAlignment="1">
      <alignment horizontal="center" vertical="center"/>
    </xf>
    <xf numFmtId="0" fontId="102" fillId="0" borderId="0" xfId="0" applyFont="1" applyAlignment="1">
      <alignment/>
    </xf>
    <xf numFmtId="3" fontId="5" fillId="16" borderId="55" xfId="0" applyNumberFormat="1" applyFont="1" applyFill="1" applyBorder="1" applyAlignment="1">
      <alignment horizontal="center" vertical="center"/>
    </xf>
    <xf numFmtId="3" fontId="80" fillId="16" borderId="46" xfId="416" applyNumberFormat="1" applyFont="1" applyFill="1" applyBorder="1" applyAlignment="1">
      <alignment horizontal="center" vertical="center" wrapText="1"/>
      <protection/>
    </xf>
    <xf numFmtId="3" fontId="5" fillId="67" borderId="46" xfId="0" applyNumberFormat="1" applyFont="1" applyFill="1" applyBorder="1" applyAlignment="1">
      <alignment/>
    </xf>
    <xf numFmtId="0" fontId="5" fillId="0" borderId="91" xfId="0" applyFont="1" applyBorder="1" applyAlignment="1">
      <alignment horizontal="left" vertical="center"/>
    </xf>
    <xf numFmtId="0" fontId="5" fillId="0" borderId="0" xfId="0" applyFont="1" applyAlignment="1">
      <alignment wrapText="1"/>
    </xf>
    <xf numFmtId="166" fontId="4" fillId="37" borderId="67" xfId="406" applyNumberFormat="1" applyFont="1" applyFill="1" applyBorder="1" applyAlignment="1">
      <alignment horizontal="center" vertical="center"/>
      <protection/>
    </xf>
    <xf numFmtId="3" fontId="5" fillId="16" borderId="87" xfId="0" applyNumberFormat="1" applyFont="1" applyFill="1" applyBorder="1" applyAlignment="1">
      <alignment horizontal="center"/>
    </xf>
    <xf numFmtId="165" fontId="5" fillId="0" borderId="0" xfId="217" applyNumberFormat="1" applyFont="1" applyAlignment="1">
      <alignment/>
    </xf>
    <xf numFmtId="43" fontId="5" fillId="0" borderId="0" xfId="0" applyNumberFormat="1" applyFont="1" applyAlignment="1">
      <alignment/>
    </xf>
    <xf numFmtId="3" fontId="5" fillId="66" borderId="29" xfId="406" applyNumberFormat="1" applyFont="1" applyFill="1" applyBorder="1" applyAlignment="1">
      <alignment horizontal="center"/>
      <protection/>
    </xf>
    <xf numFmtId="3" fontId="5" fillId="66" borderId="70" xfId="0" applyNumberFormat="1" applyFont="1" applyFill="1" applyBorder="1" applyAlignment="1">
      <alignment horizontal="center"/>
    </xf>
    <xf numFmtId="3" fontId="5" fillId="66" borderId="46" xfId="406" applyNumberFormat="1" applyFont="1" applyFill="1" applyBorder="1" applyAlignment="1">
      <alignment horizontal="center"/>
      <protection/>
    </xf>
    <xf numFmtId="3" fontId="5" fillId="66" borderId="0" xfId="406" applyNumberFormat="1" applyFont="1" applyFill="1" applyBorder="1" applyAlignment="1">
      <alignment horizontal="center"/>
      <protection/>
    </xf>
    <xf numFmtId="3" fontId="5" fillId="66" borderId="46" xfId="0" applyNumberFormat="1" applyFont="1" applyFill="1" applyBorder="1" applyAlignment="1">
      <alignment horizontal="center"/>
    </xf>
    <xf numFmtId="3" fontId="5" fillId="66" borderId="29" xfId="0" applyNumberFormat="1" applyFont="1" applyFill="1" applyBorder="1" applyAlignment="1">
      <alignment horizontal="center"/>
    </xf>
    <xf numFmtId="3" fontId="5" fillId="66" borderId="0" xfId="0" applyNumberFormat="1" applyFont="1" applyFill="1" applyBorder="1" applyAlignment="1">
      <alignment horizontal="center"/>
    </xf>
    <xf numFmtId="1" fontId="5" fillId="66" borderId="53" xfId="406" applyNumberFormat="1" applyFont="1" applyFill="1" applyBorder="1" applyAlignment="1">
      <alignment horizontal="center"/>
      <protection/>
    </xf>
    <xf numFmtId="3" fontId="5" fillId="66" borderId="44" xfId="406" applyNumberFormat="1" applyFont="1" applyFill="1" applyBorder="1" applyAlignment="1">
      <alignment horizontal="center"/>
      <protection/>
    </xf>
    <xf numFmtId="3" fontId="5" fillId="67" borderId="70" xfId="406" applyNumberFormat="1" applyFont="1" applyFill="1" applyBorder="1" applyAlignment="1">
      <alignment horizontal="center"/>
      <protection/>
    </xf>
    <xf numFmtId="3" fontId="5" fillId="0" borderId="82" xfId="406" applyNumberFormat="1" applyFont="1" applyFill="1" applyBorder="1" applyAlignment="1">
      <alignment horizontal="center"/>
      <protection/>
    </xf>
    <xf numFmtId="3" fontId="5" fillId="0" borderId="83" xfId="406" applyNumberFormat="1" applyFont="1" applyFill="1" applyBorder="1" applyAlignment="1">
      <alignment horizontal="center"/>
      <protection/>
    </xf>
    <xf numFmtId="0" fontId="5" fillId="50" borderId="96" xfId="383" applyFont="1" applyFill="1" applyBorder="1">
      <alignment/>
      <protection/>
    </xf>
    <xf numFmtId="3" fontId="5" fillId="67" borderId="0" xfId="0" applyNumberFormat="1" applyFont="1" applyFill="1" applyAlignment="1">
      <alignment/>
    </xf>
    <xf numFmtId="9" fontId="5" fillId="67" borderId="0" xfId="442" applyNumberFormat="1" applyFont="1" applyFill="1" applyAlignment="1">
      <alignment/>
    </xf>
    <xf numFmtId="3" fontId="5" fillId="16" borderId="85" xfId="0" applyNumberFormat="1" applyFont="1" applyFill="1" applyBorder="1" applyAlignment="1">
      <alignment horizontal="center"/>
    </xf>
    <xf numFmtId="3" fontId="5" fillId="0" borderId="84" xfId="0" applyNumberFormat="1" applyFont="1" applyBorder="1" applyAlignment="1">
      <alignment/>
    </xf>
    <xf numFmtId="0" fontId="4" fillId="37" borderId="1" xfId="0" applyFont="1" applyFill="1" applyBorder="1" applyAlignment="1">
      <alignment horizontal="center" vertical="top" wrapText="1"/>
    </xf>
    <xf numFmtId="166" fontId="4" fillId="37" borderId="27" xfId="406" applyNumberFormat="1" applyFont="1" applyFill="1" applyBorder="1" applyAlignment="1">
      <alignment horizontal="center"/>
      <protection/>
    </xf>
    <xf numFmtId="166" fontId="5" fillId="0" borderId="73" xfId="406" applyNumberFormat="1" applyFont="1" applyFill="1" applyBorder="1" applyAlignment="1">
      <alignment horizontal="left" vertical="top" wrapText="1"/>
      <protection/>
    </xf>
    <xf numFmtId="166" fontId="5" fillId="0" borderId="81" xfId="406" applyNumberFormat="1" applyFont="1" applyFill="1" applyBorder="1" applyAlignment="1">
      <alignment horizontal="left" vertical="top" wrapText="1"/>
      <protection/>
    </xf>
    <xf numFmtId="166" fontId="4" fillId="37" borderId="55" xfId="406" applyNumberFormat="1" applyFont="1" applyFill="1" applyBorder="1" applyAlignment="1">
      <alignment horizontal="center"/>
      <protection/>
    </xf>
    <xf numFmtId="0" fontId="4" fillId="37" borderId="55" xfId="0" applyFont="1" applyFill="1" applyBorder="1" applyAlignment="1">
      <alignment horizontal="center" wrapText="1"/>
    </xf>
    <xf numFmtId="166" fontId="4" fillId="37" borderId="2" xfId="406" applyNumberFormat="1" applyFont="1" applyFill="1" applyBorder="1" applyAlignment="1">
      <alignment horizontal="center" wrapText="1"/>
      <protection/>
    </xf>
    <xf numFmtId="185" fontId="5" fillId="67" borderId="0" xfId="0" applyNumberFormat="1" applyFont="1" applyFill="1" applyAlignment="1">
      <alignment/>
    </xf>
    <xf numFmtId="3" fontId="5" fillId="16" borderId="87" xfId="406" applyNumberFormat="1" applyFont="1" applyFill="1" applyBorder="1" applyAlignment="1">
      <alignment horizontal="center"/>
      <protection/>
    </xf>
    <xf numFmtId="3" fontId="5" fillId="67" borderId="86" xfId="0" applyNumberFormat="1" applyFont="1" applyFill="1" applyBorder="1" applyAlignment="1">
      <alignment horizontal="center"/>
    </xf>
    <xf numFmtId="3" fontId="5" fillId="16" borderId="85" xfId="406" applyNumberFormat="1" applyFont="1" applyFill="1" applyBorder="1" applyAlignment="1">
      <alignment horizontal="center"/>
      <protection/>
    </xf>
    <xf numFmtId="3" fontId="5" fillId="67" borderId="97" xfId="0" applyNumberFormat="1" applyFont="1" applyFill="1" applyBorder="1" applyAlignment="1">
      <alignment horizontal="center"/>
    </xf>
    <xf numFmtId="0" fontId="3" fillId="0" borderId="0" xfId="0" applyFont="1" applyBorder="1" applyAlignment="1">
      <alignment horizontal="left" vertical="center"/>
    </xf>
    <xf numFmtId="189" fontId="5" fillId="67" borderId="1" xfId="0" applyNumberFormat="1" applyFont="1" applyFill="1" applyBorder="1" applyAlignment="1">
      <alignment horizontal="center" vertical="center"/>
    </xf>
    <xf numFmtId="191" fontId="5" fillId="67" borderId="1" xfId="0" applyNumberFormat="1" applyFont="1" applyFill="1" applyBorder="1" applyAlignment="1">
      <alignment horizontal="center" vertical="center"/>
    </xf>
    <xf numFmtId="166" fontId="5" fillId="67" borderId="29" xfId="406" applyNumberFormat="1" applyFont="1" applyFill="1" applyBorder="1" applyAlignment="1">
      <alignment horizontal="center"/>
      <protection/>
    </xf>
    <xf numFmtId="166" fontId="5" fillId="67" borderId="46" xfId="406" applyNumberFormat="1" applyFont="1" applyFill="1" applyBorder="1" applyAlignment="1">
      <alignment horizontal="center"/>
      <protection/>
    </xf>
    <xf numFmtId="166" fontId="5" fillId="67" borderId="0" xfId="406" applyNumberFormat="1" applyFont="1" applyFill="1" applyBorder="1" applyAlignment="1">
      <alignment horizontal="center"/>
      <protection/>
    </xf>
    <xf numFmtId="3" fontId="5" fillId="67" borderId="29" xfId="406" applyNumberFormat="1" applyFont="1" applyFill="1" applyBorder="1" applyAlignment="1">
      <alignment horizontal="center"/>
      <protection/>
    </xf>
    <xf numFmtId="3" fontId="5" fillId="67" borderId="44" xfId="406" applyNumberFormat="1" applyFont="1" applyFill="1" applyBorder="1" applyAlignment="1">
      <alignment horizontal="center"/>
      <protection/>
    </xf>
    <xf numFmtId="3" fontId="5" fillId="67" borderId="36" xfId="406" applyNumberFormat="1" applyFont="1" applyFill="1" applyBorder="1" applyAlignment="1">
      <alignment horizontal="center"/>
      <protection/>
    </xf>
    <xf numFmtId="3" fontId="5" fillId="67" borderId="95" xfId="406" applyNumberFormat="1" applyFont="1" applyFill="1" applyBorder="1" applyAlignment="1">
      <alignment horizontal="center"/>
      <protection/>
    </xf>
    <xf numFmtId="166" fontId="5" fillId="67" borderId="57" xfId="406" applyNumberFormat="1" applyFont="1" applyFill="1" applyBorder="1" applyAlignment="1">
      <alignment horizontal="center"/>
      <protection/>
    </xf>
    <xf numFmtId="0" fontId="5" fillId="50" borderId="36" xfId="383" applyFont="1" applyFill="1" applyBorder="1">
      <alignment/>
      <protection/>
    </xf>
    <xf numFmtId="0" fontId="5" fillId="67" borderId="90" xfId="0" applyFont="1" applyFill="1" applyBorder="1" applyAlignment="1">
      <alignment horizontal="left"/>
    </xf>
    <xf numFmtId="0" fontId="5" fillId="67" borderId="82" xfId="0" applyFont="1" applyFill="1" applyBorder="1" applyAlignment="1">
      <alignment horizontal="center"/>
    </xf>
    <xf numFmtId="0" fontId="5" fillId="67" borderId="84" xfId="0" applyFont="1" applyFill="1" applyBorder="1" applyAlignment="1">
      <alignment horizontal="center"/>
    </xf>
    <xf numFmtId="0" fontId="4" fillId="37" borderId="16" xfId="0" applyFont="1" applyFill="1" applyBorder="1" applyAlignment="1">
      <alignment horizontal="center" vertical="top" wrapText="1"/>
    </xf>
    <xf numFmtId="0" fontId="4" fillId="37" borderId="51" xfId="0" applyFont="1" applyFill="1" applyBorder="1" applyAlignment="1">
      <alignment horizontal="center" vertical="top" wrapText="1"/>
    </xf>
    <xf numFmtId="3" fontId="5" fillId="67" borderId="90" xfId="406" applyNumberFormat="1" applyFont="1" applyFill="1" applyBorder="1" applyAlignment="1">
      <alignment horizontal="center"/>
      <protection/>
    </xf>
    <xf numFmtId="3" fontId="5" fillId="67" borderId="84" xfId="406" applyNumberFormat="1" applyFont="1" applyFill="1" applyBorder="1" applyAlignment="1">
      <alignment horizontal="center"/>
      <protection/>
    </xf>
    <xf numFmtId="3" fontId="5" fillId="67" borderId="83" xfId="406" applyNumberFormat="1" applyFont="1" applyFill="1" applyBorder="1" applyAlignment="1">
      <alignment horizontal="center"/>
      <protection/>
    </xf>
    <xf numFmtId="166" fontId="5" fillId="67" borderId="84" xfId="0" applyNumberFormat="1" applyFont="1" applyFill="1" applyBorder="1" applyAlignment="1">
      <alignment horizontal="center"/>
    </xf>
    <xf numFmtId="166" fontId="5" fillId="67" borderId="83" xfId="0" applyNumberFormat="1" applyFont="1" applyFill="1" applyBorder="1" applyAlignment="1">
      <alignment horizontal="center"/>
    </xf>
    <xf numFmtId="0" fontId="4" fillId="37" borderId="67" xfId="0" applyFont="1" applyFill="1" applyBorder="1" applyAlignment="1">
      <alignment horizontal="center" vertical="top" wrapText="1"/>
    </xf>
    <xf numFmtId="167" fontId="5" fillId="16" borderId="87" xfId="0" applyNumberFormat="1" applyFont="1" applyFill="1" applyBorder="1" applyAlignment="1">
      <alignment horizontal="center"/>
    </xf>
    <xf numFmtId="167" fontId="5" fillId="16" borderId="46" xfId="0" applyNumberFormat="1" applyFont="1" applyFill="1" applyBorder="1" applyAlignment="1">
      <alignment horizontal="center"/>
    </xf>
    <xf numFmtId="167" fontId="5" fillId="16" borderId="85" xfId="0" applyNumberFormat="1" applyFont="1" applyFill="1" applyBorder="1" applyAlignment="1">
      <alignment horizontal="center"/>
    </xf>
    <xf numFmtId="43" fontId="5" fillId="0" borderId="0" xfId="0" applyNumberFormat="1" applyFont="1" applyAlignment="1">
      <alignment/>
    </xf>
    <xf numFmtId="3" fontId="108" fillId="67" borderId="0" xfId="0" applyNumberFormat="1" applyFont="1" applyFill="1" applyBorder="1" applyAlignment="1">
      <alignment horizontal="center"/>
    </xf>
    <xf numFmtId="3" fontId="5" fillId="67" borderId="0" xfId="0" applyNumberFormat="1" applyFont="1" applyFill="1" applyBorder="1" applyAlignment="1">
      <alignment horizontal="center"/>
    </xf>
    <xf numFmtId="3" fontId="5" fillId="67" borderId="45" xfId="0" applyNumberFormat="1" applyFont="1" applyFill="1" applyBorder="1" applyAlignment="1">
      <alignment horizontal="center"/>
    </xf>
    <xf numFmtId="3" fontId="5" fillId="67" borderId="87" xfId="406" applyNumberFormat="1" applyFont="1" applyFill="1" applyBorder="1" applyAlignment="1">
      <alignment horizontal="center"/>
      <protection/>
    </xf>
    <xf numFmtId="9" fontId="5" fillId="66" borderId="29" xfId="442" applyFont="1" applyFill="1" applyBorder="1" applyAlignment="1">
      <alignment horizontal="center" vertical="center"/>
    </xf>
    <xf numFmtId="0" fontId="5" fillId="0" borderId="0" xfId="0" applyFont="1" applyFill="1" applyBorder="1" applyAlignment="1">
      <alignment/>
    </xf>
    <xf numFmtId="0" fontId="85" fillId="0" borderId="0" xfId="0" applyFont="1" applyFill="1" applyAlignment="1">
      <alignment vertical="center"/>
    </xf>
    <xf numFmtId="3" fontId="5" fillId="67" borderId="91" xfId="0" applyNumberFormat="1" applyFont="1" applyFill="1" applyBorder="1" applyAlignment="1">
      <alignment horizontal="center"/>
    </xf>
    <xf numFmtId="0" fontId="5" fillId="50" borderId="70" xfId="383" applyFont="1" applyFill="1" applyBorder="1">
      <alignment/>
      <protection/>
    </xf>
    <xf numFmtId="3" fontId="5" fillId="67" borderId="46" xfId="0" applyNumberFormat="1" applyFont="1" applyFill="1" applyBorder="1" applyAlignment="1">
      <alignment horizontal="center" vertical="center"/>
    </xf>
    <xf numFmtId="3" fontId="5" fillId="66" borderId="46" xfId="0" applyNumberFormat="1" applyFont="1" applyFill="1" applyBorder="1" applyAlignment="1">
      <alignment horizontal="center" vertical="center"/>
    </xf>
    <xf numFmtId="3" fontId="5" fillId="67" borderId="95" xfId="0" applyNumberFormat="1" applyFont="1" applyFill="1" applyBorder="1" applyAlignment="1">
      <alignment horizontal="center" vertical="center"/>
    </xf>
    <xf numFmtId="3" fontId="5" fillId="67" borderId="57" xfId="0" applyNumberFormat="1" applyFont="1" applyFill="1" applyBorder="1" applyAlignment="1">
      <alignment horizontal="center" vertical="center"/>
    </xf>
    <xf numFmtId="3" fontId="5" fillId="66" borderId="95" xfId="0" applyNumberFormat="1" applyFont="1" applyFill="1" applyBorder="1" applyAlignment="1">
      <alignment horizontal="center" vertical="center"/>
    </xf>
    <xf numFmtId="166" fontId="4" fillId="37" borderId="98" xfId="406" applyNumberFormat="1" applyFont="1" applyFill="1" applyBorder="1" applyAlignment="1">
      <alignment horizontal="center"/>
      <protection/>
    </xf>
    <xf numFmtId="3" fontId="5" fillId="67" borderId="95" xfId="0" applyNumberFormat="1" applyFont="1" applyFill="1" applyBorder="1" applyAlignment="1">
      <alignment/>
    </xf>
    <xf numFmtId="3" fontId="5" fillId="0" borderId="90" xfId="0" applyNumberFormat="1" applyFont="1" applyBorder="1" applyAlignment="1">
      <alignment/>
    </xf>
    <xf numFmtId="167" fontId="5" fillId="67" borderId="2" xfId="406" applyNumberFormat="1" applyFont="1" applyFill="1" applyBorder="1" applyAlignment="1">
      <alignment horizontal="center"/>
      <protection/>
    </xf>
    <xf numFmtId="167" fontId="5" fillId="67" borderId="1" xfId="406" applyNumberFormat="1" applyFont="1" applyFill="1" applyBorder="1" applyAlignment="1">
      <alignment horizontal="center"/>
      <protection/>
    </xf>
    <xf numFmtId="166" fontId="51" fillId="37" borderId="1" xfId="406" applyNumberFormat="1" applyFont="1" applyFill="1" applyBorder="1" applyAlignment="1">
      <alignment horizontal="center"/>
      <protection/>
    </xf>
    <xf numFmtId="3" fontId="5" fillId="51" borderId="1" xfId="368" applyNumberFormat="1" applyFont="1" applyFill="1" applyBorder="1" applyAlignment="1">
      <alignment horizontal="center"/>
      <protection/>
    </xf>
    <xf numFmtId="166" fontId="51" fillId="37" borderId="91" xfId="406" applyNumberFormat="1" applyFont="1" applyFill="1" applyBorder="1">
      <alignment/>
      <protection/>
    </xf>
    <xf numFmtId="166" fontId="5" fillId="50" borderId="36" xfId="406" applyNumberFormat="1" applyFont="1" applyFill="1" applyBorder="1">
      <alignment/>
      <protection/>
    </xf>
    <xf numFmtId="0" fontId="5" fillId="50" borderId="99" xfId="383" applyFont="1" applyFill="1" applyBorder="1">
      <alignment/>
      <protection/>
    </xf>
    <xf numFmtId="166" fontId="5" fillId="50" borderId="96" xfId="406" applyNumberFormat="1" applyFont="1" applyFill="1" applyBorder="1">
      <alignment/>
      <protection/>
    </xf>
    <xf numFmtId="3" fontId="5" fillId="51" borderId="16" xfId="368" applyNumberFormat="1" applyFont="1" applyFill="1" applyBorder="1" applyAlignment="1">
      <alignment horizontal="center"/>
      <protection/>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166" fontId="4" fillId="37" borderId="100" xfId="406" applyNumberFormat="1" applyFont="1" applyFill="1" applyBorder="1" applyAlignment="1">
      <alignment horizontal="center"/>
      <protection/>
    </xf>
    <xf numFmtId="166" fontId="4" fillId="37" borderId="93" xfId="406" applyNumberFormat="1" applyFont="1" applyFill="1" applyBorder="1" applyAlignment="1">
      <alignment horizontal="center"/>
      <protection/>
    </xf>
    <xf numFmtId="3" fontId="5" fillId="67" borderId="36" xfId="406" applyNumberFormat="1" applyFont="1" applyFill="1" applyBorder="1" applyAlignment="1">
      <alignment horizontal="center"/>
      <protection/>
    </xf>
    <xf numFmtId="3" fontId="5" fillId="66" borderId="36" xfId="406" applyNumberFormat="1" applyFont="1" applyFill="1" applyBorder="1" applyAlignment="1">
      <alignment horizontal="center"/>
      <protection/>
    </xf>
    <xf numFmtId="3" fontId="5" fillId="16" borderId="29" xfId="406" applyNumberFormat="1" applyFont="1" applyFill="1" applyBorder="1" applyAlignment="1">
      <alignment horizontal="center"/>
      <protection/>
    </xf>
    <xf numFmtId="0" fontId="3" fillId="50" borderId="55" xfId="0" applyFont="1" applyFill="1" applyBorder="1" applyAlignment="1">
      <alignment vertical="center"/>
    </xf>
    <xf numFmtId="0" fontId="5" fillId="67" borderId="96" xfId="0" applyFont="1" applyFill="1" applyBorder="1" applyAlignment="1">
      <alignment vertical="center"/>
    </xf>
    <xf numFmtId="2" fontId="3" fillId="66" borderId="0" xfId="0" applyNumberFormat="1" applyFont="1" applyFill="1" applyBorder="1" applyAlignment="1">
      <alignment horizontal="center"/>
    </xf>
    <xf numFmtId="3" fontId="3" fillId="67" borderId="81" xfId="442" applyNumberFormat="1" applyFont="1" applyFill="1" applyBorder="1" applyAlignment="1">
      <alignment horizontal="center" vertical="center"/>
    </xf>
    <xf numFmtId="9" fontId="5" fillId="66" borderId="101" xfId="442" applyFont="1" applyFill="1" applyBorder="1" applyAlignment="1">
      <alignment horizontal="center" vertical="center"/>
    </xf>
    <xf numFmtId="3" fontId="4" fillId="37" borderId="80" xfId="0" applyNumberFormat="1" applyFont="1" applyFill="1" applyBorder="1" applyAlignment="1">
      <alignment horizontal="center" vertical="center"/>
    </xf>
    <xf numFmtId="4" fontId="5" fillId="67" borderId="53" xfId="0" applyNumberFormat="1" applyFont="1" applyFill="1" applyBorder="1" applyAlignment="1">
      <alignment horizontal="center" vertical="center"/>
    </xf>
    <xf numFmtId="0" fontId="5" fillId="66" borderId="101" xfId="0" applyFont="1" applyFill="1" applyBorder="1" applyAlignment="1">
      <alignment horizontal="center"/>
    </xf>
    <xf numFmtId="0" fontId="5" fillId="67" borderId="36" xfId="368" applyFont="1" applyFill="1" applyBorder="1" applyAlignment="1">
      <alignment vertical="center"/>
      <protection/>
    </xf>
    <xf numFmtId="0" fontId="3" fillId="67" borderId="36" xfId="0" applyFont="1" applyFill="1" applyBorder="1" applyAlignment="1">
      <alignment horizontal="left" vertical="center"/>
    </xf>
    <xf numFmtId="2" fontId="5" fillId="67" borderId="57" xfId="0" applyNumberFormat="1" applyFont="1" applyFill="1" applyBorder="1" applyAlignment="1">
      <alignment horizontal="center" vertical="center"/>
    </xf>
    <xf numFmtId="0" fontId="5" fillId="67" borderId="102" xfId="0" applyFont="1" applyFill="1" applyBorder="1" applyAlignment="1">
      <alignment vertical="center"/>
    </xf>
    <xf numFmtId="0" fontId="3" fillId="50" borderId="103" xfId="0" applyFont="1" applyFill="1" applyBorder="1" applyAlignment="1">
      <alignment vertical="center"/>
    </xf>
    <xf numFmtId="0" fontId="5" fillId="66" borderId="57" xfId="0" applyFont="1" applyFill="1" applyBorder="1" applyAlignment="1">
      <alignment horizontal="center"/>
    </xf>
    <xf numFmtId="2" fontId="5" fillId="67" borderId="57" xfId="0" applyNumberFormat="1" applyFont="1" applyFill="1" applyBorder="1" applyAlignment="1">
      <alignment horizontal="center"/>
    </xf>
    <xf numFmtId="0" fontId="3" fillId="67" borderId="102" xfId="0" applyFont="1" applyFill="1" applyBorder="1" applyAlignment="1">
      <alignment horizontal="left" vertical="center"/>
    </xf>
    <xf numFmtId="0" fontId="5" fillId="67" borderId="95" xfId="0" applyFont="1" applyFill="1" applyBorder="1" applyAlignment="1">
      <alignment/>
    </xf>
    <xf numFmtId="0" fontId="4" fillId="37" borderId="35" xfId="0" applyFont="1" applyFill="1" applyBorder="1" applyAlignment="1">
      <alignment vertical="center"/>
    </xf>
    <xf numFmtId="190" fontId="5" fillId="67" borderId="0" xfId="442" applyNumberFormat="1" applyFont="1" applyFill="1" applyAlignment="1">
      <alignment/>
    </xf>
    <xf numFmtId="9" fontId="5" fillId="66" borderId="71" xfId="442" applyFont="1" applyFill="1" applyBorder="1" applyAlignment="1">
      <alignment horizontal="center" vertical="center"/>
    </xf>
    <xf numFmtId="3" fontId="5" fillId="50" borderId="101" xfId="442" applyNumberFormat="1" applyFont="1" applyFill="1" applyBorder="1" applyAlignment="1">
      <alignment horizontal="center" vertical="center"/>
    </xf>
    <xf numFmtId="4" fontId="5" fillId="67" borderId="54" xfId="0" applyNumberFormat="1" applyFont="1" applyFill="1" applyBorder="1" applyAlignment="1">
      <alignment horizontal="center" vertical="center"/>
    </xf>
    <xf numFmtId="3" fontId="3" fillId="67" borderId="81" xfId="0" applyNumberFormat="1" applyFont="1" applyFill="1" applyBorder="1" applyAlignment="1">
      <alignment horizontal="center" vertical="center"/>
    </xf>
    <xf numFmtId="2" fontId="5" fillId="66" borderId="101" xfId="0" applyNumberFormat="1" applyFont="1" applyFill="1" applyBorder="1" applyAlignment="1">
      <alignment horizontal="center"/>
    </xf>
    <xf numFmtId="9" fontId="5" fillId="66" borderId="0" xfId="442" applyFont="1" applyFill="1" applyBorder="1" applyAlignment="1">
      <alignment horizontal="center" vertical="center"/>
    </xf>
    <xf numFmtId="0" fontId="4" fillId="30" borderId="104" xfId="368" applyFont="1" applyFill="1" applyBorder="1" applyAlignment="1" applyProtection="1">
      <alignment horizontal="left" vertical="center"/>
      <protection locked="0"/>
    </xf>
    <xf numFmtId="0" fontId="3" fillId="67" borderId="95" xfId="0" applyFont="1" applyFill="1" applyBorder="1" applyAlignment="1">
      <alignment horizontal="left" vertical="center"/>
    </xf>
    <xf numFmtId="0" fontId="5" fillId="67" borderId="36" xfId="0" applyFont="1" applyFill="1" applyBorder="1" applyAlignment="1">
      <alignment/>
    </xf>
    <xf numFmtId="9" fontId="5" fillId="67" borderId="81" xfId="442" applyFont="1" applyFill="1" applyBorder="1" applyAlignment="1">
      <alignment horizontal="center" vertical="center"/>
    </xf>
    <xf numFmtId="4" fontId="5" fillId="67" borderId="80" xfId="0" applyNumberFormat="1" applyFont="1" applyFill="1" applyBorder="1" applyAlignment="1">
      <alignment horizontal="center" vertical="center"/>
    </xf>
    <xf numFmtId="0" fontId="5" fillId="67" borderId="36" xfId="0" applyFont="1" applyFill="1" applyBorder="1" applyAlignment="1">
      <alignment vertical="center"/>
    </xf>
    <xf numFmtId="0" fontId="4" fillId="37" borderId="99" xfId="0" applyFont="1" applyFill="1" applyBorder="1" applyAlignment="1">
      <alignment vertical="center"/>
    </xf>
    <xf numFmtId="0" fontId="3" fillId="66" borderId="103" xfId="0" applyFont="1" applyFill="1" applyBorder="1" applyAlignment="1">
      <alignment horizontal="left" vertical="center"/>
    </xf>
    <xf numFmtId="0" fontId="4" fillId="37" borderId="36" xfId="0" applyFont="1" applyFill="1" applyBorder="1" applyAlignment="1">
      <alignment vertical="center"/>
    </xf>
    <xf numFmtId="2" fontId="3" fillId="66" borderId="29" xfId="0" applyNumberFormat="1" applyFont="1" applyFill="1" applyBorder="1" applyAlignment="1">
      <alignment horizontal="center"/>
    </xf>
    <xf numFmtId="9" fontId="5" fillId="67" borderId="57" xfId="442" applyNumberFormat="1" applyFont="1" applyFill="1" applyBorder="1" applyAlignment="1">
      <alignment horizontal="center"/>
    </xf>
    <xf numFmtId="3" fontId="3" fillId="67" borderId="57" xfId="0" applyNumberFormat="1" applyFont="1" applyFill="1" applyBorder="1" applyAlignment="1">
      <alignment horizontal="center" vertical="center"/>
    </xf>
    <xf numFmtId="0" fontId="4" fillId="37" borderId="96" xfId="0" applyFont="1" applyFill="1" applyBorder="1" applyAlignment="1">
      <alignment vertical="center"/>
    </xf>
    <xf numFmtId="0" fontId="3" fillId="50" borderId="103" xfId="0" applyFont="1" applyFill="1" applyBorder="1" applyAlignment="1">
      <alignment horizontal="left" vertical="center"/>
    </xf>
    <xf numFmtId="0" fontId="3" fillId="50" borderId="36" xfId="0" applyFont="1" applyFill="1" applyBorder="1" applyAlignment="1">
      <alignment horizontal="left" vertical="center"/>
    </xf>
    <xf numFmtId="0" fontId="4" fillId="37" borderId="105" xfId="0" applyFont="1" applyFill="1" applyBorder="1" applyAlignment="1">
      <alignment horizontal="center" vertical="center"/>
    </xf>
    <xf numFmtId="3" fontId="5" fillId="50" borderId="57" xfId="442" applyNumberFormat="1" applyFont="1" applyFill="1" applyBorder="1" applyAlignment="1">
      <alignment horizontal="center" vertical="center"/>
    </xf>
    <xf numFmtId="0" fontId="110" fillId="30" borderId="106" xfId="368" applyFont="1" applyFill="1" applyBorder="1" applyAlignment="1" applyProtection="1">
      <alignment horizontal="left" vertical="center"/>
      <protection locked="0"/>
    </xf>
    <xf numFmtId="0" fontId="3" fillId="67" borderId="36" xfId="0" applyFont="1" applyFill="1" applyBorder="1" applyAlignment="1">
      <alignment vertical="center"/>
    </xf>
    <xf numFmtId="2" fontId="5" fillId="67" borderId="0" xfId="0" applyNumberFormat="1" applyFont="1" applyFill="1" applyAlignment="1">
      <alignment/>
    </xf>
    <xf numFmtId="0" fontId="4" fillId="37" borderId="107" xfId="0" applyFont="1" applyFill="1" applyBorder="1" applyAlignment="1">
      <alignment horizontal="center" vertical="center"/>
    </xf>
    <xf numFmtId="9" fontId="5" fillId="67" borderId="57" xfId="442" applyFont="1" applyFill="1" applyBorder="1" applyAlignment="1">
      <alignment horizontal="center" vertical="center"/>
    </xf>
    <xf numFmtId="185" fontId="110" fillId="37" borderId="108" xfId="0" applyNumberFormat="1" applyFont="1" applyFill="1" applyBorder="1" applyAlignment="1">
      <alignment horizontal="center"/>
    </xf>
    <xf numFmtId="2" fontId="3" fillId="67" borderId="57" xfId="0" applyNumberFormat="1" applyFont="1" applyFill="1" applyBorder="1" applyAlignment="1">
      <alignment horizontal="center"/>
    </xf>
    <xf numFmtId="2" fontId="5" fillId="66" borderId="57" xfId="0" applyNumberFormat="1" applyFont="1" applyFill="1" applyBorder="1" applyAlignment="1">
      <alignment horizontal="center"/>
    </xf>
    <xf numFmtId="3" fontId="4" fillId="37" borderId="54" xfId="0" applyNumberFormat="1" applyFont="1" applyFill="1" applyBorder="1" applyAlignment="1">
      <alignment horizontal="center" vertical="center"/>
    </xf>
    <xf numFmtId="166" fontId="4" fillId="37" borderId="47" xfId="406" applyNumberFormat="1" applyFont="1" applyFill="1" applyBorder="1" applyAlignment="1">
      <alignment horizontal="center"/>
      <protection/>
    </xf>
    <xf numFmtId="9" fontId="5" fillId="0" borderId="0" xfId="442" applyFont="1" applyBorder="1" applyAlignment="1">
      <alignment horizontal="center" vertical="center"/>
    </xf>
    <xf numFmtId="3" fontId="5" fillId="67" borderId="29" xfId="406" applyNumberFormat="1" applyFont="1" applyFill="1" applyBorder="1" applyAlignment="1">
      <alignment horizontal="center" vertical="center"/>
      <protection/>
    </xf>
    <xf numFmtId="3" fontId="5" fillId="67" borderId="46" xfId="406" applyNumberFormat="1" applyFont="1" applyFill="1" applyBorder="1" applyAlignment="1">
      <alignment horizontal="center" vertical="center"/>
      <protection/>
    </xf>
    <xf numFmtId="189" fontId="5" fillId="67" borderId="2" xfId="0" applyNumberFormat="1" applyFont="1" applyFill="1" applyBorder="1" applyAlignment="1">
      <alignment horizontal="center" vertical="center"/>
    </xf>
    <xf numFmtId="9" fontId="3" fillId="67" borderId="0" xfId="442" applyFont="1" applyFill="1" applyBorder="1" applyAlignment="1">
      <alignment horizontal="center"/>
    </xf>
    <xf numFmtId="0" fontId="4" fillId="37" borderId="16" xfId="0" applyFont="1" applyFill="1" applyBorder="1" applyAlignment="1">
      <alignment horizontal="center" vertical="top" wrapText="1"/>
    </xf>
    <xf numFmtId="0" fontId="4" fillId="37" borderId="88" xfId="0" applyFont="1" applyFill="1" applyBorder="1" applyAlignment="1">
      <alignment horizontal="center" vertical="top" wrapText="1"/>
    </xf>
    <xf numFmtId="165" fontId="0" fillId="67" borderId="36" xfId="220" applyNumberFormat="1" applyFont="1" applyFill="1" applyBorder="1" applyAlignment="1">
      <alignment/>
    </xf>
    <xf numFmtId="3" fontId="5" fillId="67" borderId="0" xfId="0" applyNumberFormat="1" applyFont="1" applyFill="1" applyBorder="1" applyAlignment="1">
      <alignment horizontal="center"/>
    </xf>
    <xf numFmtId="0" fontId="112" fillId="0" borderId="0" xfId="0" applyFont="1" applyFill="1" applyBorder="1" applyAlignment="1">
      <alignment horizontal="left" vertical="center"/>
    </xf>
    <xf numFmtId="0" fontId="112" fillId="0" borderId="0" xfId="0" applyFont="1" applyFill="1" applyBorder="1" applyAlignment="1">
      <alignment vertical="center"/>
    </xf>
    <xf numFmtId="0" fontId="113" fillId="0" borderId="0" xfId="0" applyFont="1" applyFill="1" applyBorder="1" applyAlignment="1">
      <alignment/>
    </xf>
    <xf numFmtId="0" fontId="113" fillId="0" borderId="0" xfId="0" applyFont="1" applyFill="1" applyBorder="1" applyAlignment="1">
      <alignment horizontal="center"/>
    </xf>
    <xf numFmtId="217" fontId="113" fillId="0" borderId="0" xfId="0" applyNumberFormat="1" applyFont="1" applyFill="1" applyBorder="1" applyAlignment="1">
      <alignment horizontal="center" vertical="center"/>
    </xf>
    <xf numFmtId="0" fontId="113" fillId="0" borderId="0" xfId="0" applyFont="1" applyFill="1" applyAlignment="1">
      <alignment/>
    </xf>
    <xf numFmtId="189" fontId="5" fillId="0" borderId="0" xfId="0" applyNumberFormat="1" applyFont="1" applyFill="1" applyAlignment="1">
      <alignment/>
    </xf>
    <xf numFmtId="0" fontId="7" fillId="51" borderId="1" xfId="299" applyFill="1" applyBorder="1" applyAlignment="1" applyProtection="1">
      <alignment/>
      <protection/>
    </xf>
    <xf numFmtId="188" fontId="5" fillId="67" borderId="1" xfId="0" applyNumberFormat="1" applyFont="1" applyFill="1" applyBorder="1" applyAlignment="1">
      <alignment horizontal="center" vertical="center"/>
    </xf>
    <xf numFmtId="188" fontId="5" fillId="0" borderId="109" xfId="0" applyNumberFormat="1" applyFont="1" applyBorder="1" applyAlignment="1">
      <alignment horizontal="center" vertical="center"/>
    </xf>
    <xf numFmtId="191" fontId="5" fillId="0" borderId="109" xfId="0" applyNumberFormat="1" applyFont="1" applyBorder="1" applyAlignment="1">
      <alignment horizontal="center" vertical="center"/>
    </xf>
    <xf numFmtId="188" fontId="5" fillId="67" borderId="1" xfId="0" applyNumberFormat="1" applyFont="1" applyFill="1" applyBorder="1" applyAlignment="1">
      <alignment horizontal="center"/>
    </xf>
    <xf numFmtId="191" fontId="5" fillId="67" borderId="71" xfId="0" applyNumberFormat="1" applyFont="1" applyFill="1" applyBorder="1" applyAlignment="1">
      <alignment horizontal="center" vertical="center"/>
    </xf>
    <xf numFmtId="191" fontId="5" fillId="67" borderId="46" xfId="0" applyNumberFormat="1" applyFont="1" applyFill="1" applyBorder="1" applyAlignment="1">
      <alignment horizontal="center" vertical="center"/>
    </xf>
    <xf numFmtId="191" fontId="5" fillId="67" borderId="2" xfId="0" applyNumberFormat="1" applyFont="1" applyFill="1" applyBorder="1" applyAlignment="1">
      <alignment horizontal="center" vertical="center"/>
    </xf>
    <xf numFmtId="191" fontId="5" fillId="67" borderId="55" xfId="0" applyNumberFormat="1" applyFont="1" applyFill="1" applyBorder="1" applyAlignment="1">
      <alignment horizontal="center" vertical="center"/>
    </xf>
    <xf numFmtId="191" fontId="5" fillId="67" borderId="29" xfId="0" applyNumberFormat="1" applyFont="1" applyFill="1" applyBorder="1" applyAlignment="1">
      <alignment horizontal="center" vertical="center"/>
    </xf>
    <xf numFmtId="191" fontId="5" fillId="67" borderId="47" xfId="0" applyNumberFormat="1" applyFont="1" applyFill="1" applyBorder="1" applyAlignment="1">
      <alignment horizontal="center" vertical="center"/>
    </xf>
    <xf numFmtId="191" fontId="5" fillId="67" borderId="27" xfId="0" applyNumberFormat="1" applyFont="1" applyFill="1" applyBorder="1" applyAlignment="1">
      <alignment horizontal="center" vertical="center"/>
    </xf>
    <xf numFmtId="10" fontId="5" fillId="67" borderId="0" xfId="0" applyNumberFormat="1" applyFont="1" applyFill="1" applyAlignment="1">
      <alignment/>
    </xf>
    <xf numFmtId="166" fontId="7" fillId="0" borderId="73" xfId="299" applyNumberFormat="1" applyFill="1" applyBorder="1" applyAlignment="1" applyProtection="1">
      <alignment horizontal="left" vertical="top"/>
      <protection/>
    </xf>
    <xf numFmtId="185" fontId="5" fillId="67" borderId="0" xfId="0" applyNumberFormat="1" applyFont="1" applyFill="1" applyBorder="1" applyAlignment="1">
      <alignment/>
    </xf>
    <xf numFmtId="2" fontId="114" fillId="30" borderId="110" xfId="368" applyNumberFormat="1" applyFont="1" applyFill="1" applyBorder="1" applyAlignment="1">
      <alignment horizontal="center" vertical="center"/>
      <protection/>
    </xf>
    <xf numFmtId="2" fontId="114" fillId="30" borderId="111" xfId="368" applyNumberFormat="1" applyFont="1" applyFill="1" applyBorder="1" applyAlignment="1">
      <alignment horizontal="center" vertical="center"/>
      <protection/>
    </xf>
    <xf numFmtId="2" fontId="114" fillId="30" borderId="112" xfId="368" applyNumberFormat="1" applyFont="1" applyFill="1" applyBorder="1" applyAlignment="1">
      <alignment horizontal="center" vertical="center"/>
      <protection/>
    </xf>
    <xf numFmtId="0" fontId="3" fillId="30" borderId="110" xfId="368" applyFont="1" applyFill="1" applyBorder="1" applyAlignment="1">
      <alignment horizontal="center"/>
      <protection/>
    </xf>
    <xf numFmtId="0" fontId="3" fillId="30" borderId="111" xfId="368" applyFont="1" applyFill="1" applyBorder="1" applyAlignment="1">
      <alignment horizontal="center"/>
      <protection/>
    </xf>
    <xf numFmtId="0" fontId="3" fillId="30" borderId="113" xfId="368" applyFont="1" applyFill="1" applyBorder="1" applyAlignment="1">
      <alignment horizontal="center"/>
      <protection/>
    </xf>
    <xf numFmtId="196" fontId="83" fillId="0" borderId="0" xfId="0" applyNumberFormat="1" applyFont="1" applyFill="1" applyAlignment="1">
      <alignment horizontal="left"/>
    </xf>
    <xf numFmtId="0" fontId="83" fillId="67" borderId="0" xfId="0" applyFont="1" applyFill="1" applyAlignment="1">
      <alignment horizontal="left" wrapText="1"/>
    </xf>
    <xf numFmtId="0" fontId="0" fillId="0" borderId="0" xfId="0" applyAlignment="1">
      <alignment/>
    </xf>
    <xf numFmtId="0" fontId="5" fillId="67" borderId="60" xfId="0" applyFont="1" applyFill="1" applyBorder="1" applyAlignment="1">
      <alignment horizontal="left" vertical="top" wrapText="1"/>
    </xf>
    <xf numFmtId="0" fontId="5" fillId="67" borderId="56" xfId="0" applyFont="1" applyFill="1" applyBorder="1" applyAlignment="1">
      <alignment horizontal="left" vertical="top" wrapText="1"/>
    </xf>
    <xf numFmtId="0" fontId="5" fillId="67" borderId="0" xfId="0" applyFont="1" applyFill="1" applyBorder="1" applyAlignment="1">
      <alignment horizontal="left" vertical="top" wrapText="1"/>
    </xf>
    <xf numFmtId="0" fontId="5" fillId="67" borderId="57" xfId="0" applyFont="1" applyFill="1" applyBorder="1" applyAlignment="1">
      <alignment horizontal="left" vertical="top" wrapText="1"/>
    </xf>
    <xf numFmtId="0" fontId="5" fillId="67" borderId="54" xfId="0" applyFont="1" applyFill="1" applyBorder="1" applyAlignment="1">
      <alignment horizontal="left" vertical="top" wrapText="1"/>
    </xf>
    <xf numFmtId="0" fontId="5" fillId="67" borderId="80" xfId="0" applyFont="1" applyFill="1" applyBorder="1" applyAlignment="1">
      <alignment horizontal="left" vertical="top" wrapText="1"/>
    </xf>
    <xf numFmtId="2" fontId="3" fillId="30" borderId="110" xfId="368" applyNumberFormat="1" applyFont="1" applyFill="1" applyBorder="1" applyAlignment="1">
      <alignment horizontal="center" vertical="center"/>
      <protection/>
    </xf>
    <xf numFmtId="2" fontId="110" fillId="30" borderId="111" xfId="368" applyNumberFormat="1" applyFont="1" applyFill="1" applyBorder="1" applyAlignment="1">
      <alignment horizontal="center" vertical="center"/>
      <protection/>
    </xf>
    <xf numFmtId="2" fontId="110" fillId="30" borderId="112" xfId="368" applyNumberFormat="1" applyFont="1" applyFill="1" applyBorder="1" applyAlignment="1">
      <alignment horizontal="center" vertical="center"/>
      <protection/>
    </xf>
    <xf numFmtId="2" fontId="4" fillId="37" borderId="114" xfId="0" applyNumberFormat="1" applyFont="1" applyFill="1" applyBorder="1" applyAlignment="1">
      <alignment horizontal="center" vertical="center"/>
    </xf>
    <xf numFmtId="2" fontId="4" fillId="37" borderId="115" xfId="0" applyNumberFormat="1" applyFont="1" applyFill="1" applyBorder="1" applyAlignment="1">
      <alignment horizontal="center" vertical="center"/>
    </xf>
    <xf numFmtId="2" fontId="4" fillId="37" borderId="116" xfId="0" applyNumberFormat="1" applyFont="1" applyFill="1" applyBorder="1" applyAlignment="1">
      <alignment horizontal="center" vertical="center"/>
    </xf>
    <xf numFmtId="2" fontId="4" fillId="37" borderId="117" xfId="0" applyNumberFormat="1" applyFont="1" applyFill="1" applyBorder="1" applyAlignment="1">
      <alignment horizontal="center" vertical="center"/>
    </xf>
    <xf numFmtId="0" fontId="5" fillId="67" borderId="0" xfId="0" applyFont="1" applyFill="1" applyBorder="1" applyAlignment="1">
      <alignment vertical="center" wrapText="1"/>
    </xf>
    <xf numFmtId="0" fontId="0" fillId="67" borderId="0" xfId="0" applyFill="1" applyAlignment="1">
      <alignment wrapText="1"/>
    </xf>
    <xf numFmtId="0" fontId="4" fillId="37" borderId="118" xfId="0" applyFont="1" applyFill="1" applyBorder="1" applyAlignment="1" applyProtection="1">
      <alignment horizontal="left" vertical="center" wrapText="1"/>
      <protection locked="0"/>
    </xf>
    <xf numFmtId="0" fontId="4" fillId="37" borderId="119" xfId="0" applyFont="1" applyFill="1" applyBorder="1" applyAlignment="1" applyProtection="1">
      <alignment horizontal="left" vertical="center" wrapText="1"/>
      <protection locked="0"/>
    </xf>
    <xf numFmtId="0" fontId="4" fillId="37" borderId="120" xfId="0" applyFont="1" applyFill="1" applyBorder="1" applyAlignment="1">
      <alignment horizontal="center" vertical="center" wrapText="1"/>
    </xf>
    <xf numFmtId="0" fontId="4" fillId="37" borderId="121" xfId="0" applyFont="1" applyFill="1" applyBorder="1" applyAlignment="1">
      <alignment horizontal="center" vertical="center" wrapText="1"/>
    </xf>
    <xf numFmtId="0" fontId="4" fillId="37" borderId="122" xfId="0" applyFont="1" applyFill="1" applyBorder="1" applyAlignment="1">
      <alignment horizontal="center" vertical="center" wrapText="1"/>
    </xf>
    <xf numFmtId="0" fontId="4" fillId="37" borderId="123" xfId="0" applyFont="1" applyFill="1" applyBorder="1" applyAlignment="1">
      <alignment horizontal="center"/>
    </xf>
    <xf numFmtId="0" fontId="4" fillId="37" borderId="124" xfId="0" applyFont="1" applyFill="1" applyBorder="1" applyAlignment="1">
      <alignment horizontal="center"/>
    </xf>
    <xf numFmtId="0" fontId="4" fillId="37" borderId="125" xfId="0" applyFont="1" applyFill="1" applyBorder="1" applyAlignment="1">
      <alignment horizontal="center"/>
    </xf>
    <xf numFmtId="0" fontId="4" fillId="37" borderId="126" xfId="0" applyFont="1" applyFill="1" applyBorder="1" applyAlignment="1">
      <alignment horizontal="center"/>
    </xf>
    <xf numFmtId="0" fontId="4" fillId="37" borderId="28" xfId="0" applyFont="1" applyFill="1" applyBorder="1" applyAlignment="1">
      <alignment horizontal="center"/>
    </xf>
    <xf numFmtId="0" fontId="4" fillId="37" borderId="37" xfId="0" applyFont="1" applyFill="1" applyBorder="1" applyAlignment="1">
      <alignment horizontal="center"/>
    </xf>
    <xf numFmtId="0" fontId="4" fillId="37" borderId="127" xfId="0" applyFont="1" applyFill="1" applyBorder="1" applyAlignment="1">
      <alignment horizontal="left" wrapText="1"/>
    </xf>
    <xf numFmtId="0" fontId="4" fillId="37" borderId="128" xfId="0" applyFont="1" applyFill="1" applyBorder="1" applyAlignment="1">
      <alignment horizontal="left" wrapText="1"/>
    </xf>
    <xf numFmtId="0" fontId="4" fillId="60" borderId="123" xfId="0" applyFont="1" applyFill="1" applyBorder="1" applyAlignment="1">
      <alignment horizontal="center"/>
    </xf>
    <xf numFmtId="0" fontId="4" fillId="60" borderId="124" xfId="0" applyFont="1" applyFill="1" applyBorder="1" applyAlignment="1">
      <alignment horizontal="center"/>
    </xf>
    <xf numFmtId="0" fontId="4" fillId="60" borderId="125" xfId="0" applyFont="1" applyFill="1" applyBorder="1" applyAlignment="1">
      <alignment horizontal="center"/>
    </xf>
    <xf numFmtId="0" fontId="4" fillId="60" borderId="129" xfId="0" applyFont="1" applyFill="1" applyBorder="1" applyAlignment="1">
      <alignment horizontal="center"/>
    </xf>
    <xf numFmtId="0" fontId="4" fillId="60" borderId="60" xfId="0" applyFont="1" applyFill="1" applyBorder="1" applyAlignment="1">
      <alignment horizontal="center"/>
    </xf>
    <xf numFmtId="0" fontId="4" fillId="37" borderId="27" xfId="0" applyFont="1" applyFill="1" applyBorder="1" applyAlignment="1">
      <alignment horizontal="center" vertical="top"/>
    </xf>
    <xf numFmtId="0" fontId="4" fillId="37" borderId="69" xfId="0" applyFont="1" applyFill="1" applyBorder="1" applyAlignment="1">
      <alignment horizontal="center" vertical="top"/>
    </xf>
    <xf numFmtId="0" fontId="4" fillId="37" borderId="1" xfId="0" applyFont="1" applyFill="1" applyBorder="1" applyAlignment="1">
      <alignment horizontal="center" vertical="top" wrapText="1"/>
    </xf>
    <xf numFmtId="0" fontId="4" fillId="37" borderId="47" xfId="0" applyFont="1" applyFill="1" applyBorder="1" applyAlignment="1">
      <alignment horizontal="center" vertical="top" wrapText="1"/>
    </xf>
    <xf numFmtId="0" fontId="4" fillId="37" borderId="48" xfId="0" applyFont="1" applyFill="1" applyBorder="1" applyAlignment="1">
      <alignment horizontal="center" vertical="top" wrapText="1"/>
    </xf>
    <xf numFmtId="0" fontId="4" fillId="37" borderId="68" xfId="0" applyFont="1" applyFill="1" applyBorder="1" applyAlignment="1">
      <alignment horizontal="center" vertical="top" wrapText="1"/>
    </xf>
    <xf numFmtId="0" fontId="4" fillId="37" borderId="1" xfId="0" applyFont="1" applyFill="1" applyBorder="1" applyAlignment="1">
      <alignment horizontal="center" vertical="top"/>
    </xf>
    <xf numFmtId="0" fontId="4" fillId="37" borderId="55" xfId="0" applyFont="1" applyFill="1" applyBorder="1" applyAlignment="1">
      <alignment horizontal="center" vertical="top" wrapText="1"/>
    </xf>
    <xf numFmtId="0" fontId="4" fillId="37" borderId="46" xfId="0" applyFont="1" applyFill="1" applyBorder="1" applyAlignment="1">
      <alignment horizontal="center" vertical="top" wrapText="1"/>
    </xf>
    <xf numFmtId="0" fontId="4" fillId="37" borderId="130" xfId="0" applyFont="1" applyFill="1" applyBorder="1" applyAlignment="1">
      <alignment horizontal="center" vertical="top" wrapText="1"/>
    </xf>
    <xf numFmtId="0" fontId="4" fillId="37" borderId="63" xfId="0" applyFont="1" applyFill="1" applyBorder="1" applyAlignment="1">
      <alignment horizontal="center" vertical="top" wrapText="1"/>
    </xf>
    <xf numFmtId="0" fontId="4" fillId="37" borderId="64" xfId="0" applyFont="1" applyFill="1" applyBorder="1" applyAlignment="1">
      <alignment horizontal="center" vertical="top" wrapText="1"/>
    </xf>
    <xf numFmtId="0" fontId="4" fillId="37" borderId="131" xfId="0" applyFont="1" applyFill="1" applyBorder="1" applyAlignment="1">
      <alignment horizontal="center" vertical="top" wrapText="1"/>
    </xf>
    <xf numFmtId="0" fontId="4" fillId="37" borderId="67" xfId="0" applyFont="1" applyFill="1" applyBorder="1" applyAlignment="1">
      <alignment horizontal="center" vertical="top" wrapText="1"/>
    </xf>
    <xf numFmtId="0" fontId="4" fillId="37" borderId="108" xfId="0" applyFont="1" applyFill="1" applyBorder="1" applyAlignment="1">
      <alignment horizontal="center" vertical="top" wrapText="1"/>
    </xf>
    <xf numFmtId="0" fontId="4" fillId="37" borderId="62" xfId="0" applyFont="1" applyFill="1" applyBorder="1" applyAlignment="1">
      <alignment horizontal="center" vertical="top" wrapText="1"/>
    </xf>
    <xf numFmtId="0" fontId="4" fillId="37" borderId="61" xfId="0" applyFont="1" applyFill="1" applyBorder="1" applyAlignment="1">
      <alignment horizontal="center" vertical="top" wrapText="1"/>
    </xf>
    <xf numFmtId="0" fontId="4" fillId="37" borderId="132" xfId="0" applyFont="1" applyFill="1" applyBorder="1" applyAlignment="1">
      <alignment horizontal="center" vertical="top" wrapText="1"/>
    </xf>
    <xf numFmtId="166" fontId="5" fillId="0" borderId="73" xfId="406" applyNumberFormat="1" applyFont="1" applyFill="1" applyBorder="1" applyAlignment="1">
      <alignment horizontal="left"/>
      <protection/>
    </xf>
    <xf numFmtId="166" fontId="5" fillId="0" borderId="79" xfId="406" applyNumberFormat="1" applyFont="1" applyFill="1" applyBorder="1" applyAlignment="1">
      <alignment horizontal="left"/>
      <protection/>
    </xf>
    <xf numFmtId="0" fontId="4" fillId="37" borderId="27" xfId="0" applyFont="1" applyFill="1" applyBorder="1" applyAlignment="1">
      <alignment horizontal="left" vertical="top" wrapText="1"/>
    </xf>
    <xf numFmtId="0" fontId="4" fillId="37" borderId="28" xfId="0" applyFont="1" applyFill="1" applyBorder="1" applyAlignment="1">
      <alignment horizontal="left" vertical="top" wrapText="1"/>
    </xf>
    <xf numFmtId="0" fontId="4" fillId="37" borderId="69" xfId="0" applyFont="1" applyFill="1" applyBorder="1" applyAlignment="1">
      <alignment horizontal="left" vertical="top" wrapText="1"/>
    </xf>
    <xf numFmtId="166" fontId="5" fillId="0" borderId="28" xfId="406" applyNumberFormat="1" applyFont="1" applyFill="1" applyBorder="1" applyAlignment="1">
      <alignment horizontal="left"/>
      <protection/>
    </xf>
    <xf numFmtId="166" fontId="5" fillId="0" borderId="69" xfId="406" applyNumberFormat="1" applyFont="1" applyFill="1" applyBorder="1" applyAlignment="1">
      <alignment horizontal="left"/>
      <protection/>
    </xf>
    <xf numFmtId="0" fontId="4" fillId="37" borderId="94" xfId="0" applyFont="1" applyFill="1" applyBorder="1" applyAlignment="1">
      <alignment horizontal="center" vertical="top" wrapText="1"/>
    </xf>
    <xf numFmtId="0" fontId="4" fillId="37" borderId="95" xfId="0" applyFont="1" applyFill="1" applyBorder="1" applyAlignment="1">
      <alignment horizontal="center" vertical="top" wrapText="1"/>
    </xf>
    <xf numFmtId="0" fontId="4" fillId="37" borderId="93" xfId="0" applyFont="1" applyFill="1" applyBorder="1" applyAlignment="1">
      <alignment horizontal="center" vertical="top" wrapText="1"/>
    </xf>
    <xf numFmtId="0" fontId="4" fillId="37" borderId="87" xfId="0" applyFont="1" applyFill="1" applyBorder="1" applyAlignment="1">
      <alignment horizontal="center" vertical="top" wrapText="1"/>
    </xf>
    <xf numFmtId="0" fontId="4" fillId="37" borderId="85" xfId="0" applyFont="1" applyFill="1" applyBorder="1" applyAlignment="1">
      <alignment horizontal="center" vertical="top" wrapText="1"/>
    </xf>
    <xf numFmtId="0" fontId="4" fillId="37" borderId="16" xfId="0" applyFont="1" applyFill="1" applyBorder="1" applyAlignment="1">
      <alignment horizontal="center" vertical="top" wrapText="1"/>
    </xf>
    <xf numFmtId="0" fontId="5" fillId="0" borderId="47" xfId="0" applyFont="1" applyBorder="1" applyAlignment="1">
      <alignment horizontal="center"/>
    </xf>
    <xf numFmtId="0" fontId="5" fillId="0" borderId="68" xfId="0" applyFont="1" applyBorder="1" applyAlignment="1">
      <alignment horizontal="center"/>
    </xf>
    <xf numFmtId="0" fontId="5" fillId="0" borderId="48" xfId="0" applyFont="1" applyBorder="1" applyAlignment="1">
      <alignment horizontal="center"/>
    </xf>
    <xf numFmtId="166" fontId="4" fillId="37" borderId="47" xfId="406" applyNumberFormat="1" applyFont="1" applyFill="1" applyBorder="1" applyAlignment="1">
      <alignment horizontal="center"/>
      <protection/>
    </xf>
    <xf numFmtId="166" fontId="4" fillId="37" borderId="68" xfId="406" applyNumberFormat="1" applyFont="1" applyFill="1" applyBorder="1" applyAlignment="1">
      <alignment horizontal="center"/>
      <protection/>
    </xf>
    <xf numFmtId="166" fontId="4" fillId="37" borderId="62" xfId="406" applyNumberFormat="1" applyFont="1" applyFill="1" applyBorder="1" applyAlignment="1">
      <alignment horizontal="center"/>
      <protection/>
    </xf>
    <xf numFmtId="166" fontId="4" fillId="37" borderId="61" xfId="406" applyNumberFormat="1" applyFont="1" applyFill="1" applyBorder="1" applyAlignment="1">
      <alignment horizontal="center"/>
      <protection/>
    </xf>
    <xf numFmtId="166" fontId="4" fillId="37" borderId="133" xfId="406" applyNumberFormat="1" applyFont="1" applyFill="1" applyBorder="1" applyAlignment="1">
      <alignment horizontal="center"/>
      <protection/>
    </xf>
    <xf numFmtId="166" fontId="4" fillId="37" borderId="65" xfId="406" applyNumberFormat="1" applyFont="1" applyFill="1" applyBorder="1" applyAlignment="1">
      <alignment horizontal="center" vertical="top" wrapText="1"/>
      <protection/>
    </xf>
    <xf numFmtId="166" fontId="4" fillId="37" borderId="44" xfId="406" applyNumberFormat="1" applyFont="1" applyFill="1" applyBorder="1" applyAlignment="1">
      <alignment horizontal="center" vertical="top" wrapText="1"/>
      <protection/>
    </xf>
    <xf numFmtId="166" fontId="4" fillId="37" borderId="134" xfId="406" applyNumberFormat="1" applyFont="1" applyFill="1" applyBorder="1" applyAlignment="1">
      <alignment horizontal="center" vertical="top" wrapText="1"/>
      <protection/>
    </xf>
    <xf numFmtId="166" fontId="4" fillId="37" borderId="47" xfId="406" applyNumberFormat="1" applyFont="1" applyFill="1" applyBorder="1" applyAlignment="1">
      <alignment horizontal="center" vertical="top" wrapText="1"/>
      <protection/>
    </xf>
    <xf numFmtId="166" fontId="4" fillId="37" borderId="48" xfId="406" applyNumberFormat="1" applyFont="1" applyFill="1" applyBorder="1" applyAlignment="1">
      <alignment horizontal="center" vertical="top" wrapText="1"/>
      <protection/>
    </xf>
    <xf numFmtId="166" fontId="4" fillId="37" borderId="108" xfId="406" applyNumberFormat="1" applyFont="1" applyFill="1" applyBorder="1" applyAlignment="1">
      <alignment horizontal="center" vertical="top" wrapText="1"/>
      <protection/>
    </xf>
    <xf numFmtId="166" fontId="4" fillId="37" borderId="27" xfId="406" applyNumberFormat="1" applyFont="1" applyFill="1" applyBorder="1" applyAlignment="1">
      <alignment horizontal="center"/>
      <protection/>
    </xf>
    <xf numFmtId="166" fontId="4" fillId="37" borderId="28" xfId="406" applyNumberFormat="1" applyFont="1" applyFill="1" applyBorder="1" applyAlignment="1">
      <alignment horizontal="center"/>
      <protection/>
    </xf>
    <xf numFmtId="166" fontId="4" fillId="37" borderId="55" xfId="406" applyNumberFormat="1" applyFont="1" applyFill="1" applyBorder="1" applyAlignment="1">
      <alignment horizontal="center"/>
      <protection/>
    </xf>
    <xf numFmtId="0" fontId="4" fillId="37" borderId="47" xfId="406" applyNumberFormat="1" applyFont="1" applyFill="1" applyBorder="1" applyAlignment="1">
      <alignment horizontal="center" vertical="top"/>
      <protection/>
    </xf>
    <xf numFmtId="0" fontId="4" fillId="37" borderId="68" xfId="406" applyNumberFormat="1" applyFont="1" applyFill="1" applyBorder="1" applyAlignment="1">
      <alignment horizontal="center" vertical="top"/>
      <protection/>
    </xf>
    <xf numFmtId="0" fontId="4" fillId="37" borderId="108" xfId="406" applyNumberFormat="1" applyFont="1" applyFill="1" applyBorder="1" applyAlignment="1">
      <alignment horizontal="center" vertical="top"/>
      <protection/>
    </xf>
    <xf numFmtId="0" fontId="4" fillId="37" borderId="94" xfId="0" applyFont="1" applyFill="1" applyBorder="1" applyAlignment="1">
      <alignment horizontal="left" vertical="top" wrapText="1"/>
    </xf>
    <xf numFmtId="0" fontId="4" fillId="37" borderId="95" xfId="0" applyFont="1" applyFill="1" applyBorder="1" applyAlignment="1">
      <alignment horizontal="left" vertical="top" wrapText="1"/>
    </xf>
    <xf numFmtId="0" fontId="4" fillId="37" borderId="135" xfId="0" applyFont="1" applyFill="1" applyBorder="1" applyAlignment="1">
      <alignment horizontal="left" vertical="top" wrapText="1"/>
    </xf>
    <xf numFmtId="0" fontId="4" fillId="37" borderId="87" xfId="0" applyFont="1" applyFill="1" applyBorder="1" applyAlignment="1">
      <alignment horizontal="left" vertical="top" wrapText="1"/>
    </xf>
    <xf numFmtId="0" fontId="4" fillId="37" borderId="46" xfId="0" applyFont="1" applyFill="1" applyBorder="1" applyAlignment="1">
      <alignment horizontal="left" vertical="top" wrapText="1"/>
    </xf>
    <xf numFmtId="0" fontId="4" fillId="37" borderId="2" xfId="0" applyFont="1" applyFill="1" applyBorder="1" applyAlignment="1">
      <alignment horizontal="left" vertical="top" wrapText="1"/>
    </xf>
    <xf numFmtId="0" fontId="4" fillId="37" borderId="55" xfId="0" applyFont="1" applyFill="1" applyBorder="1" applyAlignment="1">
      <alignment horizontal="center" wrapText="1"/>
    </xf>
    <xf numFmtId="0" fontId="5" fillId="0" borderId="136" xfId="0" applyFont="1" applyBorder="1" applyAlignment="1">
      <alignment horizontal="center" vertical="center"/>
    </xf>
    <xf numFmtId="0" fontId="5" fillId="0" borderId="92" xfId="0" applyFont="1" applyBorder="1" applyAlignment="1">
      <alignment horizontal="center" vertical="center"/>
    </xf>
    <xf numFmtId="166" fontId="4" fillId="0" borderId="0" xfId="406" applyNumberFormat="1" applyFont="1" applyFill="1" applyBorder="1" applyAlignment="1">
      <alignment horizontal="center"/>
      <protection/>
    </xf>
    <xf numFmtId="166" fontId="4" fillId="37" borderId="137" xfId="406" applyNumberFormat="1" applyFont="1" applyFill="1" applyBorder="1" applyAlignment="1">
      <alignment horizontal="center"/>
      <protection/>
    </xf>
    <xf numFmtId="166" fontId="4" fillId="37" borderId="132" xfId="406" applyNumberFormat="1" applyFont="1" applyFill="1" applyBorder="1" applyAlignment="1">
      <alignment horizontal="center"/>
      <protection/>
    </xf>
    <xf numFmtId="166" fontId="4" fillId="37" borderId="35" xfId="406" applyNumberFormat="1" applyFont="1" applyFill="1" applyBorder="1" applyAlignment="1">
      <alignment horizontal="center"/>
      <protection/>
    </xf>
    <xf numFmtId="166" fontId="4" fillId="37" borderId="60" xfId="406" applyNumberFormat="1" applyFont="1" applyFill="1" applyBorder="1" applyAlignment="1">
      <alignment horizontal="center"/>
      <protection/>
    </xf>
    <xf numFmtId="166" fontId="4" fillId="37" borderId="56" xfId="406" applyNumberFormat="1" applyFont="1" applyFill="1" applyBorder="1" applyAlignment="1">
      <alignment horizontal="center"/>
      <protection/>
    </xf>
    <xf numFmtId="0" fontId="5" fillId="0" borderId="82" xfId="0" applyFont="1" applyBorder="1" applyAlignment="1">
      <alignment horizontal="center"/>
    </xf>
    <xf numFmtId="0" fontId="5" fillId="0" borderId="136" xfId="0" applyFont="1" applyBorder="1" applyAlignment="1">
      <alignment horizontal="center"/>
    </xf>
    <xf numFmtId="166" fontId="4" fillId="37" borderId="48" xfId="406" applyNumberFormat="1" applyFont="1" applyFill="1" applyBorder="1" applyAlignment="1">
      <alignment horizontal="center"/>
      <protection/>
    </xf>
    <xf numFmtId="166" fontId="5" fillId="67" borderId="28" xfId="406" applyNumberFormat="1" applyFont="1" applyFill="1" applyBorder="1" applyAlignment="1">
      <alignment horizontal="left" vertical="top" wrapText="1"/>
      <protection/>
    </xf>
    <xf numFmtId="166" fontId="5" fillId="67" borderId="101" xfId="406" applyNumberFormat="1" applyFont="1" applyFill="1" applyBorder="1" applyAlignment="1">
      <alignment horizontal="left" vertical="top" wrapText="1"/>
      <protection/>
    </xf>
    <xf numFmtId="166" fontId="5" fillId="67" borderId="0" xfId="406" applyNumberFormat="1" applyFont="1" applyFill="1" applyBorder="1" applyAlignment="1">
      <alignment horizontal="left" vertical="top" wrapText="1"/>
      <protection/>
    </xf>
    <xf numFmtId="166" fontId="5" fillId="67" borderId="57" xfId="406" applyNumberFormat="1" applyFont="1" applyFill="1" applyBorder="1" applyAlignment="1">
      <alignment horizontal="left" vertical="top" wrapText="1"/>
      <protection/>
    </xf>
    <xf numFmtId="166" fontId="7" fillId="0" borderId="0" xfId="299" applyNumberFormat="1" applyFill="1" applyBorder="1" applyAlignment="1" applyProtection="1">
      <alignment horizontal="left" vertical="top" wrapText="1"/>
      <protection/>
    </xf>
    <xf numFmtId="166" fontId="5" fillId="0" borderId="0" xfId="406" applyNumberFormat="1" applyFont="1" applyFill="1" applyBorder="1" applyAlignment="1">
      <alignment horizontal="left" vertical="top" wrapText="1"/>
      <protection/>
    </xf>
    <xf numFmtId="166" fontId="5" fillId="0" borderId="57" xfId="406" applyNumberFormat="1" applyFont="1" applyFill="1" applyBorder="1" applyAlignment="1">
      <alignment horizontal="left" vertical="top" wrapText="1"/>
      <protection/>
    </xf>
    <xf numFmtId="166" fontId="5" fillId="0" borderId="73" xfId="406" applyNumberFormat="1" applyFont="1" applyFill="1" applyBorder="1" applyAlignment="1">
      <alignment horizontal="left" vertical="top" wrapText="1"/>
      <protection/>
    </xf>
    <xf numFmtId="166" fontId="5" fillId="0" borderId="81" xfId="406" applyNumberFormat="1" applyFont="1" applyFill="1" applyBorder="1" applyAlignment="1">
      <alignment horizontal="left" vertical="top" wrapText="1"/>
      <protection/>
    </xf>
    <xf numFmtId="166" fontId="51" fillId="37" borderId="136" xfId="406" applyNumberFormat="1" applyFont="1" applyFill="1" applyBorder="1" applyAlignment="1">
      <alignment horizontal="left"/>
      <protection/>
    </xf>
    <xf numFmtId="166" fontId="51" fillId="37" borderId="138" xfId="406" applyNumberFormat="1" applyFont="1" applyFill="1" applyBorder="1" applyAlignment="1">
      <alignment horizontal="left"/>
      <protection/>
    </xf>
    <xf numFmtId="0" fontId="5" fillId="0" borderId="92" xfId="0" applyFont="1" applyBorder="1" applyAlignment="1">
      <alignment horizontal="center"/>
    </xf>
    <xf numFmtId="0" fontId="4" fillId="37" borderId="137" xfId="406" applyNumberFormat="1" applyFont="1" applyFill="1" applyBorder="1" applyAlignment="1">
      <alignment horizontal="center" vertical="top"/>
      <protection/>
    </xf>
    <xf numFmtId="0" fontId="4" fillId="37" borderId="61" xfId="406" applyNumberFormat="1" applyFont="1" applyFill="1" applyBorder="1" applyAlignment="1">
      <alignment horizontal="center" vertical="top"/>
      <protection/>
    </xf>
    <xf numFmtId="0" fontId="4" fillId="37" borderId="132" xfId="406" applyNumberFormat="1" applyFont="1" applyFill="1" applyBorder="1" applyAlignment="1">
      <alignment horizontal="center" vertical="top"/>
      <protection/>
    </xf>
    <xf numFmtId="166" fontId="4" fillId="37" borderId="59" xfId="406" applyNumberFormat="1" applyFont="1" applyFill="1" applyBorder="1" applyAlignment="1">
      <alignment horizontal="center" vertical="top"/>
      <protection/>
    </xf>
    <xf numFmtId="166" fontId="4" fillId="37" borderId="56" xfId="406" applyNumberFormat="1" applyFont="1" applyFill="1" applyBorder="1" applyAlignment="1">
      <alignment horizontal="center" vertical="top"/>
      <protection/>
    </xf>
    <xf numFmtId="166" fontId="4" fillId="37" borderId="71" xfId="406" applyNumberFormat="1" applyFont="1" applyFill="1" applyBorder="1" applyAlignment="1">
      <alignment horizontal="center" vertical="top"/>
      <protection/>
    </xf>
    <xf numFmtId="166" fontId="4" fillId="37" borderId="81" xfId="406" applyNumberFormat="1" applyFont="1" applyFill="1" applyBorder="1" applyAlignment="1">
      <alignment horizontal="center" vertical="top"/>
      <protection/>
    </xf>
    <xf numFmtId="166" fontId="4" fillId="37" borderId="69" xfId="406" applyNumberFormat="1" applyFont="1" applyFill="1" applyBorder="1" applyAlignment="1">
      <alignment horizontal="center"/>
      <protection/>
    </xf>
    <xf numFmtId="0" fontId="4" fillId="37" borderId="99" xfId="406" applyNumberFormat="1" applyFont="1" applyFill="1" applyBorder="1" applyAlignment="1">
      <alignment horizontal="center" vertical="top"/>
      <protection/>
    </xf>
    <xf numFmtId="0" fontId="4" fillId="37" borderId="47" xfId="0" applyFont="1" applyFill="1" applyBorder="1" applyAlignment="1">
      <alignment horizontal="center" wrapText="1"/>
    </xf>
    <xf numFmtId="0" fontId="4" fillId="37" borderId="48" xfId="0" applyFont="1" applyFill="1" applyBorder="1" applyAlignment="1">
      <alignment horizontal="center" wrapText="1"/>
    </xf>
    <xf numFmtId="0" fontId="4" fillId="37" borderId="68" xfId="0" applyFont="1" applyFill="1" applyBorder="1" applyAlignment="1">
      <alignment horizontal="center" wrapText="1"/>
    </xf>
    <xf numFmtId="166" fontId="4" fillId="37" borderId="82" xfId="406" applyNumberFormat="1" applyFont="1" applyFill="1" applyBorder="1" applyAlignment="1">
      <alignment horizontal="center"/>
      <protection/>
    </xf>
    <xf numFmtId="166" fontId="4" fillId="37" borderId="136" xfId="406" applyNumberFormat="1" applyFont="1" applyFill="1" applyBorder="1" applyAlignment="1">
      <alignment horizontal="center"/>
      <protection/>
    </xf>
    <xf numFmtId="166" fontId="4" fillId="37" borderId="99" xfId="406" applyNumberFormat="1" applyFont="1" applyFill="1" applyBorder="1" applyAlignment="1">
      <alignment horizontal="center"/>
      <protection/>
    </xf>
    <xf numFmtId="0" fontId="4" fillId="37" borderId="94" xfId="0" applyFont="1" applyFill="1" applyBorder="1" applyAlignment="1">
      <alignment horizontal="center" vertical="top" wrapText="1"/>
    </xf>
    <xf numFmtId="0" fontId="4" fillId="37" borderId="95" xfId="0" applyFont="1" applyFill="1" applyBorder="1" applyAlignment="1">
      <alignment horizontal="center" vertical="top" wrapText="1"/>
    </xf>
    <xf numFmtId="0" fontId="4" fillId="37" borderId="93" xfId="0" applyFont="1" applyFill="1" applyBorder="1" applyAlignment="1">
      <alignment horizontal="center" vertical="top" wrapText="1"/>
    </xf>
    <xf numFmtId="0" fontId="4" fillId="37" borderId="87" xfId="0" applyFont="1" applyFill="1" applyBorder="1" applyAlignment="1">
      <alignment horizontal="center" vertical="top" wrapText="1"/>
    </xf>
    <xf numFmtId="0" fontId="4" fillId="37" borderId="46" xfId="0" applyFont="1" applyFill="1" applyBorder="1" applyAlignment="1">
      <alignment horizontal="center" vertical="top" wrapText="1"/>
    </xf>
    <xf numFmtId="0" fontId="4" fillId="37" borderId="85" xfId="0" applyFont="1" applyFill="1" applyBorder="1" applyAlignment="1">
      <alignment horizontal="center" vertical="top" wrapText="1"/>
    </xf>
    <xf numFmtId="166" fontId="4" fillId="37" borderId="35" xfId="406" applyNumberFormat="1" applyFont="1" applyFill="1" applyBorder="1" applyAlignment="1">
      <alignment horizontal="center" vertical="center"/>
      <protection/>
    </xf>
    <xf numFmtId="166" fontId="4" fillId="37" borderId="60" xfId="406" applyNumberFormat="1" applyFont="1" applyFill="1" applyBorder="1" applyAlignment="1">
      <alignment horizontal="center" vertical="center"/>
      <protection/>
    </xf>
    <xf numFmtId="166" fontId="4" fillId="37" borderId="86" xfId="406" applyNumberFormat="1" applyFont="1" applyFill="1" applyBorder="1" applyAlignment="1">
      <alignment horizontal="center" vertical="center"/>
      <protection/>
    </xf>
    <xf numFmtId="166" fontId="4" fillId="37" borderId="102" xfId="406" applyNumberFormat="1" applyFont="1" applyFill="1" applyBorder="1" applyAlignment="1">
      <alignment horizontal="center" vertical="top"/>
      <protection/>
    </xf>
    <xf numFmtId="166" fontId="4" fillId="37" borderId="73" xfId="406" applyNumberFormat="1" applyFont="1" applyFill="1" applyBorder="1" applyAlignment="1">
      <alignment horizontal="center" vertical="top"/>
      <protection/>
    </xf>
    <xf numFmtId="166" fontId="4" fillId="37" borderId="79" xfId="406" applyNumberFormat="1" applyFont="1" applyFill="1" applyBorder="1" applyAlignment="1">
      <alignment horizontal="center" vertical="top"/>
      <protection/>
    </xf>
    <xf numFmtId="166" fontId="4" fillId="37" borderId="62" xfId="406" applyNumberFormat="1" applyFont="1" applyFill="1" applyBorder="1" applyAlignment="1">
      <alignment horizontal="center" wrapText="1"/>
      <protection/>
    </xf>
    <xf numFmtId="166" fontId="4" fillId="37" borderId="61" xfId="406" applyNumberFormat="1" applyFont="1" applyFill="1" applyBorder="1" applyAlignment="1">
      <alignment horizontal="center" wrapText="1"/>
      <protection/>
    </xf>
    <xf numFmtId="166" fontId="4" fillId="37" borderId="132" xfId="406" applyNumberFormat="1" applyFont="1" applyFill="1" applyBorder="1" applyAlignment="1">
      <alignment horizontal="center" wrapText="1"/>
      <protection/>
    </xf>
    <xf numFmtId="0" fontId="3" fillId="66" borderId="1" xfId="0" applyFont="1" applyFill="1" applyBorder="1" applyAlignment="1">
      <alignment horizontal="left" vertical="center"/>
    </xf>
    <xf numFmtId="0" fontId="4" fillId="37" borderId="55" xfId="0" applyFont="1" applyFill="1" applyBorder="1" applyAlignment="1">
      <alignment horizontal="center" vertical="center" wrapText="1"/>
    </xf>
    <xf numFmtId="0" fontId="4" fillId="37" borderId="2" xfId="0" applyFont="1" applyFill="1" applyBorder="1" applyAlignment="1">
      <alignment horizontal="center" vertical="center" wrapText="1"/>
    </xf>
    <xf numFmtId="0" fontId="4" fillId="37" borderId="27" xfId="0" applyFont="1" applyFill="1" applyBorder="1" applyAlignment="1">
      <alignment horizontal="center" vertical="center" wrapText="1"/>
    </xf>
    <xf numFmtId="0" fontId="4" fillId="37" borderId="69" xfId="0" applyFont="1" applyFill="1" applyBorder="1" applyAlignment="1">
      <alignment horizontal="center" vertical="center" wrapText="1"/>
    </xf>
    <xf numFmtId="0" fontId="4" fillId="37" borderId="71" xfId="0" applyFont="1" applyFill="1" applyBorder="1" applyAlignment="1">
      <alignment horizontal="center" vertical="center" wrapText="1"/>
    </xf>
    <xf numFmtId="0" fontId="4" fillId="37" borderId="79" xfId="0" applyFont="1" applyFill="1" applyBorder="1" applyAlignment="1">
      <alignment horizontal="center" vertical="center" wrapText="1"/>
    </xf>
    <xf numFmtId="0" fontId="3" fillId="50" borderId="55" xfId="0" applyFont="1" applyFill="1" applyBorder="1" applyAlignment="1">
      <alignment horizontal="left" vertical="center"/>
    </xf>
    <xf numFmtId="0" fontId="3" fillId="50" borderId="46" xfId="0" applyFont="1" applyFill="1" applyBorder="1" applyAlignment="1">
      <alignment horizontal="left" vertical="center"/>
    </xf>
    <xf numFmtId="0" fontId="3" fillId="50" borderId="2" xfId="0" applyFont="1" applyFill="1" applyBorder="1" applyAlignment="1">
      <alignment horizontal="left" vertical="center"/>
    </xf>
    <xf numFmtId="0" fontId="4" fillId="37" borderId="1" xfId="0" applyFont="1" applyFill="1" applyBorder="1" applyAlignment="1">
      <alignment horizontal="center" vertical="center" wrapText="1"/>
    </xf>
    <xf numFmtId="0" fontId="4" fillId="37" borderId="46" xfId="0" applyFont="1" applyFill="1" applyBorder="1" applyAlignment="1">
      <alignment horizontal="center" vertical="center" wrapText="1"/>
    </xf>
    <xf numFmtId="0" fontId="5" fillId="67" borderId="47" xfId="0" applyFont="1" applyFill="1" applyBorder="1" applyAlignment="1">
      <alignment horizontal="left" vertical="center"/>
    </xf>
    <xf numFmtId="0" fontId="5" fillId="67" borderId="68" xfId="0" applyFont="1" applyFill="1" applyBorder="1" applyAlignment="1">
      <alignment horizontal="left" vertical="center"/>
    </xf>
    <xf numFmtId="0" fontId="7" fillId="67" borderId="47" xfId="299" applyFill="1" applyBorder="1" applyAlignment="1" applyProtection="1">
      <alignment horizontal="left" vertical="center"/>
      <protection/>
    </xf>
    <xf numFmtId="0" fontId="3" fillId="50" borderId="47" xfId="0" applyFont="1" applyFill="1" applyBorder="1" applyAlignment="1">
      <alignment vertical="center" wrapText="1"/>
    </xf>
    <xf numFmtId="0" fontId="3" fillId="50" borderId="68" xfId="0" applyFont="1" applyFill="1" applyBorder="1" applyAlignment="1">
      <alignment vertical="center" wrapText="1"/>
    </xf>
    <xf numFmtId="0" fontId="5" fillId="0" borderId="89"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34" xfId="0" applyFont="1" applyBorder="1" applyAlignment="1">
      <alignment horizontal="center" vertical="center" wrapText="1"/>
    </xf>
    <xf numFmtId="0" fontId="5" fillId="0" borderId="1" xfId="0" applyNumberFormat="1" applyFont="1" applyBorder="1" applyAlignment="1">
      <alignment horizontal="left" vertical="center" wrapText="1"/>
    </xf>
    <xf numFmtId="0" fontId="3" fillId="50" borderId="1" xfId="0" applyFont="1" applyFill="1" applyBorder="1" applyAlignment="1">
      <alignment vertical="center" wrapText="1"/>
    </xf>
    <xf numFmtId="0" fontId="4" fillId="37" borderId="47" xfId="0" applyFont="1" applyFill="1" applyBorder="1" applyAlignment="1">
      <alignment vertical="center" wrapText="1"/>
    </xf>
    <xf numFmtId="0" fontId="4" fillId="37" borderId="68" xfId="0" applyFont="1" applyFill="1" applyBorder="1" applyAlignment="1">
      <alignment vertical="center" wrapText="1"/>
    </xf>
    <xf numFmtId="0" fontId="5" fillId="0" borderId="5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3" fillId="50" borderId="55" xfId="0" applyFont="1" applyFill="1" applyBorder="1" applyAlignment="1">
      <alignment horizontal="left" vertical="center" wrapText="1"/>
    </xf>
    <xf numFmtId="0" fontId="3" fillId="50" borderId="46" xfId="0" applyFont="1" applyFill="1" applyBorder="1" applyAlignment="1">
      <alignment horizontal="left" vertical="center" wrapText="1"/>
    </xf>
    <xf numFmtId="0" fontId="3" fillId="50" borderId="2" xfId="0" applyFont="1" applyFill="1" applyBorder="1" applyAlignment="1">
      <alignment horizontal="left" vertical="center" wrapText="1"/>
    </xf>
    <xf numFmtId="0" fontId="3" fillId="50" borderId="55" xfId="0" applyFont="1" applyFill="1" applyBorder="1" applyAlignment="1">
      <alignment vertical="center" wrapText="1"/>
    </xf>
    <xf numFmtId="0" fontId="3" fillId="50" borderId="46" xfId="0" applyFont="1" applyFill="1" applyBorder="1" applyAlignment="1">
      <alignment vertical="center" wrapText="1"/>
    </xf>
    <xf numFmtId="0" fontId="3" fillId="50" borderId="2" xfId="0" applyFont="1" applyFill="1" applyBorder="1" applyAlignment="1">
      <alignment vertical="center" wrapText="1"/>
    </xf>
  </cellXfs>
  <cellStyles count="505">
    <cellStyle name="Normal" xfId="0"/>
    <cellStyle name="%" xfId="15"/>
    <cellStyle name="20% - Accent1" xfId="16"/>
    <cellStyle name="20% - Accent1 2" xfId="17"/>
    <cellStyle name="20% - Accent1 2 2" xfId="18"/>
    <cellStyle name="20% - Accent1 2 2 2" xfId="19"/>
    <cellStyle name="20% - Accent1 2 2 3" xfId="20"/>
    <cellStyle name="20% - Accent1 2 3" xfId="21"/>
    <cellStyle name="20% - Accent1 2 4" xfId="22"/>
    <cellStyle name="20% - Accent2" xfId="23"/>
    <cellStyle name="20% - Accent2 2" xfId="24"/>
    <cellStyle name="20% - Accent2 2 2" xfId="25"/>
    <cellStyle name="20% - Accent2 2 2 2" xfId="26"/>
    <cellStyle name="20% - Accent2 2 2 3" xfId="27"/>
    <cellStyle name="20% - Accent2 2 3" xfId="28"/>
    <cellStyle name="20% - Accent2 2 4" xfId="29"/>
    <cellStyle name="20% - Accent3" xfId="30"/>
    <cellStyle name="20% - Accent3 2" xfId="31"/>
    <cellStyle name="20% - Accent3 2 2" xfId="32"/>
    <cellStyle name="20% - Accent3 2 2 2" xfId="33"/>
    <cellStyle name="20% - Accent3 2 2 3" xfId="34"/>
    <cellStyle name="20% - Accent3 2 3" xfId="35"/>
    <cellStyle name="20% - Accent3 2 4" xfId="36"/>
    <cellStyle name="20% - Accent4" xfId="37"/>
    <cellStyle name="20% - Accent4 2" xfId="38"/>
    <cellStyle name="20% - Accent4 2 2" xfId="39"/>
    <cellStyle name="20% - Accent4 2 2 2" xfId="40"/>
    <cellStyle name="20% - Accent4 2 2 3" xfId="41"/>
    <cellStyle name="20% - Accent4 2 3" xfId="42"/>
    <cellStyle name="20% - Accent4 2 4" xfId="43"/>
    <cellStyle name="20% - Accent5" xfId="44"/>
    <cellStyle name="20% - Accent5 2" xfId="45"/>
    <cellStyle name="20% - Accent5 2 2" xfId="46"/>
    <cellStyle name="20% - Accent5 2 2 2" xfId="47"/>
    <cellStyle name="20% - Accent5 2 2 3" xfId="48"/>
    <cellStyle name="20% - Accent5 2 3" xfId="49"/>
    <cellStyle name="20% - Accent5 2 4" xfId="50"/>
    <cellStyle name="20% - Accent6" xfId="51"/>
    <cellStyle name="20% - Accent6 2" xfId="52"/>
    <cellStyle name="20% - Accent6 2 2" xfId="53"/>
    <cellStyle name="20% - Accent6 2 2 2" xfId="54"/>
    <cellStyle name="20% - Accent6 2 2 3" xfId="55"/>
    <cellStyle name="20% - Accent6 2 3" xfId="56"/>
    <cellStyle name="20% - Accent6 2 4" xfId="57"/>
    <cellStyle name="40% - Accent1" xfId="58"/>
    <cellStyle name="40% - Accent1 2" xfId="59"/>
    <cellStyle name="40% - Accent1 2 2" xfId="60"/>
    <cellStyle name="40% - Accent1 2 2 2" xfId="61"/>
    <cellStyle name="40% - Accent1 2 2 3" xfId="62"/>
    <cellStyle name="40% - Accent1 2 3" xfId="63"/>
    <cellStyle name="40% - Accent1 2 4" xfId="64"/>
    <cellStyle name="40% - Accent2" xfId="65"/>
    <cellStyle name="40% - Accent2 2" xfId="66"/>
    <cellStyle name="40% - Accent2 2 2" xfId="67"/>
    <cellStyle name="40% - Accent2 2 2 2" xfId="68"/>
    <cellStyle name="40% - Accent2 2 2 3" xfId="69"/>
    <cellStyle name="40% - Accent2 2 3" xfId="70"/>
    <cellStyle name="40% - Accent2 2 4" xfId="71"/>
    <cellStyle name="40% - Accent3" xfId="72"/>
    <cellStyle name="40% - Accent3 2" xfId="73"/>
    <cellStyle name="40% - Accent3 2 2" xfId="74"/>
    <cellStyle name="40% - Accent3 2 2 2" xfId="75"/>
    <cellStyle name="40% - Accent3 2 2 3" xfId="76"/>
    <cellStyle name="40% - Accent3 2 3" xfId="77"/>
    <cellStyle name="40% - Accent3 2 4" xfId="78"/>
    <cellStyle name="40% - Accent4" xfId="79"/>
    <cellStyle name="40% - Accent4 2" xfId="80"/>
    <cellStyle name="40% - Accent4 2 2" xfId="81"/>
    <cellStyle name="40% - Accent4 2 2 2" xfId="82"/>
    <cellStyle name="40% - Accent4 2 2 3" xfId="83"/>
    <cellStyle name="40% - Accent4 2 3" xfId="84"/>
    <cellStyle name="40% - Accent4 2 4" xfId="85"/>
    <cellStyle name="40% - Accent5" xfId="86"/>
    <cellStyle name="40% - Accent5 2" xfId="87"/>
    <cellStyle name="40% - Accent5 2 2" xfId="88"/>
    <cellStyle name="40% - Accent5 2 2 2" xfId="89"/>
    <cellStyle name="40% - Accent5 2 2 3" xfId="90"/>
    <cellStyle name="40% - Accent5 2 3" xfId="91"/>
    <cellStyle name="40% - Accent5 2 4" xfId="92"/>
    <cellStyle name="40% - Accent6" xfId="93"/>
    <cellStyle name="40% - Accent6 2" xfId="94"/>
    <cellStyle name="40% - Accent6 2 2" xfId="95"/>
    <cellStyle name="40% - Accent6 2 2 2" xfId="96"/>
    <cellStyle name="40% - Accent6 2 2 3" xfId="97"/>
    <cellStyle name="40% - Accent6 2 3" xfId="98"/>
    <cellStyle name="40% - Accent6 2 4" xfId="99"/>
    <cellStyle name="5x indented GHG Textfiels" xfId="100"/>
    <cellStyle name="60% - Accent1" xfId="101"/>
    <cellStyle name="60% - Accent1 2" xfId="102"/>
    <cellStyle name="60% - Accent1 2 2" xfId="103"/>
    <cellStyle name="60% - Accent1 2 2 2" xfId="104"/>
    <cellStyle name="60% - Accent1 2 2 3" xfId="105"/>
    <cellStyle name="60% - Accent1 2 3" xfId="106"/>
    <cellStyle name="60% - Accent1 2 4" xfId="107"/>
    <cellStyle name="60% - Accent2" xfId="108"/>
    <cellStyle name="60% - Accent2 2" xfId="109"/>
    <cellStyle name="60% - Accent2 2 2" xfId="110"/>
    <cellStyle name="60% - Accent2 2 2 2" xfId="111"/>
    <cellStyle name="60% - Accent2 2 2 3" xfId="112"/>
    <cellStyle name="60% - Accent2 2 3" xfId="113"/>
    <cellStyle name="60% - Accent2 2 4" xfId="114"/>
    <cellStyle name="60% - Accent3" xfId="115"/>
    <cellStyle name="60% - Accent3 2" xfId="116"/>
    <cellStyle name="60% - Accent3 2 2" xfId="117"/>
    <cellStyle name="60% - Accent3 2 2 2" xfId="118"/>
    <cellStyle name="60% - Accent3 2 2 3" xfId="119"/>
    <cellStyle name="60% - Accent3 2 3" xfId="120"/>
    <cellStyle name="60% - Accent3 2 4" xfId="121"/>
    <cellStyle name="60% - Accent4" xfId="122"/>
    <cellStyle name="60% - Accent4 2" xfId="123"/>
    <cellStyle name="60% - Accent4 2 2" xfId="124"/>
    <cellStyle name="60% - Accent4 2 2 2" xfId="125"/>
    <cellStyle name="60% - Accent4 2 2 3" xfId="126"/>
    <cellStyle name="60% - Accent4 2 3" xfId="127"/>
    <cellStyle name="60% - Accent4 2 4" xfId="128"/>
    <cellStyle name="60% - Accent5" xfId="129"/>
    <cellStyle name="60% - Accent5 2" xfId="130"/>
    <cellStyle name="60% - Accent5 2 2" xfId="131"/>
    <cellStyle name="60% - Accent5 2 2 2" xfId="132"/>
    <cellStyle name="60% - Accent5 2 2 3" xfId="133"/>
    <cellStyle name="60% - Accent5 2 3" xfId="134"/>
    <cellStyle name="60% - Accent5 2 4" xfId="135"/>
    <cellStyle name="60% - Accent6" xfId="136"/>
    <cellStyle name="60% - Accent6 2" xfId="137"/>
    <cellStyle name="60% - Accent6 2 2" xfId="138"/>
    <cellStyle name="60% - Accent6 2 2 2" xfId="139"/>
    <cellStyle name="60% - Accent6 2 2 3" xfId="140"/>
    <cellStyle name="60% - Accent6 2 3" xfId="141"/>
    <cellStyle name="60% - Accent6 2 4" xfId="142"/>
    <cellStyle name="Accent1" xfId="143"/>
    <cellStyle name="Accent1 2" xfId="144"/>
    <cellStyle name="Accent1 2 2" xfId="145"/>
    <cellStyle name="Accent1 2 2 2" xfId="146"/>
    <cellStyle name="Accent1 2 2 3" xfId="147"/>
    <cellStyle name="Accent1 2 3" xfId="148"/>
    <cellStyle name="Accent1 2 4" xfId="149"/>
    <cellStyle name="Accent2" xfId="150"/>
    <cellStyle name="Accent2 2" xfId="151"/>
    <cellStyle name="Accent2 2 2" xfId="152"/>
    <cellStyle name="Accent2 2 2 2" xfId="153"/>
    <cellStyle name="Accent2 2 2 3" xfId="154"/>
    <cellStyle name="Accent2 2 3" xfId="155"/>
    <cellStyle name="Accent2 2 4" xfId="156"/>
    <cellStyle name="Accent3" xfId="157"/>
    <cellStyle name="Accent3 2" xfId="158"/>
    <cellStyle name="Accent3 2 2" xfId="159"/>
    <cellStyle name="Accent3 2 2 2" xfId="160"/>
    <cellStyle name="Accent3 2 2 3" xfId="161"/>
    <cellStyle name="Accent3 2 3" xfId="162"/>
    <cellStyle name="Accent3 2 4" xfId="163"/>
    <cellStyle name="Accent4" xfId="164"/>
    <cellStyle name="Accent4 2" xfId="165"/>
    <cellStyle name="Accent4 2 2" xfId="166"/>
    <cellStyle name="Accent4 2 2 2" xfId="167"/>
    <cellStyle name="Accent4 2 2 3" xfId="168"/>
    <cellStyle name="Accent4 2 3" xfId="169"/>
    <cellStyle name="Accent4 2 4" xfId="170"/>
    <cellStyle name="Accent5" xfId="171"/>
    <cellStyle name="Accent5 2" xfId="172"/>
    <cellStyle name="Accent5 2 2" xfId="173"/>
    <cellStyle name="Accent5 2 2 2" xfId="174"/>
    <cellStyle name="Accent5 2 2 3" xfId="175"/>
    <cellStyle name="Accent5 2 3" xfId="176"/>
    <cellStyle name="Accent5 2 4" xfId="177"/>
    <cellStyle name="Accent6" xfId="178"/>
    <cellStyle name="Accent6 2" xfId="179"/>
    <cellStyle name="Accent6 2 2" xfId="180"/>
    <cellStyle name="Accent6 2 2 2" xfId="181"/>
    <cellStyle name="Accent6 2 2 3" xfId="182"/>
    <cellStyle name="Accent6 2 3" xfId="183"/>
    <cellStyle name="Accent6 2 4" xfId="184"/>
    <cellStyle name="AggblueCels_1x" xfId="185"/>
    <cellStyle name="Bad" xfId="186"/>
    <cellStyle name="Bad 2" xfId="187"/>
    <cellStyle name="Bad 2 2" xfId="188"/>
    <cellStyle name="Bad 2 2 2" xfId="189"/>
    <cellStyle name="Bad 2 2 3" xfId="190"/>
    <cellStyle name="Bad 2 3" xfId="191"/>
    <cellStyle name="Bad 2 4" xfId="192"/>
    <cellStyle name="Bad 2 5" xfId="193"/>
    <cellStyle name="Bold GHG Numbers (0.00)" xfId="194"/>
    <cellStyle name="Calculation" xfId="195"/>
    <cellStyle name="Calculation 2" xfId="196"/>
    <cellStyle name="Calculation 2 2" xfId="197"/>
    <cellStyle name="Calculation 2 2 2" xfId="198"/>
    <cellStyle name="Calculation 2 2 2 2" xfId="199"/>
    <cellStyle name="Calculation 2 2 2 3" xfId="200"/>
    <cellStyle name="Calculation 2 3" xfId="201"/>
    <cellStyle name="Calculation 2 3 2" xfId="202"/>
    <cellStyle name="Calculation 2 3 2 2" xfId="203"/>
    <cellStyle name="Calculation 2 3 2 3" xfId="204"/>
    <cellStyle name="Calculation 2 4" xfId="205"/>
    <cellStyle name="Calculation 2 4 2" xfId="206"/>
    <cellStyle name="Calculation 2 4 3" xfId="207"/>
    <cellStyle name="Calculation 2 5" xfId="208"/>
    <cellStyle name="Calculation 2 6" xfId="209"/>
    <cellStyle name="Check Cell" xfId="210"/>
    <cellStyle name="Check Cell 2" xfId="211"/>
    <cellStyle name="Check Cell 2 2" xfId="212"/>
    <cellStyle name="Check Cell 2 2 2" xfId="213"/>
    <cellStyle name="Check Cell 2 2 3" xfId="214"/>
    <cellStyle name="Check Cell 2 3" xfId="215"/>
    <cellStyle name="Check Cell 2 4" xfId="216"/>
    <cellStyle name="Comma" xfId="217"/>
    <cellStyle name="Comma [0]" xfId="218"/>
    <cellStyle name="Comma 10" xfId="219"/>
    <cellStyle name="Comma 11" xfId="220"/>
    <cellStyle name="Comma 11 2" xfId="221"/>
    <cellStyle name="Comma 12" xfId="222"/>
    <cellStyle name="Comma 13" xfId="223"/>
    <cellStyle name="Comma 14" xfId="224"/>
    <cellStyle name="Comma 15" xfId="225"/>
    <cellStyle name="Comma 16" xfId="226"/>
    <cellStyle name="Comma 17" xfId="227"/>
    <cellStyle name="Comma 18" xfId="228"/>
    <cellStyle name="Comma 19" xfId="229"/>
    <cellStyle name="Comma 2" xfId="230"/>
    <cellStyle name="Comma 2 2" xfId="231"/>
    <cellStyle name="Comma 2 3" xfId="232"/>
    <cellStyle name="Comma 2 3 2" xfId="233"/>
    <cellStyle name="Comma 2 3 3" xfId="234"/>
    <cellStyle name="Comma 2 4" xfId="235"/>
    <cellStyle name="Comma 2 5" xfId="236"/>
    <cellStyle name="Comma 2 6" xfId="237"/>
    <cellStyle name="Comma 20" xfId="238"/>
    <cellStyle name="Comma 21" xfId="239"/>
    <cellStyle name="Comma 22" xfId="240"/>
    <cellStyle name="Comma 23" xfId="241"/>
    <cellStyle name="Comma 24" xfId="242"/>
    <cellStyle name="Comma 25" xfId="243"/>
    <cellStyle name="Comma 26" xfId="244"/>
    <cellStyle name="Comma 27" xfId="245"/>
    <cellStyle name="Comma 28" xfId="246"/>
    <cellStyle name="Comma 29" xfId="247"/>
    <cellStyle name="Comma 3" xfId="248"/>
    <cellStyle name="Comma 3 2" xfId="249"/>
    <cellStyle name="Comma 3 3" xfId="250"/>
    <cellStyle name="Comma 3 4" xfId="251"/>
    <cellStyle name="Comma 30" xfId="252"/>
    <cellStyle name="Comma 4" xfId="253"/>
    <cellStyle name="Comma 4 2" xfId="254"/>
    <cellStyle name="Comma 4 3" xfId="255"/>
    <cellStyle name="Comma 5" xfId="256"/>
    <cellStyle name="Comma 5 2" xfId="257"/>
    <cellStyle name="Comma 5 3" xfId="258"/>
    <cellStyle name="Comma 6" xfId="259"/>
    <cellStyle name="Comma 7" xfId="260"/>
    <cellStyle name="Comma 8" xfId="261"/>
    <cellStyle name="Comma 9" xfId="262"/>
    <cellStyle name="Cover" xfId="263"/>
    <cellStyle name="Currency" xfId="264"/>
    <cellStyle name="Currency [0]" xfId="265"/>
    <cellStyle name="Dezimal [0]_Tfz-Anzahl" xfId="266"/>
    <cellStyle name="Dezimal_Tfz-Anzahl" xfId="267"/>
    <cellStyle name="Euro" xfId="268"/>
    <cellStyle name="Euro 2" xfId="269"/>
    <cellStyle name="Explanatory Text" xfId="270"/>
    <cellStyle name="Explanatory Text 2" xfId="271"/>
    <cellStyle name="Explanatory Text 2 2" xfId="272"/>
    <cellStyle name="Explanatory Text 2 3" xfId="273"/>
    <cellStyle name="Followed Hyperlink" xfId="274"/>
    <cellStyle name="Good" xfId="275"/>
    <cellStyle name="Good 2" xfId="276"/>
    <cellStyle name="Good 2 2" xfId="277"/>
    <cellStyle name="Good 2 2 2" xfId="278"/>
    <cellStyle name="Good 2 2 3" xfId="279"/>
    <cellStyle name="Good 2 3" xfId="280"/>
    <cellStyle name="Good 2 4" xfId="281"/>
    <cellStyle name="Heading" xfId="282"/>
    <cellStyle name="Heading 1" xfId="283"/>
    <cellStyle name="Heading 1 2" xfId="284"/>
    <cellStyle name="Heading 1 2 2" xfId="285"/>
    <cellStyle name="Heading 1 2 3" xfId="286"/>
    <cellStyle name="Heading 2" xfId="287"/>
    <cellStyle name="Heading 2 2" xfId="288"/>
    <cellStyle name="Heading 2 2 2" xfId="289"/>
    <cellStyle name="Heading 2 2 3" xfId="290"/>
    <cellStyle name="Heading 3" xfId="291"/>
    <cellStyle name="Heading 3 2" xfId="292"/>
    <cellStyle name="Heading 3 2 2" xfId="293"/>
    <cellStyle name="Heading 3 2 3" xfId="294"/>
    <cellStyle name="Heading 4" xfId="295"/>
    <cellStyle name="Heading 4 2" xfId="296"/>
    <cellStyle name="Heading 4 2 2" xfId="297"/>
    <cellStyle name="Heading 4 2 3" xfId="298"/>
    <cellStyle name="Hyperlink" xfId="299"/>
    <cellStyle name="Hyperlink 2" xfId="300"/>
    <cellStyle name="Hyperlink 2 2" xfId="301"/>
    <cellStyle name="Hyperlink 2 3" xfId="302"/>
    <cellStyle name="Hyperlink 3" xfId="303"/>
    <cellStyle name="Hyperlink 3 2" xfId="304"/>
    <cellStyle name="Hyperlink 3 3" xfId="305"/>
    <cellStyle name="Hyperlink 3 4" xfId="306"/>
    <cellStyle name="Hyperlink 4" xfId="307"/>
    <cellStyle name="Hyperlink 5" xfId="308"/>
    <cellStyle name="Hyperlink 6" xfId="309"/>
    <cellStyle name="Hyperlink 7" xfId="310"/>
    <cellStyle name="Input" xfId="311"/>
    <cellStyle name="Input 2" xfId="312"/>
    <cellStyle name="Input 2 2" xfId="313"/>
    <cellStyle name="Input 2 2 2" xfId="314"/>
    <cellStyle name="Input 2 2 2 2" xfId="315"/>
    <cellStyle name="Input 2 2 2 3" xfId="316"/>
    <cellStyle name="Input 2 3" xfId="317"/>
    <cellStyle name="Input 2 3 2" xfId="318"/>
    <cellStyle name="Input 2 3 2 2" xfId="319"/>
    <cellStyle name="Input 2 3 2 3" xfId="320"/>
    <cellStyle name="Input 2 4" xfId="321"/>
    <cellStyle name="Input 2 4 2" xfId="322"/>
    <cellStyle name="Input 2 4 3" xfId="323"/>
    <cellStyle name="Input 2 5" xfId="324"/>
    <cellStyle name="Input 2 6" xfId="325"/>
    <cellStyle name="InputCells12_BBorder_CRFReport-template" xfId="326"/>
    <cellStyle name="Linked Cell" xfId="327"/>
    <cellStyle name="Linked Cell 2" xfId="328"/>
    <cellStyle name="Linked Cell 2 2" xfId="329"/>
    <cellStyle name="Linked Cell 2 3" xfId="330"/>
    <cellStyle name="Menu" xfId="331"/>
    <cellStyle name="Milliers [0]_03tabmat" xfId="332"/>
    <cellStyle name="Milliers_03tabmat" xfId="333"/>
    <cellStyle name="Monétaire [0]_03tabmat" xfId="334"/>
    <cellStyle name="Monétaire_03tabmat" xfId="335"/>
    <cellStyle name="Neutral" xfId="336"/>
    <cellStyle name="Neutral 2" xfId="337"/>
    <cellStyle name="Neutral 2 2" xfId="338"/>
    <cellStyle name="Neutral 2 2 2" xfId="339"/>
    <cellStyle name="Neutral 2 2 3" xfId="340"/>
    <cellStyle name="Neutral 2 3" xfId="341"/>
    <cellStyle name="Neutral 2 4" xfId="342"/>
    <cellStyle name="Normal 10" xfId="343"/>
    <cellStyle name="Normal 10 2" xfId="344"/>
    <cellStyle name="Normal 10 2 2" xfId="345"/>
    <cellStyle name="Normal 10 3" xfId="346"/>
    <cellStyle name="Normal 10 3 2" xfId="347"/>
    <cellStyle name="Normal 10 4" xfId="348"/>
    <cellStyle name="Normal 11" xfId="349"/>
    <cellStyle name="Normal 11 2" xfId="350"/>
    <cellStyle name="Normal 12" xfId="351"/>
    <cellStyle name="Normal 12 2" xfId="352"/>
    <cellStyle name="Normal 12 3" xfId="353"/>
    <cellStyle name="Normal 13" xfId="354"/>
    <cellStyle name="Normal 13 2" xfId="355"/>
    <cellStyle name="Normal 13 3" xfId="356"/>
    <cellStyle name="Normal 13 4" xfId="357"/>
    <cellStyle name="Normal 13 5" xfId="358"/>
    <cellStyle name="Normal 14" xfId="359"/>
    <cellStyle name="Normal 14 2" xfId="360"/>
    <cellStyle name="Normal 14 3" xfId="361"/>
    <cellStyle name="Normal 15" xfId="362"/>
    <cellStyle name="Normal 16" xfId="363"/>
    <cellStyle name="Normal 17" xfId="364"/>
    <cellStyle name="Normal 18" xfId="365"/>
    <cellStyle name="Normal 19" xfId="366"/>
    <cellStyle name="Normal 2" xfId="367"/>
    <cellStyle name="Normal 2 2" xfId="368"/>
    <cellStyle name="Normal 2 2 2" xfId="369"/>
    <cellStyle name="Normal 2 2 2 2" xfId="370"/>
    <cellStyle name="Normal 2 2 2 3" xfId="371"/>
    <cellStyle name="Normal 2 2 2 4" xfId="372"/>
    <cellStyle name="Normal 2 2 2 5" xfId="373"/>
    <cellStyle name="Normal 2 2 3" xfId="374"/>
    <cellStyle name="Normal 2 2 4" xfId="375"/>
    <cellStyle name="Normal 2 3" xfId="376"/>
    <cellStyle name="Normal 2 3 2" xfId="377"/>
    <cellStyle name="Normal 2 3 3" xfId="378"/>
    <cellStyle name="Normal 2 3 4" xfId="379"/>
    <cellStyle name="Normal 2 3 5" xfId="380"/>
    <cellStyle name="Normal 2 4" xfId="381"/>
    <cellStyle name="Normal 2 5" xfId="382"/>
    <cellStyle name="Normal 3" xfId="383"/>
    <cellStyle name="Normal 3 2" xfId="384"/>
    <cellStyle name="Normal 3 2 2" xfId="385"/>
    <cellStyle name="Normal 3 2 3" xfId="386"/>
    <cellStyle name="Normal 3 2 4" xfId="387"/>
    <cellStyle name="Normal 3 3" xfId="388"/>
    <cellStyle name="Normal 3 3 2" xfId="389"/>
    <cellStyle name="Normal 3 3 3" xfId="390"/>
    <cellStyle name="Normal 3 3 4" xfId="391"/>
    <cellStyle name="Normal 3 4" xfId="392"/>
    <cellStyle name="Normal 3 4 2" xfId="393"/>
    <cellStyle name="Normal 3 4 3" xfId="394"/>
    <cellStyle name="Normal 3 5" xfId="395"/>
    <cellStyle name="Normal 4" xfId="396"/>
    <cellStyle name="Normal 4 2" xfId="397"/>
    <cellStyle name="Normal 4 2 2" xfId="398"/>
    <cellStyle name="Normal 4 3" xfId="399"/>
    <cellStyle name="Normal 4 3 2" xfId="400"/>
    <cellStyle name="Normal 4 4" xfId="401"/>
    <cellStyle name="Normal 4 5" xfId="402"/>
    <cellStyle name="Normal 4 6" xfId="403"/>
    <cellStyle name="Normal 5" xfId="404"/>
    <cellStyle name="Normal 5 2" xfId="405"/>
    <cellStyle name="Normal 6" xfId="406"/>
    <cellStyle name="Normal 6 2" xfId="407"/>
    <cellStyle name="Normal 6 2 2" xfId="408"/>
    <cellStyle name="Normal 6 2 3" xfId="409"/>
    <cellStyle name="Normal 7" xfId="410"/>
    <cellStyle name="Normal 7 2" xfId="411"/>
    <cellStyle name="Normal 8" xfId="412"/>
    <cellStyle name="Normal 8 2" xfId="413"/>
    <cellStyle name="Normal 9" xfId="414"/>
    <cellStyle name="Normal GHG-Shade" xfId="415"/>
    <cellStyle name="Normal_OtherAirports_Fuel_Energy" xfId="416"/>
    <cellStyle name="Normal_Sheet3" xfId="417"/>
    <cellStyle name="Note" xfId="418"/>
    <cellStyle name="Note 2" xfId="419"/>
    <cellStyle name="Note 2 2" xfId="420"/>
    <cellStyle name="Note 2 2 2" xfId="421"/>
    <cellStyle name="Note 2 2 2 2" xfId="422"/>
    <cellStyle name="Note 2 2 2 3" xfId="423"/>
    <cellStyle name="Note 2 2 3" xfId="424"/>
    <cellStyle name="Note 2 2 4" xfId="425"/>
    <cellStyle name="Note 2 3" xfId="426"/>
    <cellStyle name="Note 2 3 2" xfId="427"/>
    <cellStyle name="Note 2 3 3" xfId="428"/>
    <cellStyle name="Note 2 4" xfId="429"/>
    <cellStyle name="Note 2 5" xfId="430"/>
    <cellStyle name="Output" xfId="431"/>
    <cellStyle name="Output 2" xfId="432"/>
    <cellStyle name="Output 2 2" xfId="433"/>
    <cellStyle name="Output 2 2 2" xfId="434"/>
    <cellStyle name="Output 2 2 2 2" xfId="435"/>
    <cellStyle name="Output 2 2 2 3" xfId="436"/>
    <cellStyle name="Output 2 3" xfId="437"/>
    <cellStyle name="Output 2 3 2" xfId="438"/>
    <cellStyle name="Output 2 3 3" xfId="439"/>
    <cellStyle name="Output 2 4" xfId="440"/>
    <cellStyle name="Output 2 5" xfId="441"/>
    <cellStyle name="Percent" xfId="442"/>
    <cellStyle name="Percent 10" xfId="443"/>
    <cellStyle name="Percent 10 2" xfId="444"/>
    <cellStyle name="Percent 10 3" xfId="445"/>
    <cellStyle name="Percent 11" xfId="446"/>
    <cellStyle name="Percent 2" xfId="447"/>
    <cellStyle name="Percent 2 2" xfId="448"/>
    <cellStyle name="Percent 2 2 2" xfId="449"/>
    <cellStyle name="Percent 2 2 3" xfId="450"/>
    <cellStyle name="Percent 2 3" xfId="451"/>
    <cellStyle name="Percent 2 4" xfId="452"/>
    <cellStyle name="Percent 2 5" xfId="453"/>
    <cellStyle name="Percent 2 6" xfId="454"/>
    <cellStyle name="Percent 3" xfId="455"/>
    <cellStyle name="Percent 3 2" xfId="456"/>
    <cellStyle name="Percent 3 3" xfId="457"/>
    <cellStyle name="Percent 3 4" xfId="458"/>
    <cellStyle name="Percent 4" xfId="459"/>
    <cellStyle name="Percent 5" xfId="460"/>
    <cellStyle name="Percent 5 2" xfId="461"/>
    <cellStyle name="Percent 6" xfId="462"/>
    <cellStyle name="Percent 7" xfId="463"/>
    <cellStyle name="Percent 8" xfId="464"/>
    <cellStyle name="Percent 9" xfId="465"/>
    <cellStyle name="Publication_style" xfId="466"/>
    <cellStyle name="Refdb standard" xfId="467"/>
    <cellStyle name="Refdb standard 2" xfId="468"/>
    <cellStyle name="Refdb standard 2 2" xfId="469"/>
    <cellStyle name="Shade" xfId="470"/>
    <cellStyle name="Shade 2" xfId="471"/>
    <cellStyle name="Shade 3" xfId="472"/>
    <cellStyle name="Source" xfId="473"/>
    <cellStyle name="Source Hed" xfId="474"/>
    <cellStyle name="Source Text" xfId="475"/>
    <cellStyle name="Source_1_1" xfId="476"/>
    <cellStyle name="Standard_E00seit45" xfId="477"/>
    <cellStyle name="Style 21" xfId="478"/>
    <cellStyle name="Style 21 2" xfId="479"/>
    <cellStyle name="Style 22" xfId="480"/>
    <cellStyle name="Style 22 2" xfId="481"/>
    <cellStyle name="Style 23" xfId="482"/>
    <cellStyle name="Style 23 2" xfId="483"/>
    <cellStyle name="Style 24" xfId="484"/>
    <cellStyle name="Style 24 2" xfId="485"/>
    <cellStyle name="Style 29" xfId="486"/>
    <cellStyle name="Style 29 2" xfId="487"/>
    <cellStyle name="Style 30" xfId="488"/>
    <cellStyle name="Style 30 2" xfId="489"/>
    <cellStyle name="Style 31" xfId="490"/>
    <cellStyle name="Style 31 2" xfId="491"/>
    <cellStyle name="Style 32" xfId="492"/>
    <cellStyle name="Style 32 2" xfId="493"/>
    <cellStyle name="Title" xfId="494"/>
    <cellStyle name="Title 2" xfId="495"/>
    <cellStyle name="Title 2 2" xfId="496"/>
    <cellStyle name="Title 2 3" xfId="497"/>
    <cellStyle name="Title-1" xfId="498"/>
    <cellStyle name="Title-2" xfId="499"/>
    <cellStyle name="Titre ligne" xfId="500"/>
    <cellStyle name="Total" xfId="501"/>
    <cellStyle name="Total 2" xfId="502"/>
    <cellStyle name="Total 2 2" xfId="503"/>
    <cellStyle name="Total 2 3" xfId="504"/>
    <cellStyle name="Total 2 4" xfId="505"/>
    <cellStyle name="Total intermediaire" xfId="506"/>
    <cellStyle name="Tusenskille [0]_rob4-mon.xls Diagram 1" xfId="507"/>
    <cellStyle name="Tusenskille_rob4-mon.xls Diagram 1" xfId="508"/>
    <cellStyle name="Valuta [0]_rob4-mon.xls Diagram 1" xfId="509"/>
    <cellStyle name="Valuta_rob4-mon.xls Diagram 1" xfId="510"/>
    <cellStyle name="Währung [0]_Excel2" xfId="511"/>
    <cellStyle name="Währung_Excel2" xfId="512"/>
    <cellStyle name="Warning Text" xfId="513"/>
    <cellStyle name="Warning Text 2" xfId="514"/>
    <cellStyle name="Warning Text 2 2" xfId="515"/>
    <cellStyle name="Warning Text 2 3" xfId="516"/>
    <cellStyle name="Year" xfId="517"/>
    <cellStyle name="Обычный_2++_CRFReport-template" xfId="518"/>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5\Strategy$\T&amp;E%20Division\2%20Environment\Energy\12%20Strategy\Climate%20Change%20Mitigation%20and%20Energy%20Strategy\3_Modelling\01.%20Base%20Models\01%20LEGGI\LEGGI_2009\LEGGI_2009_Summ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mp;E%20Division\2%20Environment\Energy\15%20Measurement\02%20LEGGI\LEGGI_2010\v2_published%202014\LEGGI_2010_v2_publishedDS_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ergy"/>
      <sheetName val="CO2eq"/>
      <sheetName val="Summary_Table"/>
      <sheetName val="Raw_Data"/>
      <sheetName val="Lists"/>
    </sheetNames>
    <sheetDataSet>
      <sheetData sheetId="4">
        <row r="4">
          <cell r="B4" t="str">
            <v>Domestic</v>
          </cell>
          <cell r="J4" t="str">
            <v>Barking and Dagenham</v>
          </cell>
        </row>
        <row r="5">
          <cell r="B5" t="str">
            <v>Industrial_and_Commercial</v>
          </cell>
          <cell r="J5" t="str">
            <v>Barnet</v>
          </cell>
        </row>
        <row r="6">
          <cell r="B6" t="str">
            <v>Transport</v>
          </cell>
          <cell r="J6" t="str">
            <v>Bexley</v>
          </cell>
        </row>
        <row r="7">
          <cell r="J7" t="str">
            <v>Brent</v>
          </cell>
        </row>
        <row r="8">
          <cell r="J8" t="str">
            <v>Bromley</v>
          </cell>
        </row>
        <row r="9">
          <cell r="J9" t="str">
            <v>Camden</v>
          </cell>
        </row>
        <row r="10">
          <cell r="J10" t="str">
            <v>City of London</v>
          </cell>
        </row>
        <row r="11">
          <cell r="J11" t="str">
            <v>Croydon</v>
          </cell>
        </row>
        <row r="12">
          <cell r="J12" t="str">
            <v>Ealing</v>
          </cell>
        </row>
        <row r="13">
          <cell r="J13" t="str">
            <v>Enfield</v>
          </cell>
        </row>
        <row r="14">
          <cell r="J14" t="str">
            <v>Greenwich</v>
          </cell>
        </row>
        <row r="15">
          <cell r="J15" t="str">
            <v>Hackney</v>
          </cell>
        </row>
        <row r="16">
          <cell r="J16" t="str">
            <v>Hammersmith and Fulham</v>
          </cell>
        </row>
        <row r="17">
          <cell r="J17" t="str">
            <v>Haringey</v>
          </cell>
        </row>
        <row r="18">
          <cell r="J18" t="str">
            <v>Harrow</v>
          </cell>
        </row>
        <row r="19">
          <cell r="J19" t="str">
            <v>Havering</v>
          </cell>
        </row>
        <row r="20">
          <cell r="J20" t="str">
            <v>Hillingdon</v>
          </cell>
        </row>
        <row r="21">
          <cell r="J21" t="str">
            <v>Hounslow</v>
          </cell>
        </row>
        <row r="22">
          <cell r="J22" t="str">
            <v>Islington</v>
          </cell>
        </row>
        <row r="23">
          <cell r="J23" t="str">
            <v>Kensington and Chelsea</v>
          </cell>
        </row>
        <row r="24">
          <cell r="J24" t="str">
            <v>Kingston</v>
          </cell>
        </row>
        <row r="25">
          <cell r="J25" t="str">
            <v>Lambeth</v>
          </cell>
        </row>
        <row r="26">
          <cell r="J26" t="str">
            <v>Lewisham</v>
          </cell>
        </row>
        <row r="27">
          <cell r="J27" t="str">
            <v>Merton</v>
          </cell>
        </row>
        <row r="28">
          <cell r="J28" t="str">
            <v>Newham</v>
          </cell>
        </row>
        <row r="29">
          <cell r="J29" t="str">
            <v>Redbridge</v>
          </cell>
        </row>
        <row r="30">
          <cell r="J30" t="str">
            <v>Richmond</v>
          </cell>
        </row>
        <row r="31">
          <cell r="J31" t="str">
            <v>Southwark</v>
          </cell>
        </row>
        <row r="32">
          <cell r="J32" t="str">
            <v>Sutton</v>
          </cell>
        </row>
        <row r="33">
          <cell r="J33" t="str">
            <v>Tower Hamlets</v>
          </cell>
        </row>
        <row r="34">
          <cell r="J34" t="str">
            <v>Waltham Forest</v>
          </cell>
        </row>
        <row r="35">
          <cell r="J35" t="str">
            <v>Wandsworth</v>
          </cell>
        </row>
        <row r="36">
          <cell r="J36" t="str">
            <v>Westminster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a Revisions_2014"/>
      <sheetName val="00b Summary"/>
      <sheetName val="01 Energy"/>
      <sheetName val="02 CO2"/>
      <sheetName val="02b CO2e"/>
      <sheetName val="03a Data_Elec&amp;Gas"/>
      <sheetName val="03b Data_Residual"/>
      <sheetName val="03c Data_CO2"/>
      <sheetName val="03c Data_Transport"/>
      <sheetName val="04 Emissions Factors"/>
      <sheetName val="05 Data_Sources"/>
    </sheetNames>
    <sheetDataSet>
      <sheetData sheetId="9">
        <row r="6">
          <cell r="I6">
            <v>0.48530999999999996</v>
          </cell>
        </row>
        <row r="8">
          <cell r="I8">
            <v>0.18520999999999999</v>
          </cell>
        </row>
        <row r="9">
          <cell r="I9">
            <v>0.34021</v>
          </cell>
        </row>
        <row r="10">
          <cell r="I10">
            <v>0.27779</v>
          </cell>
        </row>
        <row r="14">
          <cell r="I14">
            <v>0.29117</v>
          </cell>
        </row>
        <row r="15">
          <cell r="I15">
            <v>0.26826000000000005</v>
          </cell>
        </row>
        <row r="16">
          <cell r="I16">
            <v>0.13871156900024537</v>
          </cell>
        </row>
        <row r="17">
          <cell r="I17">
            <v>0.24539999999999998</v>
          </cell>
        </row>
        <row r="20">
          <cell r="I20">
            <v>3182.2999999999997</v>
          </cell>
        </row>
        <row r="21">
          <cell r="I21">
            <v>3042.1</v>
          </cell>
        </row>
        <row r="22">
          <cell r="I22">
            <v>3070.5</v>
          </cell>
        </row>
        <row r="23">
          <cell r="I23">
            <v>3492.6</v>
          </cell>
        </row>
        <row r="24">
          <cell r="I24">
            <v>2664.9</v>
          </cell>
        </row>
        <row r="27">
          <cell r="I27">
            <v>2.2422999999999997</v>
          </cell>
        </row>
        <row r="28">
          <cell r="I28">
            <v>2.5835000000000004</v>
          </cell>
        </row>
        <row r="29">
          <cell r="I29">
            <v>3.0212000000000003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statistical-data-sets/regional-and-local-authority-electricity-consumption-statistics-2005-to-2011" TargetMode="External" /><Relationship Id="rId2" Type="http://schemas.openxmlformats.org/officeDocument/2006/relationships/hyperlink" Target="https://www.gov.uk/government/statistical-data-sets/estimates-of-non-gas-non-electricity-and-non-road-transport-fuels-at-regional-and-local-authority-level" TargetMode="Externa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government/publications/greenhouse-gas-reporting-conversion-factors-2016" TargetMode="External" /><Relationship Id="rId2" Type="http://schemas.openxmlformats.org/officeDocument/2006/relationships/hyperlink" Target="https://www.gov.uk/government/publications/greenhouse-gas-reporting-conversion-factors-2016"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gov.uk/government/publications/greenhouse-gas-reporting-conversion-factors-2016" TargetMode="External" /><Relationship Id="rId2" Type="http://schemas.openxmlformats.org/officeDocument/2006/relationships/hyperlink" Target="https://www.gov.uk/government/publications/greenhouse-gas-reporting-conversion-factors-2016" TargetMode="External" /><Relationship Id="rId3" Type="http://schemas.openxmlformats.org/officeDocument/2006/relationships/hyperlink" Target="https://www.gov.uk/government/publications/greenhouse-gas-reporting-conversion-factors-2016" TargetMode="External" /><Relationship Id="rId4" Type="http://schemas.openxmlformats.org/officeDocument/2006/relationships/hyperlink" Target="https://www.gov.uk/government/publications/greenhouse-gas-reporting-conversion-factors-2016" TargetMode="External" /><Relationship Id="rId5" Type="http://schemas.openxmlformats.org/officeDocument/2006/relationships/hyperlink" Target="https://www.gov.uk/government/publications/greenhouse-gas-reporting-conversion-factors-2016" TargetMode="External" /><Relationship Id="rId6" Type="http://schemas.openxmlformats.org/officeDocument/2006/relationships/hyperlink" Target="https://www.gov.uk/government/publications/greenhouse-gas-reporting-conversion-factors-2016" TargetMode="External" /><Relationship Id="rId7" Type="http://schemas.openxmlformats.org/officeDocument/2006/relationships/hyperlink" Target="https://www.gov.uk/government/publications/greenhouse-gas-reporting-conversion-factors-2016" TargetMode="External" /><Relationship Id="rId8" Type="http://schemas.openxmlformats.org/officeDocument/2006/relationships/hyperlink" Target="https://www.gov.uk/government/publications/greenhouse-gas-reporting-conversion-factors-2016" TargetMode="External" /><Relationship Id="rId9"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W82"/>
  <sheetViews>
    <sheetView tabSelected="1" view="pageBreakPreview" zoomScale="90" zoomScaleSheetLayoutView="90" zoomScalePageLayoutView="0" workbookViewId="0" topLeftCell="B10">
      <selection activeCell="T67" sqref="T67"/>
    </sheetView>
  </sheetViews>
  <sheetFormatPr defaultColWidth="9.140625" defaultRowHeight="12.75"/>
  <cols>
    <col min="1" max="1" width="2.00390625" style="254" customWidth="1"/>
    <col min="2" max="2" width="25.7109375" style="115" customWidth="1"/>
    <col min="3" max="17" width="9.7109375" style="115" customWidth="1"/>
    <col min="18" max="18" width="12.140625" style="115" customWidth="1"/>
    <col min="19" max="19" width="8.7109375" style="254" customWidth="1"/>
    <col min="20" max="20" width="9.00390625" style="115" customWidth="1"/>
    <col min="21" max="21" width="6.140625" style="115" customWidth="1"/>
    <col min="22" max="22" width="7.57421875" style="115" customWidth="1"/>
    <col min="23" max="23" width="10.28125" style="115" customWidth="1"/>
    <col min="24" max="16384" width="9.140625" style="115" customWidth="1"/>
  </cols>
  <sheetData>
    <row r="1" s="254" customFormat="1" ht="12.75"/>
    <row r="2" s="254" customFormat="1" ht="18.75" customHeight="1">
      <c r="B2" s="255" t="s">
        <v>399</v>
      </c>
    </row>
    <row r="3" s="254" customFormat="1" ht="12.75"/>
    <row r="4" spans="2:17" s="254" customFormat="1" ht="121.5" customHeight="1">
      <c r="B4" s="256" t="s">
        <v>209</v>
      </c>
      <c r="C4" s="630" t="s">
        <v>405</v>
      </c>
      <c r="D4" s="630"/>
      <c r="E4" s="630"/>
      <c r="F4" s="630"/>
      <c r="G4" s="630"/>
      <c r="H4" s="630"/>
      <c r="I4" s="630"/>
      <c r="J4" s="630"/>
      <c r="K4" s="630"/>
      <c r="L4" s="630"/>
      <c r="M4" s="630"/>
      <c r="N4" s="630"/>
      <c r="O4" s="630"/>
      <c r="P4" s="631"/>
      <c r="Q4" s="631"/>
    </row>
    <row r="5" spans="2:15" s="254" customFormat="1" ht="10.5" customHeight="1">
      <c r="B5" s="256"/>
      <c r="C5" s="298"/>
      <c r="D5" s="298"/>
      <c r="E5" s="298"/>
      <c r="F5" s="298"/>
      <c r="G5" s="298"/>
      <c r="H5" s="298"/>
      <c r="I5" s="298"/>
      <c r="J5" s="298"/>
      <c r="K5" s="298"/>
      <c r="L5" s="298"/>
      <c r="M5" s="298"/>
      <c r="N5" s="298"/>
      <c r="O5" s="298"/>
    </row>
    <row r="6" spans="2:18" s="254" customFormat="1" ht="12.75">
      <c r="B6" s="257" t="s">
        <v>243</v>
      </c>
      <c r="C6" s="258" t="s">
        <v>406</v>
      </c>
      <c r="D6" s="257"/>
      <c r="E6" s="257"/>
      <c r="F6" s="257"/>
      <c r="G6" s="257"/>
      <c r="H6" s="257"/>
      <c r="I6" s="257"/>
      <c r="J6" s="257"/>
      <c r="K6" s="257"/>
      <c r="L6" s="257"/>
      <c r="M6" s="257"/>
      <c r="N6" s="257"/>
      <c r="O6" s="257"/>
      <c r="P6" s="257"/>
      <c r="Q6" s="257"/>
      <c r="R6" s="257"/>
    </row>
    <row r="7" spans="2:18" s="260" customFormat="1" ht="15">
      <c r="B7" s="259" t="s">
        <v>221</v>
      </c>
      <c r="C7" s="629">
        <v>43040</v>
      </c>
      <c r="D7" s="629"/>
      <c r="E7" s="259"/>
      <c r="F7" s="259"/>
      <c r="G7" s="259"/>
      <c r="H7" s="259"/>
      <c r="I7" s="259"/>
      <c r="J7" s="259"/>
      <c r="K7" s="259"/>
      <c r="L7" s="259"/>
      <c r="M7" s="259"/>
      <c r="N7" s="259"/>
      <c r="O7" s="259"/>
      <c r="P7" s="259"/>
      <c r="Q7" s="259"/>
      <c r="R7" s="259"/>
    </row>
    <row r="8" spans="2:18" s="260" customFormat="1" ht="9.75" customHeight="1">
      <c r="B8" s="259"/>
      <c r="C8" s="261"/>
      <c r="D8" s="261"/>
      <c r="E8" s="259"/>
      <c r="F8" s="259"/>
      <c r="G8" s="259"/>
      <c r="H8" s="259"/>
      <c r="I8" s="259"/>
      <c r="J8" s="259"/>
      <c r="K8" s="259"/>
      <c r="L8" s="259"/>
      <c r="M8" s="259"/>
      <c r="N8" s="259"/>
      <c r="O8" s="259"/>
      <c r="P8" s="259"/>
      <c r="Q8" s="259"/>
      <c r="R8" s="259"/>
    </row>
    <row r="9" spans="2:3" s="254" customFormat="1" ht="12.75">
      <c r="B9" s="311" t="s">
        <v>239</v>
      </c>
      <c r="C9" s="307" t="s">
        <v>241</v>
      </c>
    </row>
    <row r="10" spans="2:3" s="254" customFormat="1" ht="14.25" customHeight="1">
      <c r="B10" s="255"/>
      <c r="C10" s="307" t="s">
        <v>248</v>
      </c>
    </row>
    <row r="11" spans="2:3" s="254" customFormat="1" ht="13.5" customHeight="1">
      <c r="B11" s="255"/>
      <c r="C11" s="307" t="s">
        <v>242</v>
      </c>
    </row>
    <row r="12" spans="2:3" s="254" customFormat="1" ht="11.25" customHeight="1">
      <c r="B12" s="255"/>
      <c r="C12" s="307"/>
    </row>
    <row r="13" spans="2:3" s="254" customFormat="1" ht="18.75" customHeight="1">
      <c r="B13" s="255" t="s">
        <v>189</v>
      </c>
      <c r="C13" s="255" t="s">
        <v>240</v>
      </c>
    </row>
    <row r="14" s="254" customFormat="1" ht="13.5" thickBot="1"/>
    <row r="15" spans="2:23" ht="15">
      <c r="B15" s="647"/>
      <c r="C15" s="641" t="s">
        <v>177</v>
      </c>
      <c r="D15" s="642"/>
      <c r="E15" s="642"/>
      <c r="F15" s="642"/>
      <c r="G15" s="642"/>
      <c r="H15" s="642"/>
      <c r="I15" s="642"/>
      <c r="J15" s="642"/>
      <c r="K15" s="642"/>
      <c r="L15" s="642"/>
      <c r="M15" s="642"/>
      <c r="N15" s="643" t="s">
        <v>354</v>
      </c>
      <c r="O15" s="642"/>
      <c r="P15" s="642"/>
      <c r="Q15" s="642"/>
      <c r="R15" s="644"/>
      <c r="T15" s="254"/>
      <c r="U15" s="254"/>
      <c r="V15" s="254"/>
      <c r="W15" s="254"/>
    </row>
    <row r="16" spans="2:23" ht="12.75">
      <c r="B16" s="648"/>
      <c r="C16" s="186">
        <v>1990</v>
      </c>
      <c r="D16" s="186">
        <v>2000</v>
      </c>
      <c r="E16" s="186">
        <v>2001</v>
      </c>
      <c r="F16" s="186">
        <v>2002</v>
      </c>
      <c r="G16" s="186">
        <v>2003</v>
      </c>
      <c r="H16" s="186">
        <v>2004</v>
      </c>
      <c r="I16" s="186">
        <v>2005</v>
      </c>
      <c r="J16" s="186">
        <v>2006</v>
      </c>
      <c r="K16" s="186">
        <v>2007</v>
      </c>
      <c r="L16" s="186">
        <v>2008</v>
      </c>
      <c r="M16" s="187">
        <v>2009</v>
      </c>
      <c r="N16" s="187">
        <v>2010</v>
      </c>
      <c r="O16" s="187">
        <v>2011</v>
      </c>
      <c r="P16" s="187">
        <v>2012</v>
      </c>
      <c r="Q16" s="187">
        <v>2013</v>
      </c>
      <c r="R16" s="580">
        <v>2014</v>
      </c>
      <c r="T16" s="254"/>
      <c r="U16" s="254"/>
      <c r="V16" s="254"/>
      <c r="W16" s="254"/>
    </row>
    <row r="17" spans="1:23" s="234" customFormat="1" ht="12.75">
      <c r="A17" s="262"/>
      <c r="B17" s="565"/>
      <c r="C17" s="623" t="s">
        <v>244</v>
      </c>
      <c r="D17" s="624"/>
      <c r="E17" s="624"/>
      <c r="F17" s="624"/>
      <c r="G17" s="624"/>
      <c r="H17" s="624"/>
      <c r="I17" s="624"/>
      <c r="J17" s="624"/>
      <c r="K17" s="624"/>
      <c r="L17" s="624"/>
      <c r="M17" s="625"/>
      <c r="N17" s="626" t="s">
        <v>245</v>
      </c>
      <c r="O17" s="627"/>
      <c r="P17" s="627"/>
      <c r="Q17" s="627"/>
      <c r="R17" s="628"/>
      <c r="S17" s="262"/>
      <c r="T17" s="262"/>
      <c r="U17" s="262"/>
      <c r="V17" s="262"/>
      <c r="W17" s="262"/>
    </row>
    <row r="18" spans="2:23" ht="12.75">
      <c r="B18" s="552" t="s">
        <v>181</v>
      </c>
      <c r="C18" s="305" t="s">
        <v>238</v>
      </c>
      <c r="D18" s="308" t="s">
        <v>237</v>
      </c>
      <c r="E18" s="308" t="s">
        <v>237</v>
      </c>
      <c r="F18" s="308" t="s">
        <v>238</v>
      </c>
      <c r="G18" s="308" t="s">
        <v>237</v>
      </c>
      <c r="H18" s="308" t="s">
        <v>237</v>
      </c>
      <c r="I18" s="308" t="s">
        <v>237</v>
      </c>
      <c r="J18" s="308" t="s">
        <v>237</v>
      </c>
      <c r="K18" s="308" t="s">
        <v>237</v>
      </c>
      <c r="L18" s="308" t="s">
        <v>237</v>
      </c>
      <c r="M18" s="308" t="s">
        <v>237</v>
      </c>
      <c r="N18" s="305" t="s">
        <v>237</v>
      </c>
      <c r="O18" s="306" t="s">
        <v>237</v>
      </c>
      <c r="P18" s="306" t="s">
        <v>237</v>
      </c>
      <c r="Q18" s="306" t="s">
        <v>237</v>
      </c>
      <c r="R18" s="547" t="s">
        <v>237</v>
      </c>
      <c r="T18" s="254"/>
      <c r="U18" s="254"/>
      <c r="V18" s="254"/>
      <c r="W18" s="254"/>
    </row>
    <row r="19" spans="2:23" ht="12.75">
      <c r="B19" s="570" t="s">
        <v>17</v>
      </c>
      <c r="C19" s="191"/>
      <c r="D19" s="198">
        <v>10.127455</v>
      </c>
      <c r="E19" s="198">
        <v>11.956178905651292</v>
      </c>
      <c r="F19" s="192">
        <f>(G19-E19)/2+E19</f>
        <v>11.098927377825646</v>
      </c>
      <c r="G19" s="198">
        <v>10.24167585</v>
      </c>
      <c r="H19" s="198">
        <v>9.875050402</v>
      </c>
      <c r="I19" s="154">
        <v>9.82768</v>
      </c>
      <c r="J19" s="154">
        <v>9.4245</v>
      </c>
      <c r="K19" s="154">
        <v>8.978489999999999</v>
      </c>
      <c r="L19" s="154">
        <v>9.25369</v>
      </c>
      <c r="M19" s="154">
        <v>8.309700000000001</v>
      </c>
      <c r="N19" s="236">
        <v>9.09431832692357</v>
      </c>
      <c r="O19" s="154">
        <v>7.382856705408899</v>
      </c>
      <c r="P19" s="154">
        <v>8.115738856627148</v>
      </c>
      <c r="Q19" s="154">
        <v>8.25358155998484</v>
      </c>
      <c r="R19" s="554">
        <f>'02 CO2'!D43</f>
        <v>7.352668040085427</v>
      </c>
      <c r="T19" s="254"/>
      <c r="U19" s="254"/>
      <c r="V19" s="254"/>
      <c r="W19" s="254"/>
    </row>
    <row r="20" spans="2:23" ht="12.75">
      <c r="B20" s="570" t="s">
        <v>15</v>
      </c>
      <c r="C20" s="191"/>
      <c r="D20" s="198">
        <v>7.3582039708144755</v>
      </c>
      <c r="E20" s="198">
        <v>5.65487577279953</v>
      </c>
      <c r="F20" s="192">
        <f>(G20-E20)/2+E20</f>
        <v>6.6664224793614615</v>
      </c>
      <c r="G20" s="198">
        <v>7.677969185923392</v>
      </c>
      <c r="H20" s="198">
        <v>6.915281552000003</v>
      </c>
      <c r="I20" s="154">
        <v>7.24954</v>
      </c>
      <c r="J20" s="154">
        <v>7.566649999999999</v>
      </c>
      <c r="K20" s="154">
        <v>7.62668</v>
      </c>
      <c r="L20" s="154">
        <v>7.43478</v>
      </c>
      <c r="M20" s="154">
        <v>6.704</v>
      </c>
      <c r="N20" s="236">
        <v>6.685087219686692</v>
      </c>
      <c r="O20" s="154">
        <v>6.467241065573014</v>
      </c>
      <c r="P20" s="154">
        <v>7.135106111203371</v>
      </c>
      <c r="Q20" s="154">
        <v>6.5555903145535614</v>
      </c>
      <c r="R20" s="554">
        <f>'02 CO2'!C43</f>
        <v>5.932990459898476</v>
      </c>
      <c r="S20" s="584"/>
      <c r="T20" s="584"/>
      <c r="U20" s="584"/>
      <c r="V20" s="254"/>
      <c r="W20" s="254"/>
    </row>
    <row r="21" spans="2:23" ht="12.75">
      <c r="B21" s="556" t="s">
        <v>110</v>
      </c>
      <c r="C21" s="191"/>
      <c r="D21" s="198">
        <v>0.05100448170410208</v>
      </c>
      <c r="E21" s="198">
        <v>0.18048776101537697</v>
      </c>
      <c r="F21" s="192">
        <v>0.18472397745782582</v>
      </c>
      <c r="G21" s="198">
        <v>0.18896019390027463</v>
      </c>
      <c r="H21" s="198">
        <v>0.05837453343832001</v>
      </c>
      <c r="I21" s="154">
        <v>0.23274</v>
      </c>
      <c r="J21" s="154">
        <v>0.23331</v>
      </c>
      <c r="K21" s="154">
        <v>0.23308</v>
      </c>
      <c r="L21" s="154">
        <v>0.23739</v>
      </c>
      <c r="M21" s="154">
        <v>0.23755</v>
      </c>
      <c r="N21" s="237"/>
      <c r="O21" s="190"/>
      <c r="P21" s="190"/>
      <c r="Q21" s="190"/>
      <c r="R21" s="589"/>
      <c r="S21" s="584"/>
      <c r="T21" s="584"/>
      <c r="U21" s="584"/>
      <c r="V21" s="254"/>
      <c r="W21" s="254"/>
    </row>
    <row r="22" spans="2:23" ht="12.75">
      <c r="B22" s="567" t="s">
        <v>18</v>
      </c>
      <c r="C22" s="191"/>
      <c r="D22" s="192"/>
      <c r="E22" s="192"/>
      <c r="F22" s="192"/>
      <c r="G22" s="192"/>
      <c r="H22" s="192"/>
      <c r="I22" s="190"/>
      <c r="J22" s="190"/>
      <c r="K22" s="190"/>
      <c r="L22" s="190"/>
      <c r="M22" s="190"/>
      <c r="N22" s="236">
        <v>0.04567152206890001</v>
      </c>
      <c r="O22" s="154">
        <v>0.0422772862164</v>
      </c>
      <c r="P22" s="154">
        <v>0.04075456149238174</v>
      </c>
      <c r="Q22" s="154">
        <v>0.048415189663161</v>
      </c>
      <c r="R22" s="554">
        <f>'02 CO2'!E43</f>
        <v>0.04414011474616656</v>
      </c>
      <c r="S22" s="584"/>
      <c r="T22" s="584"/>
      <c r="U22" s="584"/>
      <c r="V22" s="254"/>
      <c r="W22" s="254"/>
    </row>
    <row r="23" spans="2:23" ht="12.75">
      <c r="B23" s="567" t="s">
        <v>41</v>
      </c>
      <c r="C23" s="191"/>
      <c r="D23" s="192"/>
      <c r="E23" s="192"/>
      <c r="F23" s="192"/>
      <c r="G23" s="192"/>
      <c r="H23" s="192"/>
      <c r="I23" s="190"/>
      <c r="J23" s="190"/>
      <c r="K23" s="190"/>
      <c r="L23" s="190"/>
      <c r="M23" s="190"/>
      <c r="N23" s="236">
        <v>0.059170228375500004</v>
      </c>
      <c r="O23" s="154">
        <v>0.0507018446896</v>
      </c>
      <c r="P23" s="154">
        <v>0.05134869532007323</v>
      </c>
      <c r="Q23" s="154">
        <v>0.05228523535288533</v>
      </c>
      <c r="R23" s="554">
        <f>'02 CO2'!F43</f>
        <v>0.052178775311027235</v>
      </c>
      <c r="T23" s="254"/>
      <c r="U23" s="254"/>
      <c r="V23" s="254"/>
      <c r="W23" s="254"/>
    </row>
    <row r="24" spans="2:23" ht="12.75">
      <c r="B24" s="583" t="s">
        <v>186</v>
      </c>
      <c r="C24" s="194">
        <v>15.84</v>
      </c>
      <c r="D24" s="195">
        <f aca="true" t="shared" si="0" ref="D24:J24">SUM(D19:D21)</f>
        <v>17.536663452518578</v>
      </c>
      <c r="E24" s="195">
        <f t="shared" si="0"/>
        <v>17.7915424394662</v>
      </c>
      <c r="F24" s="195">
        <f t="shared" si="0"/>
        <v>17.950073834644932</v>
      </c>
      <c r="G24" s="195">
        <f t="shared" si="0"/>
        <v>18.108605229823667</v>
      </c>
      <c r="H24" s="195">
        <f t="shared" si="0"/>
        <v>16.848706487438324</v>
      </c>
      <c r="I24" s="196">
        <f t="shared" si="0"/>
        <v>17.30996</v>
      </c>
      <c r="J24" s="196">
        <f t="shared" si="0"/>
        <v>17.224459999999997</v>
      </c>
      <c r="K24" s="196">
        <f>SUM(K19:K21)</f>
        <v>16.838250000000002</v>
      </c>
      <c r="L24" s="196">
        <f>SUM(L19:L21)</f>
        <v>16.925860000000004</v>
      </c>
      <c r="M24" s="196">
        <f>SUM(M19:M21)</f>
        <v>15.25125</v>
      </c>
      <c r="N24" s="238">
        <v>15.884247297054664</v>
      </c>
      <c r="O24" s="196">
        <v>13.943076901887913</v>
      </c>
      <c r="P24" s="196">
        <v>15.342948224642974</v>
      </c>
      <c r="Q24" s="196">
        <v>14.909872299554445</v>
      </c>
      <c r="R24" s="588">
        <f>SUM(R19:R23)</f>
        <v>13.381977390041097</v>
      </c>
      <c r="S24" s="424"/>
      <c r="T24" s="424"/>
      <c r="U24" s="254"/>
      <c r="V24" s="254"/>
      <c r="W24" s="254"/>
    </row>
    <row r="25" spans="2:23" ht="12.75">
      <c r="B25" s="570" t="s">
        <v>188</v>
      </c>
      <c r="C25" s="179"/>
      <c r="D25" s="180"/>
      <c r="E25" s="199">
        <f aca="true" t="shared" si="1" ref="E25:M25">(E$24-$D$24)/$D$24</f>
        <v>0.014534063884941297</v>
      </c>
      <c r="F25" s="199">
        <f t="shared" si="1"/>
        <v>0.023574061465322885</v>
      </c>
      <c r="G25" s="199">
        <f t="shared" si="1"/>
        <v>0.03261405904570447</v>
      </c>
      <c r="H25" s="199">
        <f t="shared" si="1"/>
        <v>-0.03922963834841974</v>
      </c>
      <c r="I25" s="199">
        <f t="shared" si="1"/>
        <v>-0.012927399395694006</v>
      </c>
      <c r="J25" s="199">
        <f t="shared" si="1"/>
        <v>-0.017802899243854912</v>
      </c>
      <c r="K25" s="199">
        <f t="shared" si="1"/>
        <v>-0.039825902710031835</v>
      </c>
      <c r="L25" s="199">
        <f t="shared" si="1"/>
        <v>-0.03483008350889303</v>
      </c>
      <c r="M25" s="199">
        <f t="shared" si="1"/>
        <v>-0.13032202269869936</v>
      </c>
      <c r="N25" s="239">
        <v>-0.09422637093640511</v>
      </c>
      <c r="O25" s="199">
        <v>-0.20491848750821307</v>
      </c>
      <c r="P25" s="199">
        <v>-0.1250930790691856</v>
      </c>
      <c r="Q25" s="199">
        <v>-0.1497885364611293</v>
      </c>
      <c r="R25" s="586">
        <f>(R$24-$D$24)/$D$24</f>
        <v>-0.23691428382180613</v>
      </c>
      <c r="T25" s="254"/>
      <c r="U25" s="254"/>
      <c r="V25" s="254"/>
      <c r="W25" s="254"/>
    </row>
    <row r="26" spans="2:23" ht="12.75">
      <c r="B26" s="579" t="s">
        <v>182</v>
      </c>
      <c r="C26" s="305" t="s">
        <v>238</v>
      </c>
      <c r="D26" s="306" t="s">
        <v>237</v>
      </c>
      <c r="E26" s="306" t="s">
        <v>237</v>
      </c>
      <c r="F26" s="306" t="s">
        <v>238</v>
      </c>
      <c r="G26" s="306" t="s">
        <v>237</v>
      </c>
      <c r="H26" s="306" t="s">
        <v>237</v>
      </c>
      <c r="I26" s="306" t="s">
        <v>237</v>
      </c>
      <c r="J26" s="306" t="s">
        <v>237</v>
      </c>
      <c r="K26" s="306" t="s">
        <v>237</v>
      </c>
      <c r="L26" s="306" t="s">
        <v>237</v>
      </c>
      <c r="M26" s="306" t="s">
        <v>237</v>
      </c>
      <c r="N26" s="305" t="s">
        <v>237</v>
      </c>
      <c r="O26" s="306" t="s">
        <v>237</v>
      </c>
      <c r="P26" s="306" t="s">
        <v>237</v>
      </c>
      <c r="Q26" s="306" t="s">
        <v>237</v>
      </c>
      <c r="R26" s="563" t="s">
        <v>237</v>
      </c>
      <c r="T26" s="254"/>
      <c r="U26" s="254"/>
      <c r="V26" s="254"/>
      <c r="W26" s="254"/>
    </row>
    <row r="27" spans="2:23" ht="12.75">
      <c r="B27" s="570" t="s">
        <v>17</v>
      </c>
      <c r="C27" s="191"/>
      <c r="D27" s="198">
        <v>6.37769</v>
      </c>
      <c r="E27" s="198">
        <v>6.162414132599613</v>
      </c>
      <c r="F27" s="192">
        <f>(G27-E27)/2+E27</f>
        <v>5.666325841299806</v>
      </c>
      <c r="G27" s="198">
        <v>5.1702375499999995</v>
      </c>
      <c r="H27" s="198">
        <v>6.515408999099999</v>
      </c>
      <c r="I27" s="154">
        <v>5.08117</v>
      </c>
      <c r="J27" s="154">
        <v>4.811229999999999</v>
      </c>
      <c r="K27" s="154">
        <v>4.39364</v>
      </c>
      <c r="L27" s="154">
        <v>4.62833</v>
      </c>
      <c r="M27" s="154">
        <v>4.1508199999999995</v>
      </c>
      <c r="N27" s="236">
        <v>4.622712209108844</v>
      </c>
      <c r="O27" s="154">
        <v>3.8315263896321357</v>
      </c>
      <c r="P27" s="154">
        <v>4.174414246217953</v>
      </c>
      <c r="Q27" s="154">
        <v>4.19670872845829</v>
      </c>
      <c r="R27" s="554">
        <f>'02 CO2'!J43-R29</f>
        <v>3.6228793522777547</v>
      </c>
      <c r="T27" s="254"/>
      <c r="U27" s="254"/>
      <c r="V27" s="254"/>
      <c r="W27" s="254"/>
    </row>
    <row r="28" spans="2:23" ht="12.75">
      <c r="B28" s="570" t="s">
        <v>15</v>
      </c>
      <c r="C28" s="191"/>
      <c r="D28" s="198">
        <f>16.3113908174995-D39</f>
        <v>15.332707368449531</v>
      </c>
      <c r="E28" s="198">
        <f>14.0074473342859-E39</f>
        <v>13.167000494228747</v>
      </c>
      <c r="F28" s="192">
        <f>((G28-E28)/2+E28)</f>
        <v>13.7936822744676</v>
      </c>
      <c r="G28" s="198">
        <f>15.3408128241558-G39</f>
        <v>14.42036405470645</v>
      </c>
      <c r="H28" s="198">
        <f>13.800344971-H39</f>
        <v>12.97232427274</v>
      </c>
      <c r="I28" s="154">
        <f>14.38383-I39</f>
        <v>13.399215935633588</v>
      </c>
      <c r="J28" s="154">
        <f>16.09472-J39</f>
        <v>15.116017344655518</v>
      </c>
      <c r="K28" s="154">
        <f>15.7384-K39</f>
        <v>14.759697344655518</v>
      </c>
      <c r="L28" s="154">
        <f>15.74768-L39</f>
        <v>14.510419294530832</v>
      </c>
      <c r="M28" s="154">
        <f>13.89318-M39</f>
        <v>12.65591929453083</v>
      </c>
      <c r="N28" s="236">
        <v>12.898459216804063</v>
      </c>
      <c r="O28" s="154">
        <v>11.664652415487277</v>
      </c>
      <c r="P28" s="154">
        <v>13.612870861556264</v>
      </c>
      <c r="Q28" s="154">
        <v>12.498370635705845</v>
      </c>
      <c r="R28" s="554">
        <f>'02 CO2'!I43</f>
        <v>11.561717954752838</v>
      </c>
      <c r="T28" s="254"/>
      <c r="U28" s="254"/>
      <c r="V28" s="254"/>
      <c r="W28" s="254"/>
    </row>
    <row r="29" spans="2:23" ht="12.75">
      <c r="B29" s="570" t="s">
        <v>184</v>
      </c>
      <c r="C29" s="191"/>
      <c r="D29" s="192"/>
      <c r="E29" s="192"/>
      <c r="F29" s="192"/>
      <c r="G29" s="192"/>
      <c r="H29" s="192"/>
      <c r="I29" s="154">
        <v>0.12858</v>
      </c>
      <c r="J29" s="154">
        <v>0.10432</v>
      </c>
      <c r="K29" s="154">
        <v>0.09818</v>
      </c>
      <c r="L29" s="154">
        <v>0.0987</v>
      </c>
      <c r="M29" s="154">
        <v>0.09727</v>
      </c>
      <c r="N29" s="236">
        <v>0.06788765716839083</v>
      </c>
      <c r="O29" s="154">
        <v>0.02323061248164295</v>
      </c>
      <c r="P29" s="154">
        <v>0.03101527355930392</v>
      </c>
      <c r="Q29" s="154">
        <v>0.03203689628896349</v>
      </c>
      <c r="R29" s="554">
        <f>'02 CO2'!J41/1000</f>
        <v>0.019515064033348482</v>
      </c>
      <c r="T29" s="254"/>
      <c r="U29" s="254"/>
      <c r="V29" s="254"/>
      <c r="W29" s="254"/>
    </row>
    <row r="30" spans="2:23" ht="12.75">
      <c r="B30" s="570" t="s">
        <v>110</v>
      </c>
      <c r="C30" s="193"/>
      <c r="D30" s="198">
        <v>2.354</v>
      </c>
      <c r="E30" s="198">
        <v>2.427995611576955</v>
      </c>
      <c r="F30" s="192">
        <v>1.6425944360431086</v>
      </c>
      <c r="G30" s="198">
        <v>0.8571932605092618</v>
      </c>
      <c r="H30" s="198">
        <v>0.5668873245666801</v>
      </c>
      <c r="I30" s="154">
        <v>0.62052</v>
      </c>
      <c r="J30" s="154">
        <v>0.5885199999999999</v>
      </c>
      <c r="K30" s="154">
        <v>0.59575</v>
      </c>
      <c r="L30" s="154">
        <v>0.61424</v>
      </c>
      <c r="M30" s="154">
        <v>0.4743</v>
      </c>
      <c r="N30" s="237"/>
      <c r="O30" s="190"/>
      <c r="P30" s="190"/>
      <c r="Q30" s="190"/>
      <c r="R30" s="589"/>
      <c r="T30" s="254"/>
      <c r="U30" s="254"/>
      <c r="V30" s="254"/>
      <c r="W30" s="254"/>
    </row>
    <row r="31" spans="2:23" ht="12.75">
      <c r="B31" s="570" t="s">
        <v>18</v>
      </c>
      <c r="C31" s="193"/>
      <c r="D31" s="192"/>
      <c r="E31" s="192"/>
      <c r="F31" s="192"/>
      <c r="G31" s="192"/>
      <c r="H31" s="192"/>
      <c r="I31" s="190"/>
      <c r="J31" s="190"/>
      <c r="K31" s="190"/>
      <c r="L31" s="190"/>
      <c r="M31" s="190"/>
      <c r="N31" s="236">
        <v>0.021815640992400003</v>
      </c>
      <c r="O31" s="154">
        <v>0.0203112153608</v>
      </c>
      <c r="P31" s="154">
        <v>0.02021423443905012</v>
      </c>
      <c r="Q31" s="154">
        <v>0.012121905726397198</v>
      </c>
      <c r="R31" s="554">
        <f>'02 CO2'!K43</f>
        <v>0.010206357677209989</v>
      </c>
      <c r="T31" s="254"/>
      <c r="U31" s="254"/>
      <c r="V31" s="254"/>
      <c r="W31" s="254"/>
    </row>
    <row r="32" spans="2:23" ht="12.75">
      <c r="B32" s="570" t="s">
        <v>41</v>
      </c>
      <c r="C32" s="193"/>
      <c r="D32" s="192"/>
      <c r="E32" s="192"/>
      <c r="F32" s="192"/>
      <c r="G32" s="192"/>
      <c r="H32" s="192"/>
      <c r="I32" s="190"/>
      <c r="J32" s="190"/>
      <c r="K32" s="190"/>
      <c r="L32" s="190"/>
      <c r="M32" s="190"/>
      <c r="N32" s="236">
        <v>0.5897384945226003</v>
      </c>
      <c r="O32" s="154">
        <v>0.5402454494707999</v>
      </c>
      <c r="P32" s="154">
        <v>0.5278939179685497</v>
      </c>
      <c r="Q32" s="154">
        <v>0.5022866353683647</v>
      </c>
      <c r="R32" s="554">
        <f>'02 CO2'!L43</f>
        <v>0.5585011030218009</v>
      </c>
      <c r="T32" s="254"/>
      <c r="U32" s="254"/>
      <c r="V32" s="254"/>
      <c r="W32" s="254"/>
    </row>
    <row r="33" spans="2:23" ht="12.75">
      <c r="B33" s="570" t="s">
        <v>216</v>
      </c>
      <c r="C33" s="193"/>
      <c r="D33" s="192"/>
      <c r="E33" s="192"/>
      <c r="F33" s="192"/>
      <c r="G33" s="192"/>
      <c r="H33" s="192"/>
      <c r="I33" s="190"/>
      <c r="J33" s="190"/>
      <c r="K33" s="190"/>
      <c r="L33" s="190"/>
      <c r="M33" s="190"/>
      <c r="N33" s="236">
        <v>0.022701169184037997</v>
      </c>
      <c r="O33" s="154">
        <v>0.03897044798030173</v>
      </c>
      <c r="P33" s="154">
        <v>0.03571820543659645</v>
      </c>
      <c r="Q33" s="154">
        <v>0.044016591937522685</v>
      </c>
      <c r="R33" s="554">
        <f>'02 CO2'!M43</f>
        <v>0.21378894220242065</v>
      </c>
      <c r="T33" s="254"/>
      <c r="U33" s="254"/>
      <c r="V33" s="254"/>
      <c r="W33" s="254"/>
    </row>
    <row r="34" spans="2:23" ht="12.75">
      <c r="B34" s="583" t="s">
        <v>186</v>
      </c>
      <c r="C34" s="194">
        <v>19.74</v>
      </c>
      <c r="D34" s="195">
        <f aca="true" t="shared" si="2" ref="D34:J34">SUM(D27:D30)</f>
        <v>24.06439736844953</v>
      </c>
      <c r="E34" s="195">
        <f t="shared" si="2"/>
        <v>21.757410238405313</v>
      </c>
      <c r="F34" s="195">
        <f t="shared" si="2"/>
        <v>21.102602551810513</v>
      </c>
      <c r="G34" s="195">
        <f t="shared" si="2"/>
        <v>20.447794865215712</v>
      </c>
      <c r="H34" s="195">
        <f t="shared" si="2"/>
        <v>20.05462059640668</v>
      </c>
      <c r="I34" s="196">
        <f t="shared" si="2"/>
        <v>19.229485935633587</v>
      </c>
      <c r="J34" s="196">
        <f t="shared" si="2"/>
        <v>20.620087344655516</v>
      </c>
      <c r="K34" s="196">
        <f>SUM(K27:K30)</f>
        <v>19.847267344655517</v>
      </c>
      <c r="L34" s="196">
        <f>SUM(L27:L30)</f>
        <v>19.851689294530832</v>
      </c>
      <c r="M34" s="196">
        <f>SUM(M27:M30)</f>
        <v>17.37830929453083</v>
      </c>
      <c r="N34" s="238">
        <v>18.223314387780338</v>
      </c>
      <c r="O34" s="196">
        <v>16.118936530412956</v>
      </c>
      <c r="P34" s="196">
        <v>18.402126739177714</v>
      </c>
      <c r="Q34" s="196">
        <v>17.285541393485385</v>
      </c>
      <c r="R34" s="588">
        <f>SUM(R27:R33)</f>
        <v>15.986608773965372</v>
      </c>
      <c r="S34" s="424"/>
      <c r="T34" s="424"/>
      <c r="U34" s="254"/>
      <c r="V34" s="254"/>
      <c r="W34" s="254"/>
    </row>
    <row r="35" spans="2:23" ht="13.5" thickBot="1">
      <c r="B35" s="551" t="s">
        <v>188</v>
      </c>
      <c r="C35" s="200"/>
      <c r="D35" s="201"/>
      <c r="E35" s="202">
        <f aca="true" t="shared" si="3" ref="E35:M35">(E$34-$D$34)/$D$34</f>
        <v>-0.09586723052823558</v>
      </c>
      <c r="F35" s="202">
        <f t="shared" si="3"/>
        <v>-0.12307787189893156</v>
      </c>
      <c r="G35" s="202">
        <f t="shared" si="3"/>
        <v>-0.15028851326962755</v>
      </c>
      <c r="H35" s="202">
        <f t="shared" si="3"/>
        <v>-0.1666269348302904</v>
      </c>
      <c r="I35" s="202">
        <f t="shared" si="3"/>
        <v>-0.20091554169376055</v>
      </c>
      <c r="J35" s="202">
        <f t="shared" si="3"/>
        <v>-0.14312887088167006</v>
      </c>
      <c r="K35" s="202">
        <f t="shared" si="3"/>
        <v>-0.17524353339190737</v>
      </c>
      <c r="L35" s="202">
        <f t="shared" si="3"/>
        <v>-0.17505977853581808</v>
      </c>
      <c r="M35" s="202">
        <f t="shared" si="3"/>
        <v>-0.2778414922072692</v>
      </c>
      <c r="N35" s="240">
        <v>-0.24272716624632157</v>
      </c>
      <c r="O35" s="202">
        <v>-0.33017493504548545</v>
      </c>
      <c r="P35" s="202">
        <v>-0.23529658950427465</v>
      </c>
      <c r="Q35" s="202">
        <v>-0.28169647762930483</v>
      </c>
      <c r="R35" s="568">
        <f>(R$34-$D$34)/$D$34</f>
        <v>-0.335673836780755</v>
      </c>
      <c r="S35" s="424"/>
      <c r="T35" s="254"/>
      <c r="U35" s="254"/>
      <c r="V35" s="254"/>
      <c r="W35" s="254"/>
    </row>
    <row r="36" spans="2:23" ht="12.75">
      <c r="B36" s="579" t="s">
        <v>236</v>
      </c>
      <c r="C36" s="155" t="s">
        <v>238</v>
      </c>
      <c r="D36" s="181" t="s">
        <v>237</v>
      </c>
      <c r="E36" s="181" t="s">
        <v>237</v>
      </c>
      <c r="F36" s="181" t="s">
        <v>238</v>
      </c>
      <c r="G36" s="181" t="s">
        <v>237</v>
      </c>
      <c r="H36" s="181" t="s">
        <v>237</v>
      </c>
      <c r="I36" s="181" t="s">
        <v>237</v>
      </c>
      <c r="J36" s="181" t="s">
        <v>237</v>
      </c>
      <c r="K36" s="181" t="s">
        <v>238</v>
      </c>
      <c r="L36" s="181" t="s">
        <v>237</v>
      </c>
      <c r="M36" s="181" t="s">
        <v>238</v>
      </c>
      <c r="N36" s="155" t="s">
        <v>237</v>
      </c>
      <c r="O36" s="181" t="s">
        <v>238</v>
      </c>
      <c r="P36" s="181" t="s">
        <v>238</v>
      </c>
      <c r="Q36" s="181" t="s">
        <v>238</v>
      </c>
      <c r="R36" s="553" t="s">
        <v>237</v>
      </c>
      <c r="S36" s="632" t="s">
        <v>366</v>
      </c>
      <c r="T36" s="632"/>
      <c r="U36" s="632"/>
      <c r="V36" s="632"/>
      <c r="W36" s="633"/>
    </row>
    <row r="37" spans="2:23" ht="12.75">
      <c r="B37" s="570" t="s">
        <v>34</v>
      </c>
      <c r="C37" s="191">
        <v>7.21985802743917</v>
      </c>
      <c r="D37" s="198">
        <v>6.623</v>
      </c>
      <c r="E37" s="198">
        <v>7.00186409224245</v>
      </c>
      <c r="F37" s="192">
        <f>(G37-E37)/2+E37</f>
        <v>7.240340546121225</v>
      </c>
      <c r="G37" s="198">
        <v>7.478817</v>
      </c>
      <c r="H37" s="198">
        <v>7.4316359508488175</v>
      </c>
      <c r="I37" s="198">
        <v>7.3213608571315705</v>
      </c>
      <c r="J37" s="198">
        <v>7.259237417906761</v>
      </c>
      <c r="K37" s="192">
        <f>J37</f>
        <v>7.259237417906761</v>
      </c>
      <c r="L37" s="198">
        <v>6.981446</v>
      </c>
      <c r="M37" s="192">
        <f>L37</f>
        <v>6.981446</v>
      </c>
      <c r="N37" s="236">
        <v>6.392182783195414</v>
      </c>
      <c r="O37" s="190">
        <v>6.392182783195414</v>
      </c>
      <c r="P37" s="190">
        <v>6.392182783195414</v>
      </c>
      <c r="Q37" s="190">
        <v>6.356396803538142</v>
      </c>
      <c r="R37" s="554">
        <f>'02 CO2'!S43</f>
        <v>6.620218824814175</v>
      </c>
      <c r="S37" s="634"/>
      <c r="T37" s="634"/>
      <c r="U37" s="634"/>
      <c r="V37" s="634"/>
      <c r="W37" s="635"/>
    </row>
    <row r="38" spans="2:23" ht="12.75">
      <c r="B38" s="570" t="s">
        <v>178</v>
      </c>
      <c r="C38" s="191">
        <v>1.38678591470095</v>
      </c>
      <c r="D38" s="198">
        <v>0.24322470170206273</v>
      </c>
      <c r="E38" s="198">
        <v>0.7001612221909642</v>
      </c>
      <c r="F38" s="192">
        <f>(G38-E38)/2+E38</f>
        <v>0.8405726326423975</v>
      </c>
      <c r="G38" s="198">
        <v>0.9809840430938307</v>
      </c>
      <c r="H38" s="198">
        <v>0.1859672928349</v>
      </c>
      <c r="I38" s="198">
        <v>0.1915460016638694</v>
      </c>
      <c r="J38" s="198">
        <v>0.19154631992269994</v>
      </c>
      <c r="K38" s="192">
        <f>J38</f>
        <v>0.19154631992269994</v>
      </c>
      <c r="L38" s="198">
        <v>0.28214885322012995</v>
      </c>
      <c r="M38" s="192">
        <f>L38</f>
        <v>0.28214885322012995</v>
      </c>
      <c r="N38" s="236">
        <v>0.11117350639241576</v>
      </c>
      <c r="O38" s="190">
        <v>0.11117350639241576</v>
      </c>
      <c r="P38" s="190">
        <v>0.11117350639241576</v>
      </c>
      <c r="Q38" s="190">
        <v>0.125577159800162</v>
      </c>
      <c r="R38" s="554">
        <f>'02 CO2'!Q43</f>
        <v>0.08394980818727449</v>
      </c>
      <c r="S38" s="634"/>
      <c r="T38" s="634"/>
      <c r="U38" s="634"/>
      <c r="V38" s="634"/>
      <c r="W38" s="635"/>
    </row>
    <row r="39" spans="2:23" ht="12.75">
      <c r="B39" s="570" t="s">
        <v>179</v>
      </c>
      <c r="C39" s="193"/>
      <c r="D39" s="198">
        <v>0.978683449049969</v>
      </c>
      <c r="E39" s="198">
        <v>0.8404468400571525</v>
      </c>
      <c r="F39" s="192">
        <v>0.8804478047532509</v>
      </c>
      <c r="G39" s="198">
        <v>0.9204487694493493</v>
      </c>
      <c r="H39" s="198">
        <v>0.8280206982600001</v>
      </c>
      <c r="I39" s="198">
        <v>0.984614064366412</v>
      </c>
      <c r="J39" s="198">
        <v>0.978702655344482</v>
      </c>
      <c r="K39" s="192">
        <f>J39</f>
        <v>0.978702655344482</v>
      </c>
      <c r="L39" s="198">
        <v>1.2372607054691678</v>
      </c>
      <c r="M39" s="192">
        <f>L39</f>
        <v>1.2372607054691678</v>
      </c>
      <c r="N39" s="236">
        <v>1.1211576458406993</v>
      </c>
      <c r="O39" s="190">
        <v>1.1844945258434656</v>
      </c>
      <c r="P39" s="190">
        <v>1.1844945258434656</v>
      </c>
      <c r="Q39" s="190">
        <v>1.199619830000275</v>
      </c>
      <c r="R39" s="554">
        <f>'02 CO2'!R43</f>
        <v>0.9082912453073302</v>
      </c>
      <c r="S39" s="634"/>
      <c r="T39" s="634"/>
      <c r="U39" s="634"/>
      <c r="V39" s="634"/>
      <c r="W39" s="635"/>
    </row>
    <row r="40" spans="2:23" ht="12.75">
      <c r="B40" s="570" t="s">
        <v>313</v>
      </c>
      <c r="C40" s="191">
        <v>0.857652802635539</v>
      </c>
      <c r="D40" s="198">
        <v>0.856</v>
      </c>
      <c r="E40" s="198">
        <v>0.7613740538297797</v>
      </c>
      <c r="F40" s="192">
        <f>(G40-E40)/2+E40</f>
        <v>0.9140611798674554</v>
      </c>
      <c r="G40" s="198">
        <v>1.066748305905131</v>
      </c>
      <c r="H40" s="198">
        <v>1.2012669136783831</v>
      </c>
      <c r="I40" s="198">
        <v>1.356815045492627</v>
      </c>
      <c r="J40" s="198">
        <v>1.356815045492627</v>
      </c>
      <c r="K40" s="192">
        <f>J40</f>
        <v>1.356815045492627</v>
      </c>
      <c r="L40" s="198">
        <v>1.3870149446322475</v>
      </c>
      <c r="M40" s="192">
        <f>L40</f>
        <v>1.3870149446322475</v>
      </c>
      <c r="N40" s="236">
        <v>0.8711393091242817</v>
      </c>
      <c r="O40" s="190">
        <v>0.8711393091242817</v>
      </c>
      <c r="P40" s="190">
        <v>0.8711393091242817</v>
      </c>
      <c r="Q40" s="190">
        <v>0.9791197347721531</v>
      </c>
      <c r="R40" s="554">
        <f>'02 CO2'!O43</f>
        <v>0.9309323631272071</v>
      </c>
      <c r="S40" s="634"/>
      <c r="T40" s="634"/>
      <c r="U40" s="634"/>
      <c r="V40" s="634"/>
      <c r="W40" s="635"/>
    </row>
    <row r="41" spans="2:23" ht="12.75">
      <c r="B41" s="570" t="s">
        <v>298</v>
      </c>
      <c r="C41" s="191">
        <v>0.01</v>
      </c>
      <c r="D41" s="198">
        <v>0.012</v>
      </c>
      <c r="E41" s="198">
        <v>0.00513139064592229</v>
      </c>
      <c r="F41" s="192">
        <f>(G41-E41)/2+E41</f>
        <v>0.00616044763356381</v>
      </c>
      <c r="G41" s="198">
        <v>0.007189504621205331</v>
      </c>
      <c r="H41" s="198">
        <v>0.007157</v>
      </c>
      <c r="I41" s="198">
        <v>0.007261400736176816</v>
      </c>
      <c r="J41" s="198">
        <v>0.0072276935</v>
      </c>
      <c r="K41" s="192">
        <f>J41</f>
        <v>0.0072276935</v>
      </c>
      <c r="L41" s="198">
        <v>0.0072276935</v>
      </c>
      <c r="M41" s="192">
        <f>L41</f>
        <v>0.0072276935</v>
      </c>
      <c r="N41" s="236">
        <v>0.019368174180161506</v>
      </c>
      <c r="O41" s="190">
        <v>0.019368174180161506</v>
      </c>
      <c r="P41" s="190">
        <v>0.019368174180161506</v>
      </c>
      <c r="Q41" s="190">
        <v>0.018856281222837393</v>
      </c>
      <c r="R41" s="554">
        <f>'02 CO2'!P43</f>
        <v>0.03120512106677382</v>
      </c>
      <c r="S41" s="634"/>
      <c r="T41" s="634"/>
      <c r="U41" s="634"/>
      <c r="V41" s="634"/>
      <c r="W41" s="635"/>
    </row>
    <row r="42" spans="2:23" ht="12.75">
      <c r="B42" s="549" t="s">
        <v>186</v>
      </c>
      <c r="C42" s="194">
        <f aca="true" t="shared" si="4" ref="C42:M42">SUM(C37:C41)</f>
        <v>9.474296744775659</v>
      </c>
      <c r="D42" s="195">
        <f t="shared" si="4"/>
        <v>8.712908150752032</v>
      </c>
      <c r="E42" s="195">
        <f t="shared" si="4"/>
        <v>9.308977598966269</v>
      </c>
      <c r="F42" s="195">
        <f t="shared" si="4"/>
        <v>9.881582611017892</v>
      </c>
      <c r="G42" s="195">
        <f t="shared" si="4"/>
        <v>10.454187623069517</v>
      </c>
      <c r="H42" s="195">
        <f t="shared" si="4"/>
        <v>9.6540478556221</v>
      </c>
      <c r="I42" s="196">
        <f t="shared" si="4"/>
        <v>9.861597369390656</v>
      </c>
      <c r="J42" s="196">
        <f t="shared" si="4"/>
        <v>9.79352913216657</v>
      </c>
      <c r="K42" s="196">
        <f t="shared" si="4"/>
        <v>9.79352913216657</v>
      </c>
      <c r="L42" s="196">
        <f t="shared" si="4"/>
        <v>9.895098196821547</v>
      </c>
      <c r="M42" s="196">
        <f t="shared" si="4"/>
        <v>9.895098196821547</v>
      </c>
      <c r="N42" s="574">
        <v>8.515021418732973</v>
      </c>
      <c r="O42" s="542">
        <v>8.57835829873574</v>
      </c>
      <c r="P42" s="542">
        <v>8.57835829873574</v>
      </c>
      <c r="Q42" s="542">
        <v>8.679569809333568</v>
      </c>
      <c r="R42" s="588">
        <f>SUM(R37:R41)</f>
        <v>8.574597362502761</v>
      </c>
      <c r="S42" s="634"/>
      <c r="T42" s="634"/>
      <c r="U42" s="634"/>
      <c r="V42" s="634"/>
      <c r="W42" s="635"/>
    </row>
    <row r="43" spans="2:23" ht="12.75">
      <c r="B43" s="570" t="s">
        <v>188</v>
      </c>
      <c r="C43" s="194"/>
      <c r="D43" s="195"/>
      <c r="E43" s="199">
        <f aca="true" t="shared" si="5" ref="E43:M43">(E$42-$D$42)/$D$42</f>
        <v>0.06841222676756774</v>
      </c>
      <c r="F43" s="199">
        <f t="shared" si="5"/>
        <v>0.13413138759703203</v>
      </c>
      <c r="G43" s="199">
        <f t="shared" si="5"/>
        <v>0.19985054842649652</v>
      </c>
      <c r="H43" s="199">
        <f t="shared" si="5"/>
        <v>0.10801671366050562</v>
      </c>
      <c r="I43" s="199">
        <f t="shared" si="5"/>
        <v>0.1318376366149893</v>
      </c>
      <c r="J43" s="199">
        <f t="shared" si="5"/>
        <v>0.12402529244168237</v>
      </c>
      <c r="K43" s="199">
        <f t="shared" si="5"/>
        <v>0.12402529244168237</v>
      </c>
      <c r="L43" s="199">
        <f t="shared" si="5"/>
        <v>0.1356826016773145</v>
      </c>
      <c r="M43" s="199">
        <f t="shared" si="5"/>
        <v>0.1356826016773145</v>
      </c>
      <c r="N43" s="559">
        <v>-0.02271190383224447</v>
      </c>
      <c r="O43" s="564">
        <v>-0.015442588133409702</v>
      </c>
      <c r="P43" s="564">
        <v>-0.015442588133409702</v>
      </c>
      <c r="Q43" s="564">
        <v>-0.0038263161784376555</v>
      </c>
      <c r="R43" s="586">
        <f>(R42-D42)/D42</f>
        <v>-0.01587423921567829</v>
      </c>
      <c r="S43" s="634"/>
      <c r="T43" s="634"/>
      <c r="U43" s="634"/>
      <c r="V43" s="634"/>
      <c r="W43" s="635"/>
    </row>
    <row r="44" spans="2:23" ht="13.5" thickBot="1">
      <c r="B44" s="571" t="s">
        <v>166</v>
      </c>
      <c r="C44" s="241">
        <f>C24+C34+C42</f>
        <v>45.054296744775655</v>
      </c>
      <c r="D44" s="182">
        <f>D24+D34+D42</f>
        <v>50.31396897172014</v>
      </c>
      <c r="E44" s="182">
        <f>E24+E34+E42</f>
        <v>48.85793027683778</v>
      </c>
      <c r="F44" s="182">
        <f>F24+F34+F42</f>
        <v>48.934258997473336</v>
      </c>
      <c r="G44" s="182">
        <f aca="true" t="shared" si="6" ref="G44:M44">G24+G34+G42</f>
        <v>49.010587718108894</v>
      </c>
      <c r="H44" s="182">
        <f t="shared" si="6"/>
        <v>46.557374939467095</v>
      </c>
      <c r="I44" s="182">
        <f t="shared" si="6"/>
        <v>46.401043305024245</v>
      </c>
      <c r="J44" s="182">
        <f t="shared" si="6"/>
        <v>47.63807647682208</v>
      </c>
      <c r="K44" s="182">
        <f t="shared" si="6"/>
        <v>46.47904647682209</v>
      </c>
      <c r="L44" s="182">
        <f t="shared" si="6"/>
        <v>46.67264749135238</v>
      </c>
      <c r="M44" s="182">
        <f t="shared" si="6"/>
        <v>42.52465749135237</v>
      </c>
      <c r="N44" s="241">
        <v>42.622583103567976</v>
      </c>
      <c r="O44" s="182">
        <v>38.64037173103661</v>
      </c>
      <c r="P44" s="182">
        <v>42.32343326255642</v>
      </c>
      <c r="Q44" s="182">
        <v>40.8749835023734</v>
      </c>
      <c r="R44" s="587">
        <f>R24+R34+R42</f>
        <v>37.94318352650923</v>
      </c>
      <c r="S44" s="636"/>
      <c r="T44" s="636"/>
      <c r="U44" s="636"/>
      <c r="V44" s="636"/>
      <c r="W44" s="637"/>
    </row>
    <row r="45" spans="2:23" ht="12.75">
      <c r="B45" s="570" t="s">
        <v>187</v>
      </c>
      <c r="C45" s="197"/>
      <c r="D45" s="204">
        <f>(D$44-$C$44)/$C$44</f>
        <v>0.11674074632081305</v>
      </c>
      <c r="E45" s="204">
        <f>(E$44-$C$44)/$C$44</f>
        <v>0.08442332489638024</v>
      </c>
      <c r="F45" s="204">
        <f aca="true" t="shared" si="7" ref="F45:M45">(F$44-$C$44)/$C$44</f>
        <v>0.08611747453693389</v>
      </c>
      <c r="G45" s="204">
        <f t="shared" si="7"/>
        <v>0.08781162417748752</v>
      </c>
      <c r="H45" s="204">
        <f t="shared" si="7"/>
        <v>0.033361483882571805</v>
      </c>
      <c r="I45" s="204">
        <f t="shared" si="7"/>
        <v>0.029891634262491387</v>
      </c>
      <c r="J45" s="204">
        <f t="shared" si="7"/>
        <v>0.057348131448662104</v>
      </c>
      <c r="K45" s="204">
        <f t="shared" si="7"/>
        <v>0.03162294908557518</v>
      </c>
      <c r="L45" s="204">
        <f t="shared" si="7"/>
        <v>0.035920009044739604</v>
      </c>
      <c r="M45" s="204">
        <f t="shared" si="7"/>
        <v>-0.056146459631879884</v>
      </c>
      <c r="N45" s="242">
        <v>-0.053972957451381205</v>
      </c>
      <c r="O45" s="205">
        <v>-0.14235989632848467</v>
      </c>
      <c r="P45" s="205">
        <v>-0.06061272019601319</v>
      </c>
      <c r="Q45" s="205">
        <v>-0.09276170186558018</v>
      </c>
      <c r="R45" s="575">
        <f>(R$44-$C$44)/$C$44</f>
        <v>-0.15783429621706405</v>
      </c>
      <c r="T45" s="196"/>
      <c r="U45" s="254"/>
      <c r="V45" s="254"/>
      <c r="W45" s="254"/>
    </row>
    <row r="46" spans="2:23" ht="12.75">
      <c r="B46" s="570" t="s">
        <v>188</v>
      </c>
      <c r="C46" s="197"/>
      <c r="D46" s="206"/>
      <c r="E46" s="204">
        <f>(E$44-$D$44)/$D$44</f>
        <v>-0.028939054593382578</v>
      </c>
      <c r="F46" s="204">
        <f aca="true" t="shared" si="8" ref="F46:M46">(F$44-$D$44)/$D$44</f>
        <v>-0.027422006302510106</v>
      </c>
      <c r="G46" s="204">
        <f t="shared" si="8"/>
        <v>-0.025904958011637638</v>
      </c>
      <c r="H46" s="204">
        <f t="shared" si="8"/>
        <v>-0.07466304306791038</v>
      </c>
      <c r="I46" s="204">
        <f t="shared" si="8"/>
        <v>-0.0777701649594614</v>
      </c>
      <c r="J46" s="204">
        <f t="shared" si="8"/>
        <v>-0.05318388808487952</v>
      </c>
      <c r="K46" s="204">
        <f t="shared" si="8"/>
        <v>-0.07621983662337467</v>
      </c>
      <c r="L46" s="204">
        <f t="shared" si="8"/>
        <v>-0.07237197849397319</v>
      </c>
      <c r="M46" s="204">
        <f t="shared" si="8"/>
        <v>-0.15481409317451963</v>
      </c>
      <c r="N46" s="242">
        <v>-0.15286780242829276</v>
      </c>
      <c r="O46" s="205">
        <v>-0.23201503437832316</v>
      </c>
      <c r="P46" s="205">
        <v>-0.15881346418238135</v>
      </c>
      <c r="Q46" s="205">
        <v>-0.18760168721040663</v>
      </c>
      <c r="R46" s="575">
        <f>(R$44-$D$44)/$D$44</f>
        <v>-0.2458717866635433</v>
      </c>
      <c r="T46" s="596"/>
      <c r="U46" s="254"/>
      <c r="V46" s="254"/>
      <c r="W46" s="254"/>
    </row>
    <row r="47" spans="2:23" ht="12.75">
      <c r="B47" s="570" t="s">
        <v>185</v>
      </c>
      <c r="C47" s="207">
        <v>6798800</v>
      </c>
      <c r="D47" s="208">
        <v>7236700</v>
      </c>
      <c r="E47" s="208">
        <v>7322400</v>
      </c>
      <c r="F47" s="208">
        <v>7376700</v>
      </c>
      <c r="G47" s="208">
        <v>7394800</v>
      </c>
      <c r="H47" s="208">
        <v>7432700</v>
      </c>
      <c r="I47" s="208">
        <v>7519000</v>
      </c>
      <c r="J47" s="208">
        <v>7597800</v>
      </c>
      <c r="K47" s="208">
        <v>7693600</v>
      </c>
      <c r="L47" s="208">
        <v>7812400</v>
      </c>
      <c r="M47" s="208">
        <v>7942500</v>
      </c>
      <c r="N47" s="207">
        <v>8061495</v>
      </c>
      <c r="O47" s="208">
        <v>8204407</v>
      </c>
      <c r="P47" s="208">
        <v>8308369</v>
      </c>
      <c r="Q47" s="208">
        <v>8416535</v>
      </c>
      <c r="R47" s="519">
        <v>8538689</v>
      </c>
      <c r="S47" s="424"/>
      <c r="T47" s="424"/>
      <c r="U47" s="254"/>
      <c r="V47" s="254"/>
      <c r="W47" s="254"/>
    </row>
    <row r="48" spans="2:23" ht="12.75">
      <c r="B48" s="570" t="s">
        <v>191</v>
      </c>
      <c r="C48" s="210">
        <f>C44/C47*1000000</f>
        <v>6.626801309756965</v>
      </c>
      <c r="D48" s="198">
        <f>D44/D47*1000000</f>
        <v>6.9526122364779726</v>
      </c>
      <c r="E48" s="198">
        <f aca="true" t="shared" si="9" ref="E48:J48">E44/E47*1000000</f>
        <v>6.672392969086335</v>
      </c>
      <c r="F48" s="198">
        <f t="shared" si="9"/>
        <v>6.633624655668976</v>
      </c>
      <c r="G48" s="198">
        <f t="shared" si="9"/>
        <v>6.627709703860671</v>
      </c>
      <c r="H48" s="198">
        <f t="shared" si="9"/>
        <v>6.263857674797462</v>
      </c>
      <c r="I48" s="198">
        <f t="shared" si="9"/>
        <v>6.171172137920501</v>
      </c>
      <c r="J48" s="198">
        <f t="shared" si="9"/>
        <v>6.269982952541799</v>
      </c>
      <c r="K48" s="198">
        <f>K44/K47*1000000</f>
        <v>6.041261110120372</v>
      </c>
      <c r="L48" s="198">
        <f>L44/L47*1000000</f>
        <v>5.974175348337563</v>
      </c>
      <c r="M48" s="198">
        <f>M44/M47*1000000</f>
        <v>5.354064525193878</v>
      </c>
      <c r="N48" s="203">
        <v>5.287180988584372</v>
      </c>
      <c r="O48" s="198">
        <v>4.709709273447381</v>
      </c>
      <c r="P48" s="198">
        <v>5.094072406095157</v>
      </c>
      <c r="Q48" s="198">
        <v>4.856509656571665</v>
      </c>
      <c r="R48" s="550">
        <f>R44/R47*1000000</f>
        <v>4.443677890892762</v>
      </c>
      <c r="S48" s="465"/>
      <c r="T48" s="424"/>
      <c r="U48" s="254"/>
      <c r="V48" s="254"/>
      <c r="W48" s="254"/>
    </row>
    <row r="49" spans="2:23" ht="13.5" thickBot="1">
      <c r="B49" s="541" t="s">
        <v>192</v>
      </c>
      <c r="C49" s="546">
        <f aca="true" t="shared" si="10" ref="C49:J49">(C24+C42)/C47*1000000</f>
        <v>3.7233477591303847</v>
      </c>
      <c r="D49" s="561">
        <f t="shared" si="10"/>
        <v>3.6272847573162643</v>
      </c>
      <c r="E49" s="561">
        <f t="shared" si="10"/>
        <v>3.7010433790058546</v>
      </c>
      <c r="F49" s="561">
        <f t="shared" si="10"/>
        <v>3.7729142361303594</v>
      </c>
      <c r="G49" s="561">
        <f t="shared" si="10"/>
        <v>3.862551097107857</v>
      </c>
      <c r="H49" s="561">
        <f t="shared" si="10"/>
        <v>3.565696764710055</v>
      </c>
      <c r="I49" s="561">
        <f t="shared" si="10"/>
        <v>3.6137195597008454</v>
      </c>
      <c r="J49" s="561">
        <f t="shared" si="10"/>
        <v>3.5560279465327556</v>
      </c>
      <c r="K49" s="561">
        <f>(K24+K42)/K47*1000000</f>
        <v>3.4615497468241876</v>
      </c>
      <c r="L49" s="561">
        <f>(L24+L42)/L47*1000000</f>
        <v>3.4331265932135513</v>
      </c>
      <c r="M49" s="561">
        <f>(M24+M42)/M47*1000000</f>
        <v>3.166049505422921</v>
      </c>
      <c r="N49" s="546">
        <v>3.026643161818947</v>
      </c>
      <c r="O49" s="561">
        <v>2.745041195618849</v>
      </c>
      <c r="P49" s="561">
        <v>2.879182005924233</v>
      </c>
      <c r="Q49" s="561">
        <v>2.8027498381326774</v>
      </c>
      <c r="R49" s="569">
        <f>(R24+R42)/R47*1000000</f>
        <v>2.5714222350227134</v>
      </c>
      <c r="S49" s="424"/>
      <c r="T49" s="254"/>
      <c r="U49" s="254"/>
      <c r="V49" s="254"/>
      <c r="W49" s="254"/>
    </row>
    <row r="50" spans="2:19" s="254" customFormat="1" ht="12.75">
      <c r="B50" s="264"/>
      <c r="C50" s="195"/>
      <c r="D50" s="265"/>
      <c r="E50" s="265"/>
      <c r="F50" s="265"/>
      <c r="G50" s="265"/>
      <c r="H50" s="265"/>
      <c r="I50" s="195"/>
      <c r="J50" s="195"/>
      <c r="K50" s="195"/>
      <c r="L50" s="198"/>
      <c r="M50" s="198"/>
      <c r="R50" s="205"/>
      <c r="S50" s="206"/>
    </row>
    <row r="51" spans="2:18" s="254" customFormat="1" ht="12.75">
      <c r="B51" s="645" t="s">
        <v>367</v>
      </c>
      <c r="C51" s="646"/>
      <c r="D51" s="646"/>
      <c r="E51" s="646"/>
      <c r="F51" s="646"/>
      <c r="G51" s="646"/>
      <c r="H51" s="646"/>
      <c r="I51" s="646"/>
      <c r="J51" s="646"/>
      <c r="K51" s="646"/>
      <c r="L51" s="646"/>
      <c r="M51" s="646"/>
      <c r="N51" s="646"/>
      <c r="O51" s="646"/>
      <c r="P51" s="646"/>
      <c r="Q51" s="646"/>
      <c r="R51" s="646"/>
    </row>
    <row r="52" spans="2:20" s="254" customFormat="1" ht="12.75">
      <c r="B52" s="646"/>
      <c r="C52" s="646"/>
      <c r="D52" s="646"/>
      <c r="E52" s="646"/>
      <c r="F52" s="646"/>
      <c r="G52" s="646"/>
      <c r="H52" s="646"/>
      <c r="I52" s="646"/>
      <c r="J52" s="646"/>
      <c r="K52" s="646"/>
      <c r="L52" s="646"/>
      <c r="M52" s="646"/>
      <c r="N52" s="646"/>
      <c r="O52" s="646"/>
      <c r="P52" s="646"/>
      <c r="Q52" s="646"/>
      <c r="R52" s="646"/>
      <c r="S52" s="475"/>
      <c r="T52" s="424"/>
    </row>
    <row r="53" spans="18:20" s="254" customFormat="1" ht="12.75">
      <c r="R53" s="205"/>
      <c r="S53" s="622"/>
      <c r="T53" s="424"/>
    </row>
    <row r="54" spans="19:20" s="254" customFormat="1" ht="12.75">
      <c r="S54" s="475"/>
      <c r="T54" s="424"/>
    </row>
    <row r="55" spans="2:3" s="254" customFormat="1" ht="18.75" customHeight="1">
      <c r="B55" s="255" t="s">
        <v>190</v>
      </c>
      <c r="C55" s="255" t="s">
        <v>255</v>
      </c>
    </row>
    <row r="56" spans="2:13" s="254" customFormat="1" ht="13.5" thickBot="1">
      <c r="B56" s="264"/>
      <c r="C56" s="195"/>
      <c r="D56" s="266"/>
      <c r="E56" s="266"/>
      <c r="F56" s="266"/>
      <c r="G56" s="266"/>
      <c r="H56" s="266"/>
      <c r="I56" s="266"/>
      <c r="J56" s="266"/>
      <c r="K56" s="266"/>
      <c r="L56" s="198"/>
      <c r="M56" s="198"/>
    </row>
    <row r="57" spans="2:23" ht="12.75">
      <c r="B57" s="557" t="s">
        <v>210</v>
      </c>
      <c r="C57" s="641" t="s">
        <v>180</v>
      </c>
      <c r="D57" s="642"/>
      <c r="E57" s="642"/>
      <c r="F57" s="642"/>
      <c r="G57" s="642"/>
      <c r="H57" s="642"/>
      <c r="I57" s="642"/>
      <c r="J57" s="642"/>
      <c r="K57" s="642"/>
      <c r="L57" s="642"/>
      <c r="M57" s="642"/>
      <c r="N57" s="642"/>
      <c r="O57" s="642"/>
      <c r="P57" s="642"/>
      <c r="Q57" s="642"/>
      <c r="R57" s="644"/>
      <c r="T57" s="254"/>
      <c r="U57" s="254"/>
      <c r="V57" s="254"/>
      <c r="W57" s="254"/>
    </row>
    <row r="58" spans="2:23" ht="12.75">
      <c r="B58" s="573"/>
      <c r="C58" s="183">
        <v>1990</v>
      </c>
      <c r="D58" s="183">
        <v>2000</v>
      </c>
      <c r="E58" s="183">
        <v>2001</v>
      </c>
      <c r="F58" s="183">
        <v>2002</v>
      </c>
      <c r="G58" s="183">
        <v>2003</v>
      </c>
      <c r="H58" s="183">
        <v>2004</v>
      </c>
      <c r="I58" s="183">
        <v>2005</v>
      </c>
      <c r="J58" s="183">
        <v>2006</v>
      </c>
      <c r="K58" s="183">
        <v>2007</v>
      </c>
      <c r="L58" s="183">
        <v>2008</v>
      </c>
      <c r="M58" s="184">
        <v>2009</v>
      </c>
      <c r="N58" s="184">
        <v>2010</v>
      </c>
      <c r="O58" s="184">
        <v>2011</v>
      </c>
      <c r="P58" s="184">
        <v>2012</v>
      </c>
      <c r="Q58" s="184">
        <v>2013</v>
      </c>
      <c r="R58" s="585">
        <v>2014</v>
      </c>
      <c r="T58" s="254"/>
      <c r="U58" s="254"/>
      <c r="V58" s="254"/>
      <c r="W58" s="254"/>
    </row>
    <row r="59" spans="1:23" s="235" customFormat="1" ht="12.75">
      <c r="A59" s="263"/>
      <c r="B59" s="582"/>
      <c r="C59" s="638" t="s">
        <v>247</v>
      </c>
      <c r="D59" s="639"/>
      <c r="E59" s="639"/>
      <c r="F59" s="639"/>
      <c r="G59" s="639"/>
      <c r="H59" s="639"/>
      <c r="I59" s="639"/>
      <c r="J59" s="639"/>
      <c r="K59" s="639"/>
      <c r="L59" s="639"/>
      <c r="M59" s="640"/>
      <c r="N59" s="626" t="s">
        <v>246</v>
      </c>
      <c r="O59" s="627"/>
      <c r="P59" s="627"/>
      <c r="Q59" s="627"/>
      <c r="R59" s="628"/>
      <c r="S59" s="263"/>
      <c r="T59" s="263"/>
      <c r="U59" s="263"/>
      <c r="V59" s="263"/>
      <c r="W59" s="263"/>
    </row>
    <row r="60" spans="2:23" ht="12.75">
      <c r="B60" s="572" t="s">
        <v>181</v>
      </c>
      <c r="C60" s="312" t="s">
        <v>238</v>
      </c>
      <c r="D60" s="313" t="s">
        <v>237</v>
      </c>
      <c r="E60" s="313" t="s">
        <v>237</v>
      </c>
      <c r="F60" s="313" t="s">
        <v>238</v>
      </c>
      <c r="G60" s="313" t="s">
        <v>237</v>
      </c>
      <c r="H60" s="313" t="s">
        <v>237</v>
      </c>
      <c r="I60" s="313" t="s">
        <v>237</v>
      </c>
      <c r="J60" s="313" t="s">
        <v>237</v>
      </c>
      <c r="K60" s="313" t="s">
        <v>238</v>
      </c>
      <c r="L60" s="314" t="s">
        <v>237</v>
      </c>
      <c r="M60" s="314" t="s">
        <v>238</v>
      </c>
      <c r="N60" s="243" t="s">
        <v>237</v>
      </c>
      <c r="O60" s="188" t="s">
        <v>237</v>
      </c>
      <c r="P60" s="188" t="s">
        <v>237</v>
      </c>
      <c r="Q60" s="188" t="s">
        <v>237</v>
      </c>
      <c r="R60" s="544" t="s">
        <v>237</v>
      </c>
      <c r="T60" s="254"/>
      <c r="U60" s="254"/>
      <c r="V60" s="254"/>
      <c r="W60" s="254"/>
    </row>
    <row r="61" spans="2:23" ht="12.75">
      <c r="B61" s="570" t="s">
        <v>17</v>
      </c>
      <c r="C61" s="251"/>
      <c r="D61" s="208">
        <v>54743</v>
      </c>
      <c r="E61" s="208">
        <v>64627.99408460157</v>
      </c>
      <c r="F61" s="250">
        <f>(E61+G61)/2</f>
        <v>59994.202042300785</v>
      </c>
      <c r="G61" s="208">
        <v>55360.41</v>
      </c>
      <c r="H61" s="208">
        <v>55299.04491645102</v>
      </c>
      <c r="I61" s="208">
        <v>52218.96907873999</v>
      </c>
      <c r="J61" s="208">
        <v>50583.05788372</v>
      </c>
      <c r="K61" s="250">
        <f>(J61+L61)/2</f>
        <v>50255.726259630006</v>
      </c>
      <c r="L61" s="208">
        <v>49928.39463554001</v>
      </c>
      <c r="M61" s="250">
        <f>(L61+N61)/2</f>
        <v>49515.56691693736</v>
      </c>
      <c r="N61" s="207">
        <v>49102.73919833471</v>
      </c>
      <c r="O61" s="208">
        <v>40115.5004640779</v>
      </c>
      <c r="P61" s="208">
        <v>43875.261389507454</v>
      </c>
      <c r="Q61" s="208">
        <v>44746.98595817208</v>
      </c>
      <c r="R61" s="519">
        <f>'01 Energy'!D43</f>
        <v>39960.84341437639</v>
      </c>
      <c r="S61" s="464"/>
      <c r="T61" s="558"/>
      <c r="U61" s="254"/>
      <c r="V61" s="254"/>
      <c r="W61" s="254"/>
    </row>
    <row r="62" spans="2:23" ht="12.75">
      <c r="B62" s="570" t="s">
        <v>15</v>
      </c>
      <c r="C62" s="251"/>
      <c r="D62" s="208">
        <v>13125.562869004429</v>
      </c>
      <c r="E62" s="208">
        <v>13535.6120156962</v>
      </c>
      <c r="F62" s="250">
        <f>(E62+G62)/2</f>
        <v>13615.786007848099</v>
      </c>
      <c r="G62" s="208">
        <v>13695.96</v>
      </c>
      <c r="H62" s="208">
        <v>13459.23607744</v>
      </c>
      <c r="I62" s="208">
        <v>13775.338028199996</v>
      </c>
      <c r="J62" s="208">
        <v>13588.501723240002</v>
      </c>
      <c r="K62" s="250">
        <f>(J62+L62)/2</f>
        <v>13682.274666759999</v>
      </c>
      <c r="L62" s="208">
        <v>13776.047610279995</v>
      </c>
      <c r="M62" s="250">
        <f>(L62+N62)/2</f>
        <v>13622.271029564992</v>
      </c>
      <c r="N62" s="207">
        <v>13468.494448849991</v>
      </c>
      <c r="O62" s="208">
        <v>13373.950132499975</v>
      </c>
      <c r="P62" s="208">
        <v>13275.356971</v>
      </c>
      <c r="Q62" s="208">
        <v>13101.747371</v>
      </c>
      <c r="R62" s="519">
        <f>'01 Energy'!C43</f>
        <v>13204.3765243</v>
      </c>
      <c r="S62" s="464"/>
      <c r="T62" s="254"/>
      <c r="U62" s="254"/>
      <c r="V62" s="254"/>
      <c r="W62" s="254"/>
    </row>
    <row r="63" spans="2:23" ht="12.75">
      <c r="B63" s="570" t="s">
        <v>18</v>
      </c>
      <c r="C63" s="251"/>
      <c r="D63" s="208">
        <v>0</v>
      </c>
      <c r="E63" s="208">
        <v>0</v>
      </c>
      <c r="F63" s="250">
        <f>(E63+G63)/2</f>
        <v>23.806915</v>
      </c>
      <c r="G63" s="208">
        <v>47.61383</v>
      </c>
      <c r="H63" s="208">
        <v>25.00465510389</v>
      </c>
      <c r="I63" s="208">
        <v>11.497008414300002</v>
      </c>
      <c r="J63" s="208">
        <v>17.514491514590006</v>
      </c>
      <c r="K63" s="250">
        <f>(J63+L63)/2</f>
        <v>25.00531973897745</v>
      </c>
      <c r="L63" s="208">
        <v>32.4961479633649</v>
      </c>
      <c r="M63" s="250">
        <f>(L63+N63)/2</f>
        <v>83.37061898168245</v>
      </c>
      <c r="N63" s="207">
        <v>134.24509</v>
      </c>
      <c r="O63" s="208">
        <v>124.35959</v>
      </c>
      <c r="P63" s="208">
        <v>119.98671</v>
      </c>
      <c r="Q63" s="208">
        <v>132.3253243226222</v>
      </c>
      <c r="R63" s="519">
        <f>'01 Energy'!E43</f>
        <v>129.33324159730844</v>
      </c>
      <c r="S63" s="464"/>
      <c r="T63" s="254"/>
      <c r="U63" s="254"/>
      <c r="V63" s="254"/>
      <c r="W63" s="254"/>
    </row>
    <row r="64" spans="2:23" ht="12.75">
      <c r="B64" s="570" t="s">
        <v>41</v>
      </c>
      <c r="C64" s="251"/>
      <c r="D64" s="208">
        <v>187</v>
      </c>
      <c r="E64" s="208">
        <v>661.7303064793427</v>
      </c>
      <c r="F64" s="250">
        <f>(E64+G64)/2</f>
        <v>614.2846032396714</v>
      </c>
      <c r="G64" s="208">
        <v>566.8389</v>
      </c>
      <c r="H64" s="208">
        <v>267.2799087</v>
      </c>
      <c r="I64" s="208">
        <v>426.72344219999997</v>
      </c>
      <c r="J64" s="208">
        <v>284.48996003999997</v>
      </c>
      <c r="K64" s="250">
        <f>(J64+L64)/2</f>
        <v>276.33569848999997</v>
      </c>
      <c r="L64" s="208">
        <v>268.18143693999997</v>
      </c>
      <c r="M64" s="250">
        <f>(L64+N64)/2</f>
        <v>240.59244346999998</v>
      </c>
      <c r="N64" s="207">
        <v>213.00345</v>
      </c>
      <c r="O64" s="208">
        <v>186.56846</v>
      </c>
      <c r="P64" s="208">
        <v>188.69675</v>
      </c>
      <c r="Q64" s="208">
        <v>192.92732870700468</v>
      </c>
      <c r="R64" s="519">
        <f>'01 Energy'!F43</f>
        <v>188.84154985654052</v>
      </c>
      <c r="T64" s="254"/>
      <c r="U64" s="254"/>
      <c r="V64" s="254"/>
      <c r="W64" s="254"/>
    </row>
    <row r="65" spans="2:23" ht="12.75">
      <c r="B65" s="555" t="s">
        <v>186</v>
      </c>
      <c r="C65" s="252"/>
      <c r="D65" s="246">
        <f>SUM(D61:D64)</f>
        <v>68055.56286900443</v>
      </c>
      <c r="E65" s="246">
        <f aca="true" t="shared" si="11" ref="E65:M65">SUM(E61:E64)</f>
        <v>78825.3364067771</v>
      </c>
      <c r="F65" s="246">
        <f t="shared" si="11"/>
        <v>74248.07956838855</v>
      </c>
      <c r="G65" s="246">
        <f t="shared" si="11"/>
        <v>69670.82273</v>
      </c>
      <c r="H65" s="246">
        <f t="shared" si="11"/>
        <v>69050.5655576949</v>
      </c>
      <c r="I65" s="246">
        <f t="shared" si="11"/>
        <v>66432.52755755429</v>
      </c>
      <c r="J65" s="246">
        <f t="shared" si="11"/>
        <v>64473.56405851459</v>
      </c>
      <c r="K65" s="246">
        <f t="shared" si="11"/>
        <v>64239.34194461899</v>
      </c>
      <c r="L65" s="246">
        <f t="shared" si="11"/>
        <v>64005.11983072337</v>
      </c>
      <c r="M65" s="246">
        <f t="shared" si="11"/>
        <v>63461.801008954026</v>
      </c>
      <c r="N65" s="245">
        <f>SUM(N61:N64)</f>
        <v>62918.482187184694</v>
      </c>
      <c r="O65" s="246">
        <f>SUM(O61:O64)</f>
        <v>53800.378646577876</v>
      </c>
      <c r="P65" s="246">
        <v>57459.301820507455</v>
      </c>
      <c r="Q65" s="246">
        <v>58173.9859822017</v>
      </c>
      <c r="R65" s="562">
        <f>SUM(R61:R64)</f>
        <v>53483.39473013023</v>
      </c>
      <c r="S65" s="620"/>
      <c r="T65" s="254"/>
      <c r="U65" s="254"/>
      <c r="V65" s="254"/>
      <c r="W65" s="254"/>
    </row>
    <row r="66" spans="2:23" ht="12.75">
      <c r="B66" s="579" t="s">
        <v>182</v>
      </c>
      <c r="C66" s="312" t="s">
        <v>238</v>
      </c>
      <c r="D66" s="313" t="s">
        <v>237</v>
      </c>
      <c r="E66" s="313" t="s">
        <v>237</v>
      </c>
      <c r="F66" s="313" t="s">
        <v>238</v>
      </c>
      <c r="G66" s="313" t="s">
        <v>237</v>
      </c>
      <c r="H66" s="313" t="s">
        <v>237</v>
      </c>
      <c r="I66" s="313" t="s">
        <v>237</v>
      </c>
      <c r="J66" s="313" t="s">
        <v>237</v>
      </c>
      <c r="K66" s="313" t="s">
        <v>238</v>
      </c>
      <c r="L66" s="314" t="s">
        <v>237</v>
      </c>
      <c r="M66" s="314" t="s">
        <v>238</v>
      </c>
      <c r="N66" s="511" t="s">
        <v>237</v>
      </c>
      <c r="O66" s="188" t="s">
        <v>237</v>
      </c>
      <c r="P66" s="188" t="s">
        <v>237</v>
      </c>
      <c r="Q66" s="564" t="s">
        <v>237</v>
      </c>
      <c r="R66" s="581" t="s">
        <v>237</v>
      </c>
      <c r="T66" s="254"/>
      <c r="U66" s="254"/>
      <c r="V66" s="254"/>
      <c r="W66" s="254"/>
    </row>
    <row r="67" spans="2:23" ht="12.75">
      <c r="B67" s="570" t="s">
        <v>17</v>
      </c>
      <c r="C67" s="251"/>
      <c r="D67" s="208">
        <v>34474</v>
      </c>
      <c r="E67" s="208">
        <v>33310.346662700606</v>
      </c>
      <c r="F67" s="250">
        <f>(E67+G67)/2</f>
        <v>30628.788331350304</v>
      </c>
      <c r="G67" s="208">
        <v>27947.23</v>
      </c>
      <c r="H67" s="208">
        <v>28360.29459399</v>
      </c>
      <c r="I67" s="208">
        <v>27002.914969840007</v>
      </c>
      <c r="J67" s="208">
        <v>25477.32803766</v>
      </c>
      <c r="K67" s="250">
        <f>(J67+L67)/2</f>
        <v>24933.988109275</v>
      </c>
      <c r="L67" s="208">
        <v>24390.648180889995</v>
      </c>
      <c r="M67" s="250">
        <f>(L67+N67)/2</f>
        <v>24674.97478184623</v>
      </c>
      <c r="N67" s="207">
        <v>24959.301382802467</v>
      </c>
      <c r="O67" s="208">
        <v>20818.987120365873</v>
      </c>
      <c r="P67" s="208">
        <v>22567.69462848561</v>
      </c>
      <c r="Q67" s="208">
        <v>22758.56896451456</v>
      </c>
      <c r="R67" s="519">
        <f>'01 Energy'!J43-P69</f>
        <v>19628.2895532945</v>
      </c>
      <c r="T67" s="254"/>
      <c r="U67" s="254"/>
      <c r="V67" s="254"/>
      <c r="W67" s="254"/>
    </row>
    <row r="68" spans="2:23" ht="12.75">
      <c r="B68" s="570" t="s">
        <v>15</v>
      </c>
      <c r="C68" s="251"/>
      <c r="D68" s="208">
        <v>25884.017461733678</v>
      </c>
      <c r="E68" s="208">
        <v>25258.504627145</v>
      </c>
      <c r="F68" s="250">
        <f>(E68+G68)/2</f>
        <v>25399.897313572503</v>
      </c>
      <c r="G68" s="208">
        <v>25541.29</v>
      </c>
      <c r="H68" s="208">
        <v>26422.58673646001</v>
      </c>
      <c r="I68" s="208">
        <v>27321.795835639998</v>
      </c>
      <c r="J68" s="208">
        <v>26374.429184790002</v>
      </c>
      <c r="K68" s="250">
        <f>(J68+L68)/2</f>
        <v>26233.935451215002</v>
      </c>
      <c r="L68" s="208">
        <v>26093.441717640006</v>
      </c>
      <c r="M68" s="250">
        <f>(L68+N68)/2</f>
        <v>26040.031241417026</v>
      </c>
      <c r="N68" s="207">
        <v>25986.620765194042</v>
      </c>
      <c r="O68" s="208">
        <v>24312.626543893988</v>
      </c>
      <c r="P68" s="208">
        <v>25272.714193994052</v>
      </c>
      <c r="Q68" s="208">
        <v>25025.330900864563</v>
      </c>
      <c r="R68" s="519">
        <f>'01 Energy'!I43</f>
        <v>25783.70153149523</v>
      </c>
      <c r="S68" s="464"/>
      <c r="T68" s="558"/>
      <c r="U68" s="254"/>
      <c r="V68" s="254"/>
      <c r="W68" s="254"/>
    </row>
    <row r="69" spans="2:23" ht="12.75">
      <c r="B69" s="570" t="s">
        <v>184</v>
      </c>
      <c r="C69" s="251"/>
      <c r="D69" s="250"/>
      <c r="E69" s="250"/>
      <c r="F69" s="250"/>
      <c r="G69" s="250"/>
      <c r="H69" s="250"/>
      <c r="I69" s="250"/>
      <c r="J69" s="250"/>
      <c r="K69" s="250"/>
      <c r="L69" s="250"/>
      <c r="M69" s="250"/>
      <c r="N69" s="207">
        <v>366.54423178225164</v>
      </c>
      <c r="O69" s="208">
        <v>126.22588829408255</v>
      </c>
      <c r="P69" s="208">
        <v>167.67459605607374</v>
      </c>
      <c r="Q69" s="208">
        <v>173.68878443460824</v>
      </c>
      <c r="R69" s="519">
        <f>'01 Energy'!J41/1000000</f>
        <v>106.06196469181363</v>
      </c>
      <c r="S69" s="464"/>
      <c r="T69" s="424"/>
      <c r="U69" s="254"/>
      <c r="V69" s="254"/>
      <c r="W69" s="254"/>
    </row>
    <row r="70" spans="2:23" ht="12.75">
      <c r="B70" s="570" t="s">
        <v>18</v>
      </c>
      <c r="C70" s="251"/>
      <c r="D70" s="208">
        <v>255</v>
      </c>
      <c r="E70" s="208">
        <v>52.5124777742888</v>
      </c>
      <c r="F70" s="250">
        <f>(E70+G70)/2</f>
        <v>37.8711638871444</v>
      </c>
      <c r="G70" s="208">
        <v>23.22985</v>
      </c>
      <c r="H70" s="208">
        <v>41.90340298237097</v>
      </c>
      <c r="I70" s="208">
        <v>21.604388100205</v>
      </c>
      <c r="J70" s="208">
        <v>38.00383364399519</v>
      </c>
      <c r="K70" s="250">
        <f>(J70+L70)/2</f>
        <v>38.00383364399519</v>
      </c>
      <c r="L70" s="208">
        <v>38.003833643995186</v>
      </c>
      <c r="M70" s="250">
        <f>(L70+N70)/2</f>
        <v>53.66513182199759</v>
      </c>
      <c r="N70" s="207">
        <v>69.32643</v>
      </c>
      <c r="O70" s="208">
        <v>64.88377</v>
      </c>
      <c r="P70" s="208">
        <v>63.98826</v>
      </c>
      <c r="Q70" s="208">
        <v>36.90077846696255</v>
      </c>
      <c r="R70" s="519">
        <f>'01 Energy'!K43</f>
        <v>31.662736473767</v>
      </c>
      <c r="T70" s="254"/>
      <c r="U70" s="254"/>
      <c r="V70" s="254"/>
      <c r="W70" s="254"/>
    </row>
    <row r="71" spans="2:23" ht="12.75">
      <c r="B71" s="570" t="s">
        <v>41</v>
      </c>
      <c r="C71" s="251"/>
      <c r="D71" s="208">
        <v>6420</v>
      </c>
      <c r="E71" s="208">
        <v>3142.9621898984146</v>
      </c>
      <c r="F71" s="250">
        <f>(E71+G71)/2</f>
        <v>2967.6900949492074</v>
      </c>
      <c r="G71" s="208">
        <v>2792.418</v>
      </c>
      <c r="H71" s="208">
        <v>3345.3337456</v>
      </c>
      <c r="I71" s="208">
        <v>3016.4231448999994</v>
      </c>
      <c r="J71" s="208">
        <v>3175.9475508600003</v>
      </c>
      <c r="K71" s="250">
        <f>(J71+L71)/2</f>
        <v>2964.514778045</v>
      </c>
      <c r="L71" s="208">
        <v>2753.08200523</v>
      </c>
      <c r="M71" s="250">
        <f>(L71+N71)/2</f>
        <v>2475.733007615</v>
      </c>
      <c r="N71" s="207">
        <v>2198.38401</v>
      </c>
      <c r="O71" s="208">
        <v>2010.14083</v>
      </c>
      <c r="P71" s="208">
        <v>1958.79438</v>
      </c>
      <c r="Q71" s="208">
        <v>1874.3437397132795</v>
      </c>
      <c r="R71" s="519">
        <f>'01 Energy'!L43</f>
        <v>2085.3212559628937</v>
      </c>
      <c r="T71" s="464"/>
      <c r="U71" s="254"/>
      <c r="V71" s="254"/>
      <c r="W71" s="254"/>
    </row>
    <row r="72" spans="2:23" ht="12.75">
      <c r="B72" s="570" t="s">
        <v>24</v>
      </c>
      <c r="C72" s="251"/>
      <c r="D72" s="208">
        <v>1734</v>
      </c>
      <c r="E72" s="208">
        <v>326.6681937238371</v>
      </c>
      <c r="F72" s="250">
        <f>(E72+G72)/2</f>
        <v>297.33204686191857</v>
      </c>
      <c r="G72" s="208">
        <v>267.9959</v>
      </c>
      <c r="H72" s="208">
        <v>349.1564005113</v>
      </c>
      <c r="I72" s="208">
        <v>2.829341300327001</v>
      </c>
      <c r="J72" s="208">
        <v>242.73651725999994</v>
      </c>
      <c r="K72" s="250">
        <f>(J72+L72)/2</f>
        <v>242.73651725999994</v>
      </c>
      <c r="L72" s="208">
        <v>242.73651725999994</v>
      </c>
      <c r="M72" s="250">
        <f>(L72+N72)/2</f>
        <v>203.19693862999998</v>
      </c>
      <c r="N72" s="207">
        <v>163.65736</v>
      </c>
      <c r="O72" s="208">
        <v>280.94591</v>
      </c>
      <c r="P72" s="208">
        <v>257.49983</v>
      </c>
      <c r="Q72" s="208">
        <v>317.3245912707167</v>
      </c>
      <c r="R72" s="519">
        <f>'01 Energy'!M43</f>
        <v>1541.248100236271</v>
      </c>
      <c r="T72" s="254"/>
      <c r="U72" s="254"/>
      <c r="V72" s="254"/>
      <c r="W72" s="254"/>
    </row>
    <row r="73" spans="2:23" ht="12.75">
      <c r="B73" s="566" t="s">
        <v>186</v>
      </c>
      <c r="C73" s="253"/>
      <c r="D73" s="247">
        <f>SUM(D67:D72)</f>
        <v>68767.01746173367</v>
      </c>
      <c r="E73" s="247">
        <f aca="true" t="shared" si="12" ref="E73:M73">SUM(E67:E72)</f>
        <v>62090.99415124215</v>
      </c>
      <c r="F73" s="247">
        <f t="shared" si="12"/>
        <v>59331.57895062108</v>
      </c>
      <c r="G73" s="247">
        <f t="shared" si="12"/>
        <v>56572.16375000001</v>
      </c>
      <c r="H73" s="247">
        <f t="shared" si="12"/>
        <v>58519.274879543686</v>
      </c>
      <c r="I73" s="247">
        <f t="shared" si="12"/>
        <v>57365.567679780535</v>
      </c>
      <c r="J73" s="247">
        <f t="shared" si="12"/>
        <v>55308.445124214</v>
      </c>
      <c r="K73" s="247">
        <f t="shared" si="12"/>
        <v>54413.178689438995</v>
      </c>
      <c r="L73" s="247">
        <f t="shared" si="12"/>
        <v>53517.91225466399</v>
      </c>
      <c r="M73" s="247">
        <f t="shared" si="12"/>
        <v>53447.60110133025</v>
      </c>
      <c r="N73" s="245">
        <f>SUM(N67:N72)</f>
        <v>53743.83417977876</v>
      </c>
      <c r="O73" s="246">
        <f>SUM(O67:O72)</f>
        <v>47613.81006255394</v>
      </c>
      <c r="P73" s="247">
        <v>50288.36588853573</v>
      </c>
      <c r="Q73" s="247">
        <v>50186.15775926468</v>
      </c>
      <c r="R73" s="576">
        <f>SUM(R67:R72)</f>
        <v>49176.28514215447</v>
      </c>
      <c r="T73" s="254"/>
      <c r="U73" s="254"/>
      <c r="V73" s="254"/>
      <c r="W73" s="254"/>
    </row>
    <row r="74" spans="2:23" ht="12.75">
      <c r="B74" s="578" t="s">
        <v>236</v>
      </c>
      <c r="C74" s="312" t="s">
        <v>238</v>
      </c>
      <c r="D74" s="313" t="s">
        <v>237</v>
      </c>
      <c r="E74" s="313" t="s">
        <v>237</v>
      </c>
      <c r="F74" s="313" t="s">
        <v>238</v>
      </c>
      <c r="G74" s="313" t="s">
        <v>237</v>
      </c>
      <c r="H74" s="313" t="s">
        <v>237</v>
      </c>
      <c r="I74" s="313" t="s">
        <v>237</v>
      </c>
      <c r="J74" s="313" t="s">
        <v>237</v>
      </c>
      <c r="K74" s="313" t="s">
        <v>238</v>
      </c>
      <c r="L74" s="314" t="s">
        <v>237</v>
      </c>
      <c r="M74" s="314" t="s">
        <v>238</v>
      </c>
      <c r="N74" s="244" t="s">
        <v>237</v>
      </c>
      <c r="O74" s="189" t="s">
        <v>238</v>
      </c>
      <c r="P74" s="189" t="s">
        <v>238</v>
      </c>
      <c r="Q74" s="189" t="s">
        <v>238</v>
      </c>
      <c r="R74" s="560" t="s">
        <v>237</v>
      </c>
      <c r="T74" s="254"/>
      <c r="U74" s="254"/>
      <c r="V74" s="254"/>
      <c r="W74" s="254"/>
    </row>
    <row r="75" spans="2:23" ht="12.75">
      <c r="B75" s="570" t="s">
        <v>34</v>
      </c>
      <c r="C75" s="251"/>
      <c r="D75" s="208">
        <v>26995</v>
      </c>
      <c r="E75" s="208">
        <v>26768.876419005865</v>
      </c>
      <c r="F75" s="250">
        <f>(E75+G75)/2</f>
        <v>27730.098209502932</v>
      </c>
      <c r="G75" s="208">
        <v>28691.32</v>
      </c>
      <c r="H75" s="208">
        <v>30004.672718411308</v>
      </c>
      <c r="I75" s="208">
        <v>28276.620657742027</v>
      </c>
      <c r="J75" s="208">
        <v>29313.17137019336</v>
      </c>
      <c r="K75" s="250">
        <f>(J75+L75)/2</f>
        <v>28754.78068509668</v>
      </c>
      <c r="L75" s="208">
        <v>28196.39</v>
      </c>
      <c r="M75" s="250">
        <f>(L75+N75)/2</f>
        <v>27372.06567230697</v>
      </c>
      <c r="N75" s="207">
        <v>26547.741344613936</v>
      </c>
      <c r="O75" s="250">
        <f aca="true" t="shared" si="13" ref="O75:O80">N75</f>
        <v>26547.741344613936</v>
      </c>
      <c r="P75" s="250">
        <v>26547.741344613936</v>
      </c>
      <c r="Q75" s="250">
        <v>25077.74559046985</v>
      </c>
      <c r="R75" s="519">
        <f>'01 Energy'!S43</f>
        <v>26608.886927364107</v>
      </c>
      <c r="T75" s="254"/>
      <c r="U75" s="254"/>
      <c r="V75" s="254"/>
      <c r="W75" s="254"/>
    </row>
    <row r="76" spans="2:23" ht="12.75">
      <c r="B76" s="570" t="s">
        <v>178</v>
      </c>
      <c r="C76" s="251"/>
      <c r="D76" s="208">
        <v>2019</v>
      </c>
      <c r="E76" s="208">
        <v>1094.0036459486394</v>
      </c>
      <c r="F76" s="250">
        <f>(E76+G76)/2</f>
        <v>1313.3968229743195</v>
      </c>
      <c r="G76" s="208">
        <v>1532.79</v>
      </c>
      <c r="H76" s="208">
        <v>290.5738860357</v>
      </c>
      <c r="I76" s="208">
        <v>299.29110259980007</v>
      </c>
      <c r="J76" s="208">
        <v>299.29110259980007</v>
      </c>
      <c r="K76" s="250">
        <f>(J76+L76)/2</f>
        <v>370.074385411</v>
      </c>
      <c r="L76" s="208">
        <v>440.8576682221999</v>
      </c>
      <c r="M76" s="250">
        <f>(L76+N76)/2</f>
        <v>446.94372081121367</v>
      </c>
      <c r="N76" s="207">
        <v>453.0297734002274</v>
      </c>
      <c r="O76" s="250">
        <f t="shared" si="13"/>
        <v>453.0297734002274</v>
      </c>
      <c r="P76" s="250">
        <v>453.0297734002274</v>
      </c>
      <c r="Q76" s="250">
        <v>463.3672550834361</v>
      </c>
      <c r="R76" s="519">
        <f>'01 Energy'!Q43</f>
        <v>303.8249133626918</v>
      </c>
      <c r="T76" s="254"/>
      <c r="U76" s="254"/>
      <c r="V76" s="254"/>
      <c r="W76" s="254"/>
    </row>
    <row r="77" spans="2:23" ht="12.75">
      <c r="B77" s="548" t="s">
        <v>179</v>
      </c>
      <c r="C77" s="251"/>
      <c r="D77" s="250"/>
      <c r="E77" s="250"/>
      <c r="F77" s="250"/>
      <c r="G77" s="250"/>
      <c r="H77" s="250"/>
      <c r="I77" s="250"/>
      <c r="J77" s="250"/>
      <c r="K77" s="250"/>
      <c r="L77" s="250"/>
      <c r="M77" s="250"/>
      <c r="N77" s="207">
        <v>2258.804565005942</v>
      </c>
      <c r="O77" s="250">
        <f t="shared" si="13"/>
        <v>2258.804565005942</v>
      </c>
      <c r="P77" s="250">
        <v>2258.804565005942</v>
      </c>
      <c r="Q77" s="250">
        <v>2350.9391161354333</v>
      </c>
      <c r="R77" s="519">
        <f>'01 Energy'!R43</f>
        <v>1969.3679959243532</v>
      </c>
      <c r="S77" s="424"/>
      <c r="T77" s="424"/>
      <c r="U77" s="424"/>
      <c r="V77" s="254"/>
      <c r="W77" s="254"/>
    </row>
    <row r="78" spans="2:23" ht="12.75">
      <c r="B78" s="570" t="s">
        <v>97</v>
      </c>
      <c r="C78" s="251"/>
      <c r="D78" s="208">
        <v>3453</v>
      </c>
      <c r="E78" s="208">
        <v>3145.9975904246494</v>
      </c>
      <c r="F78" s="250">
        <f>(E78+G78)/2</f>
        <v>3776.9007952123247</v>
      </c>
      <c r="G78" s="208">
        <v>4407.804</v>
      </c>
      <c r="H78" s="208">
        <v>4963.634887319079</v>
      </c>
      <c r="I78" s="208">
        <v>5606.359767975533</v>
      </c>
      <c r="J78" s="208">
        <v>5606.359767975533</v>
      </c>
      <c r="K78" s="250">
        <f>(J78+L78)/2</f>
        <v>5668.75275959799</v>
      </c>
      <c r="L78" s="208">
        <v>5731.145751220448</v>
      </c>
      <c r="M78" s="250">
        <f>(L78+N78)/2</f>
        <v>4616.3037677081065</v>
      </c>
      <c r="N78" s="207">
        <v>3501.4617841957643</v>
      </c>
      <c r="O78" s="250">
        <f t="shared" si="13"/>
        <v>3501.4617841957643</v>
      </c>
      <c r="P78" s="250">
        <v>3501.4617841957643</v>
      </c>
      <c r="Q78" s="250">
        <v>3952.256357372274</v>
      </c>
      <c r="R78" s="519">
        <f>'01 Energy'!O43</f>
        <v>3762.088242593628</v>
      </c>
      <c r="T78" s="254"/>
      <c r="U78" s="464"/>
      <c r="V78" s="424"/>
      <c r="W78" s="254"/>
    </row>
    <row r="79" spans="2:23" ht="12.75">
      <c r="B79" s="570" t="s">
        <v>98</v>
      </c>
      <c r="C79" s="251"/>
      <c r="D79" s="208">
        <v>51</v>
      </c>
      <c r="E79" s="208">
        <v>7.682014106208707</v>
      </c>
      <c r="F79" s="250">
        <f>(E79+G79)/2</f>
        <v>9.222577053104354</v>
      </c>
      <c r="G79" s="208">
        <v>10.76314</v>
      </c>
      <c r="H79" s="208">
        <v>10.763142</v>
      </c>
      <c r="I79" s="208">
        <v>10.870773</v>
      </c>
      <c r="J79" s="208">
        <v>10.820770640000001</v>
      </c>
      <c r="K79" s="250">
        <f>(J79+L79)/2</f>
        <v>10.820770640000001</v>
      </c>
      <c r="L79" s="208">
        <v>10.820770640000001</v>
      </c>
      <c r="M79" s="250">
        <f>(L79+N79)/2</f>
        <v>43.67091652222841</v>
      </c>
      <c r="N79" s="207">
        <v>76.52106240445681</v>
      </c>
      <c r="O79" s="250">
        <f t="shared" si="13"/>
        <v>76.52106240445681</v>
      </c>
      <c r="P79" s="250">
        <v>76.52106240445681</v>
      </c>
      <c r="Q79" s="250">
        <v>75.27036708200524</v>
      </c>
      <c r="R79" s="519">
        <f>'01 Energy'!P43</f>
        <v>78.26230933178034</v>
      </c>
      <c r="T79" s="254"/>
      <c r="U79" s="254"/>
      <c r="V79" s="254"/>
      <c r="W79" s="254"/>
    </row>
    <row r="80" spans="2:23" ht="12.75">
      <c r="B80" s="555" t="s">
        <v>186</v>
      </c>
      <c r="C80" s="252"/>
      <c r="D80" s="246">
        <f>SUM(D75:D79)</f>
        <v>32518</v>
      </c>
      <c r="E80" s="246">
        <f aca="true" t="shared" si="14" ref="E80:M80">SUM(E75:E79)</f>
        <v>31016.559669485363</v>
      </c>
      <c r="F80" s="246">
        <f>SUM(F75:F79)</f>
        <v>32829.61840474268</v>
      </c>
      <c r="G80" s="246">
        <f t="shared" si="14"/>
        <v>34642.67714000001</v>
      </c>
      <c r="H80" s="246">
        <f t="shared" si="14"/>
        <v>35269.64463376609</v>
      </c>
      <c r="I80" s="246">
        <f t="shared" si="14"/>
        <v>34193.14230131736</v>
      </c>
      <c r="J80" s="246">
        <f t="shared" si="14"/>
        <v>35229.64301140869</v>
      </c>
      <c r="K80" s="246">
        <f t="shared" si="14"/>
        <v>34804.42860074567</v>
      </c>
      <c r="L80" s="246">
        <f t="shared" si="14"/>
        <v>34379.21419008265</v>
      </c>
      <c r="M80" s="246">
        <f t="shared" si="14"/>
        <v>32478.98407734852</v>
      </c>
      <c r="N80" s="248">
        <f>SUM(N75:N79)</f>
        <v>32837.55852962033</v>
      </c>
      <c r="O80" s="249">
        <f t="shared" si="13"/>
        <v>32837.55852962033</v>
      </c>
      <c r="P80" s="249">
        <v>32837.55852962033</v>
      </c>
      <c r="Q80" s="249">
        <v>31919.578686142995</v>
      </c>
      <c r="R80" s="543">
        <f>SUM(R75:R79)</f>
        <v>32722.430388576562</v>
      </c>
      <c r="T80" s="254"/>
      <c r="U80" s="254"/>
      <c r="V80" s="254"/>
      <c r="W80" s="254"/>
    </row>
    <row r="81" spans="2:23" ht="13.5" thickBot="1">
      <c r="B81" s="577" t="s">
        <v>166</v>
      </c>
      <c r="C81" s="590">
        <v>160431</v>
      </c>
      <c r="D81" s="590">
        <f>D65+D73+D80</f>
        <v>169340.5803307381</v>
      </c>
      <c r="E81" s="590">
        <f>E65+E73+E80</f>
        <v>171932.89022750463</v>
      </c>
      <c r="F81" s="590">
        <f>F65+F73+F80</f>
        <v>166409.2769237523</v>
      </c>
      <c r="G81" s="590">
        <f aca="true" t="shared" si="15" ref="G81:O81">G65+G73+G80</f>
        <v>160885.66362</v>
      </c>
      <c r="H81" s="590">
        <f t="shared" si="15"/>
        <v>162839.4850710047</v>
      </c>
      <c r="I81" s="590">
        <f t="shared" si="15"/>
        <v>157991.2375386522</v>
      </c>
      <c r="J81" s="590">
        <f t="shared" si="15"/>
        <v>155011.65219413728</v>
      </c>
      <c r="K81" s="590">
        <f t="shared" si="15"/>
        <v>153456.94923480367</v>
      </c>
      <c r="L81" s="590">
        <f t="shared" si="15"/>
        <v>151902.24627547</v>
      </c>
      <c r="M81" s="590">
        <f t="shared" si="15"/>
        <v>149388.3861876328</v>
      </c>
      <c r="N81" s="590">
        <f t="shared" si="15"/>
        <v>149499.8748965838</v>
      </c>
      <c r="O81" s="590">
        <f t="shared" si="15"/>
        <v>134251.74723875214</v>
      </c>
      <c r="P81" s="590">
        <v>140585.2262386635</v>
      </c>
      <c r="Q81" s="590">
        <v>140279.72242760938</v>
      </c>
      <c r="R81" s="545">
        <f>R65+R73+R80</f>
        <v>135382.11026086126</v>
      </c>
      <c r="T81" s="254"/>
      <c r="U81" s="254"/>
      <c r="V81" s="254"/>
      <c r="W81" s="254"/>
    </row>
    <row r="82" s="254" customFormat="1" ht="12.75">
      <c r="R82" s="575"/>
    </row>
  </sheetData>
  <sheetProtection/>
  <mergeCells count="12">
    <mergeCell ref="B51:R52"/>
    <mergeCell ref="B15:B16"/>
    <mergeCell ref="C17:M17"/>
    <mergeCell ref="N17:R17"/>
    <mergeCell ref="C7:D7"/>
    <mergeCell ref="C4:Q4"/>
    <mergeCell ref="S36:W44"/>
    <mergeCell ref="C59:M59"/>
    <mergeCell ref="C15:M15"/>
    <mergeCell ref="N15:R15"/>
    <mergeCell ref="C57:R57"/>
    <mergeCell ref="N59:R59"/>
  </mergeCells>
  <printOptions/>
  <pageMargins left="0.25" right="0.25" top="0.75" bottom="0.75" header="0.3" footer="0.3"/>
  <pageSetup fitToHeight="1" fitToWidth="1" horizontalDpi="600" verticalDpi="600" orientation="landscape" paperSize="8" scale="61"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B2:H28"/>
  <sheetViews>
    <sheetView view="pageBreakPreview" zoomScale="75" zoomScaleSheetLayoutView="75" zoomScalePageLayoutView="0" workbookViewId="0" topLeftCell="A16">
      <selection activeCell="E20" sqref="E20"/>
    </sheetView>
  </sheetViews>
  <sheetFormatPr defaultColWidth="9.140625" defaultRowHeight="12.75"/>
  <cols>
    <col min="1" max="1" width="2.7109375" style="7" customWidth="1"/>
    <col min="2" max="2" width="15.7109375" style="2" customWidth="1"/>
    <col min="3" max="4" width="15.7109375" style="3" customWidth="1"/>
    <col min="5" max="5" width="60.7109375" style="7" customWidth="1"/>
    <col min="6" max="6" width="60.7109375" style="10" customWidth="1"/>
    <col min="7" max="7" width="15.7109375" style="9" customWidth="1"/>
    <col min="8" max="8" width="56.57421875" style="7" hidden="1" customWidth="1"/>
    <col min="9" max="16384" width="9.140625" style="7" customWidth="1"/>
  </cols>
  <sheetData>
    <row r="2" spans="2:8" ht="18.75" customHeight="1">
      <c r="B2" s="32" t="s">
        <v>253</v>
      </c>
      <c r="C2" s="164" t="s">
        <v>159</v>
      </c>
      <c r="D2" s="165"/>
      <c r="H2" s="117"/>
    </row>
    <row r="3" spans="2:7" s="2" customFormat="1" ht="13.5" thickBot="1">
      <c r="B3" s="5"/>
      <c r="C3" s="3"/>
      <c r="D3" s="3"/>
      <c r="F3" s="3"/>
      <c r="G3" s="4"/>
    </row>
    <row r="4" spans="2:8" s="2" customFormat="1" ht="19.5" customHeight="1">
      <c r="B4" s="162" t="s">
        <v>11</v>
      </c>
      <c r="C4" s="798" t="s">
        <v>12</v>
      </c>
      <c r="D4" s="799"/>
      <c r="E4" s="162" t="s">
        <v>13</v>
      </c>
      <c r="F4" s="163" t="s">
        <v>35</v>
      </c>
      <c r="G4" s="163" t="s">
        <v>36</v>
      </c>
      <c r="H4" s="118" t="s">
        <v>176</v>
      </c>
    </row>
    <row r="5" spans="2:8" ht="38.25">
      <c r="B5" s="809" t="s">
        <v>14</v>
      </c>
      <c r="C5" s="791" t="s">
        <v>15</v>
      </c>
      <c r="D5" s="792"/>
      <c r="E5" s="6" t="s">
        <v>16</v>
      </c>
      <c r="F5" s="291" t="s">
        <v>369</v>
      </c>
      <c r="G5" s="161">
        <v>2014</v>
      </c>
      <c r="H5" s="120" t="s">
        <v>175</v>
      </c>
    </row>
    <row r="6" spans="2:8" ht="54.75" customHeight="1">
      <c r="B6" s="810"/>
      <c r="C6" s="791" t="s">
        <v>17</v>
      </c>
      <c r="D6" s="792"/>
      <c r="E6" s="6" t="s">
        <v>338</v>
      </c>
      <c r="F6" s="327" t="s">
        <v>260</v>
      </c>
      <c r="G6" s="161">
        <v>2014</v>
      </c>
      <c r="H6" s="121"/>
    </row>
    <row r="7" spans="2:8" ht="45" customHeight="1">
      <c r="B7" s="810"/>
      <c r="C7" s="791" t="s">
        <v>18</v>
      </c>
      <c r="D7" s="792"/>
      <c r="E7" s="6" t="s">
        <v>19</v>
      </c>
      <c r="F7" s="803" t="s">
        <v>235</v>
      </c>
      <c r="G7" s="804">
        <v>2014</v>
      </c>
      <c r="H7" s="120" t="s">
        <v>183</v>
      </c>
    </row>
    <row r="8" spans="2:8" ht="41.25" customHeight="1">
      <c r="B8" s="811"/>
      <c r="C8" s="791" t="s">
        <v>20</v>
      </c>
      <c r="D8" s="792"/>
      <c r="E8" s="6" t="s">
        <v>21</v>
      </c>
      <c r="F8" s="803"/>
      <c r="G8" s="804"/>
      <c r="H8" s="121"/>
    </row>
    <row r="9" spans="2:8" ht="55.5" customHeight="1">
      <c r="B9" s="809" t="s">
        <v>254</v>
      </c>
      <c r="C9" s="791" t="s">
        <v>15</v>
      </c>
      <c r="D9" s="792"/>
      <c r="E9" s="304" t="s">
        <v>339</v>
      </c>
      <c r="F9" s="291" t="s">
        <v>256</v>
      </c>
      <c r="G9" s="161">
        <v>2014</v>
      </c>
      <c r="H9" s="121"/>
    </row>
    <row r="10" spans="2:8" ht="63.75">
      <c r="B10" s="810"/>
      <c r="C10" s="791" t="s">
        <v>17</v>
      </c>
      <c r="D10" s="792"/>
      <c r="E10" s="8" t="s">
        <v>340</v>
      </c>
      <c r="F10" s="327" t="s">
        <v>260</v>
      </c>
      <c r="G10" s="328">
        <v>2014</v>
      </c>
      <c r="H10" s="121"/>
    </row>
    <row r="11" spans="2:8" ht="63.75">
      <c r="B11" s="810"/>
      <c r="C11" s="791" t="s">
        <v>18</v>
      </c>
      <c r="D11" s="792"/>
      <c r="E11" s="8" t="s">
        <v>22</v>
      </c>
      <c r="F11" s="805" t="s">
        <v>235</v>
      </c>
      <c r="G11" s="804">
        <v>2014</v>
      </c>
      <c r="H11" s="121"/>
    </row>
    <row r="12" spans="2:8" ht="76.5">
      <c r="B12" s="810"/>
      <c r="C12" s="791" t="s">
        <v>20</v>
      </c>
      <c r="D12" s="792"/>
      <c r="E12" s="8" t="s">
        <v>23</v>
      </c>
      <c r="F12" s="805"/>
      <c r="G12" s="804"/>
      <c r="H12" s="121"/>
    </row>
    <row r="13" spans="2:8" ht="88.5" customHeight="1">
      <c r="B13" s="811"/>
      <c r="C13" s="791" t="s">
        <v>24</v>
      </c>
      <c r="D13" s="792"/>
      <c r="E13" s="8" t="s">
        <v>25</v>
      </c>
      <c r="F13" s="805"/>
      <c r="G13" s="804"/>
      <c r="H13" s="121"/>
    </row>
    <row r="14" spans="2:8" ht="47.25" customHeight="1">
      <c r="B14" s="809" t="s">
        <v>26</v>
      </c>
      <c r="C14" s="812" t="s">
        <v>27</v>
      </c>
      <c r="D14" s="166" t="s">
        <v>28</v>
      </c>
      <c r="E14" s="796" t="s">
        <v>385</v>
      </c>
      <c r="F14" s="806" t="s">
        <v>215</v>
      </c>
      <c r="G14" s="800" t="s">
        <v>384</v>
      </c>
      <c r="H14" s="793"/>
    </row>
    <row r="15" spans="2:8" ht="45.75" customHeight="1">
      <c r="B15" s="810"/>
      <c r="C15" s="813"/>
      <c r="D15" s="166" t="s">
        <v>29</v>
      </c>
      <c r="E15" s="796"/>
      <c r="F15" s="807"/>
      <c r="G15" s="801"/>
      <c r="H15" s="794"/>
    </row>
    <row r="16" spans="2:8" ht="66.75" customHeight="1">
      <c r="B16" s="810"/>
      <c r="C16" s="814"/>
      <c r="D16" s="166" t="s">
        <v>165</v>
      </c>
      <c r="E16" s="796"/>
      <c r="F16" s="807"/>
      <c r="G16" s="801"/>
      <c r="H16" s="795"/>
    </row>
    <row r="17" spans="2:8" ht="105.75" customHeight="1">
      <c r="B17" s="810"/>
      <c r="C17" s="791" t="s">
        <v>30</v>
      </c>
      <c r="D17" s="792"/>
      <c r="E17" s="8" t="s">
        <v>389</v>
      </c>
      <c r="F17" s="807"/>
      <c r="G17" s="801"/>
      <c r="H17" s="121"/>
    </row>
    <row r="18" spans="2:8" ht="48.75" customHeight="1">
      <c r="B18" s="810"/>
      <c r="C18" s="797" t="s">
        <v>31</v>
      </c>
      <c r="D18" s="166" t="s">
        <v>32</v>
      </c>
      <c r="E18" s="806" t="s">
        <v>390</v>
      </c>
      <c r="F18" s="807"/>
      <c r="G18" s="801"/>
      <c r="H18" s="121"/>
    </row>
    <row r="19" spans="2:8" ht="12.75">
      <c r="B19" s="810"/>
      <c r="C19" s="797"/>
      <c r="D19" s="166" t="s">
        <v>33</v>
      </c>
      <c r="E19" s="808"/>
      <c r="F19" s="807"/>
      <c r="G19" s="801"/>
      <c r="H19" s="121"/>
    </row>
    <row r="20" spans="2:8" ht="123" customHeight="1" thickBot="1">
      <c r="B20" s="811"/>
      <c r="C20" s="791" t="s">
        <v>34</v>
      </c>
      <c r="D20" s="792"/>
      <c r="E20" s="6" t="s">
        <v>386</v>
      </c>
      <c r="F20" s="808"/>
      <c r="G20" s="802"/>
      <c r="H20" s="119"/>
    </row>
    <row r="21" spans="2:7" ht="35.25" customHeight="1">
      <c r="B21" s="166" t="s">
        <v>110</v>
      </c>
      <c r="C21" s="791" t="s">
        <v>258</v>
      </c>
      <c r="D21" s="792"/>
      <c r="E21" s="6" t="s">
        <v>259</v>
      </c>
      <c r="F21" s="323" t="s">
        <v>387</v>
      </c>
      <c r="G21" s="324">
        <v>2014</v>
      </c>
    </row>
    <row r="23" spans="2:3" ht="12.75">
      <c r="B23" s="11"/>
      <c r="C23" s="12"/>
    </row>
    <row r="24" spans="2:3" ht="12.75">
      <c r="B24" s="11"/>
      <c r="C24" s="12"/>
    </row>
    <row r="25" ht="12.75">
      <c r="C25" s="167"/>
    </row>
    <row r="26" ht="12.75">
      <c r="C26" s="12"/>
    </row>
    <row r="27" spans="2:3" ht="12.75">
      <c r="B27" s="11"/>
      <c r="C27" s="12"/>
    </row>
    <row r="28" spans="2:3" ht="12.75">
      <c r="B28" s="11"/>
      <c r="C28" s="12"/>
    </row>
  </sheetData>
  <sheetProtection/>
  <mergeCells count="27">
    <mergeCell ref="B5:B8"/>
    <mergeCell ref="B9:B13"/>
    <mergeCell ref="C12:D12"/>
    <mergeCell ref="C13:D13"/>
    <mergeCell ref="C14:C16"/>
    <mergeCell ref="B14:B20"/>
    <mergeCell ref="C17:D17"/>
    <mergeCell ref="C11:D11"/>
    <mergeCell ref="C20:D20"/>
    <mergeCell ref="F7:F8"/>
    <mergeCell ref="G7:G8"/>
    <mergeCell ref="F11:F13"/>
    <mergeCell ref="G11:G13"/>
    <mergeCell ref="F14:F20"/>
    <mergeCell ref="C10:D10"/>
    <mergeCell ref="C9:D9"/>
    <mergeCell ref="E18:E19"/>
    <mergeCell ref="C21:D21"/>
    <mergeCell ref="H14:H16"/>
    <mergeCell ref="E14:E16"/>
    <mergeCell ref="C18:C19"/>
    <mergeCell ref="C4:D4"/>
    <mergeCell ref="C5:D5"/>
    <mergeCell ref="C6:D6"/>
    <mergeCell ref="C7:D7"/>
    <mergeCell ref="C8:D8"/>
    <mergeCell ref="G14:G20"/>
  </mergeCells>
  <hyperlinks>
    <hyperlink ref="H5" r:id="rId1" display="https://www.gov.uk/government/statistical-data-sets/regional-and-local-authority-electricity-consumption-statistics-2005-to-2011&#10;"/>
    <hyperlink ref="H7" r:id="rId2" display="https://www.gov.uk/government/statistical-data-sets/estimates-of-non-gas-non-electricity-and-non-road-transport-fuels-at-regional-and-local-authority-level"/>
  </hyperlinks>
  <printOptions horizontalCentered="1" verticalCentered="1"/>
  <pageMargins left="0.25" right="0.25" top="0.75" bottom="0.75" header="0.3" footer="0.3"/>
  <pageSetup fitToHeight="1" fitToWidth="1" horizontalDpi="600" verticalDpi="600" orientation="landscape" paperSize="9" scale="47" r:id="rId3"/>
</worksheet>
</file>

<file path=xl/worksheets/sheet2.xml><?xml version="1.0" encoding="utf-8"?>
<worksheet xmlns="http://schemas.openxmlformats.org/spreadsheetml/2006/main" xmlns:r="http://schemas.openxmlformats.org/officeDocument/2006/relationships">
  <sheetPr>
    <pageSetUpPr fitToPage="1"/>
  </sheetPr>
  <dimension ref="B2:U44"/>
  <sheetViews>
    <sheetView view="pageBreakPreview" zoomScaleSheetLayoutView="100" zoomScalePageLayoutView="0" workbookViewId="0" topLeftCell="A1">
      <selection activeCell="G2" sqref="G2"/>
    </sheetView>
  </sheetViews>
  <sheetFormatPr defaultColWidth="9.140625" defaultRowHeight="12.75"/>
  <cols>
    <col min="1" max="1" width="2.00390625" style="0" customWidth="1"/>
    <col min="2" max="2" width="23.28125" style="0" bestFit="1" customWidth="1"/>
    <col min="3" max="21" width="14.7109375" style="0" customWidth="1"/>
  </cols>
  <sheetData>
    <row r="2" spans="2:7" ht="18">
      <c r="B2" s="152" t="s">
        <v>251</v>
      </c>
      <c r="C2" s="152" t="s">
        <v>370</v>
      </c>
      <c r="D2" s="95"/>
      <c r="E2" s="95"/>
      <c r="F2" s="95"/>
      <c r="G2" s="95"/>
    </row>
    <row r="4" spans="2:21" ht="12.75">
      <c r="B4" s="171" t="s">
        <v>93</v>
      </c>
      <c r="C4" s="655" t="s">
        <v>11</v>
      </c>
      <c r="D4" s="656"/>
      <c r="E4" s="656"/>
      <c r="F4" s="656"/>
      <c r="G4" s="656"/>
      <c r="H4" s="656"/>
      <c r="I4" s="656"/>
      <c r="J4" s="656"/>
      <c r="K4" s="656"/>
      <c r="L4" s="656"/>
      <c r="M4" s="656"/>
      <c r="N4" s="656"/>
      <c r="O4" s="656"/>
      <c r="P4" s="656"/>
      <c r="Q4" s="656"/>
      <c r="R4" s="656"/>
      <c r="S4" s="656"/>
      <c r="T4" s="656"/>
      <c r="U4" s="649" t="s">
        <v>95</v>
      </c>
    </row>
    <row r="5" spans="2:21" ht="12.75">
      <c r="B5" s="172"/>
      <c r="C5" s="657" t="s">
        <v>14</v>
      </c>
      <c r="D5" s="657"/>
      <c r="E5" s="657"/>
      <c r="F5" s="657"/>
      <c r="G5" s="657"/>
      <c r="H5" s="652" t="s">
        <v>94</v>
      </c>
      <c r="I5" s="653"/>
      <c r="J5" s="653"/>
      <c r="K5" s="653"/>
      <c r="L5" s="653"/>
      <c r="M5" s="653"/>
      <c r="N5" s="654"/>
      <c r="O5" s="652" t="s">
        <v>26</v>
      </c>
      <c r="P5" s="653"/>
      <c r="Q5" s="653"/>
      <c r="R5" s="653"/>
      <c r="S5" s="653"/>
      <c r="T5" s="654"/>
      <c r="U5" s="650"/>
    </row>
    <row r="6" spans="2:21" s="19" customFormat="1" ht="25.5" customHeight="1">
      <c r="B6" s="173"/>
      <c r="C6" s="169" t="s">
        <v>15</v>
      </c>
      <c r="D6" s="169" t="s">
        <v>17</v>
      </c>
      <c r="E6" s="169" t="s">
        <v>18</v>
      </c>
      <c r="F6" s="169" t="s">
        <v>41</v>
      </c>
      <c r="G6" s="169" t="s">
        <v>89</v>
      </c>
      <c r="H6" s="170" t="s">
        <v>15</v>
      </c>
      <c r="I6" s="170" t="s">
        <v>174</v>
      </c>
      <c r="J6" s="170" t="s">
        <v>17</v>
      </c>
      <c r="K6" s="169" t="s">
        <v>18</v>
      </c>
      <c r="L6" s="169" t="s">
        <v>41</v>
      </c>
      <c r="M6" s="169" t="s">
        <v>24</v>
      </c>
      <c r="N6" s="170" t="s">
        <v>89</v>
      </c>
      <c r="O6" s="170" t="s">
        <v>313</v>
      </c>
      <c r="P6" s="170" t="s">
        <v>298</v>
      </c>
      <c r="Q6" s="170" t="s">
        <v>172</v>
      </c>
      <c r="R6" s="170" t="s">
        <v>173</v>
      </c>
      <c r="S6" s="170" t="s">
        <v>34</v>
      </c>
      <c r="T6" s="170" t="s">
        <v>89</v>
      </c>
      <c r="U6" s="651"/>
    </row>
    <row r="7" spans="2:21" ht="12.75">
      <c r="B7" s="309" t="s">
        <v>36</v>
      </c>
      <c r="C7" s="21">
        <v>2014</v>
      </c>
      <c r="D7" s="22">
        <v>2014</v>
      </c>
      <c r="E7" s="22">
        <v>2014</v>
      </c>
      <c r="F7" s="22">
        <v>2014</v>
      </c>
      <c r="G7" s="21"/>
      <c r="H7" s="21">
        <v>2014</v>
      </c>
      <c r="I7" s="22">
        <v>2014</v>
      </c>
      <c r="J7" s="22">
        <v>2014</v>
      </c>
      <c r="K7" s="22">
        <v>2014</v>
      </c>
      <c r="L7" s="22">
        <v>2014</v>
      </c>
      <c r="M7" s="22">
        <v>2014</v>
      </c>
      <c r="N7" s="21"/>
      <c r="O7" s="21" t="s">
        <v>388</v>
      </c>
      <c r="P7" s="22">
        <v>2014</v>
      </c>
      <c r="Q7" s="22">
        <v>2014</v>
      </c>
      <c r="R7" s="22">
        <v>2014</v>
      </c>
      <c r="S7" s="22">
        <v>2014</v>
      </c>
      <c r="T7" s="24"/>
      <c r="U7" s="24"/>
    </row>
    <row r="8" spans="2:21" ht="12.75">
      <c r="B8" s="174" t="s">
        <v>46</v>
      </c>
      <c r="C8" s="509">
        <f>'03a Data_Elec&amp;Gas'!G7</f>
        <v>272901887.7</v>
      </c>
      <c r="D8" s="508">
        <f>'03a Data_Elec&amp;Gas'!K7</f>
        <v>762016168.3910167</v>
      </c>
      <c r="E8" s="508">
        <f>'03b Data_Residual'!K7</f>
        <v>4992336.19472519</v>
      </c>
      <c r="F8" s="508">
        <f>'03b Data_Residual'!L7</f>
        <v>2496911.36168759</v>
      </c>
      <c r="G8" s="232">
        <f>SUM(C8:F8)</f>
        <v>1042407303.6474295</v>
      </c>
      <c r="H8" s="508">
        <f>'03a Data_Elec&amp;Gas'!H7</f>
        <v>314089618.3236619</v>
      </c>
      <c r="I8" s="508">
        <f>H8-R8</f>
        <v>269588176.67223984</v>
      </c>
      <c r="J8" s="508">
        <f>'03a Data_Elec&amp;Gas'!L7</f>
        <v>229834760.14556727</v>
      </c>
      <c r="K8" s="508">
        <f>'03b Data_Residual'!M7</f>
        <v>12786786.91439287</v>
      </c>
      <c r="L8" s="508">
        <f>'03b Data_Residual'!N7</f>
        <v>149536113.63314056</v>
      </c>
      <c r="M8" s="508">
        <f>'03b Data_Residual'!O7</f>
        <v>71081766.50184065</v>
      </c>
      <c r="N8" s="232">
        <f>SUM(I8:M8)</f>
        <v>732827603.8671811</v>
      </c>
      <c r="O8" s="508">
        <f>'03c Data_Transport'!M7</f>
        <v>0</v>
      </c>
      <c r="P8" s="508">
        <f>'03c Data_Transport'!N7</f>
        <v>9229235.864474505</v>
      </c>
      <c r="Q8" s="508">
        <f>'03c Data_Transport'!K7</f>
        <v>6173389.866707629</v>
      </c>
      <c r="R8" s="508">
        <f>'03c Data_Transport'!L7</f>
        <v>44501441.651422106</v>
      </c>
      <c r="S8" s="508">
        <f>'03c Data_Transport'!J7</f>
        <v>547590499.221433</v>
      </c>
      <c r="T8" s="232">
        <f>SUM(O8:S8)</f>
        <v>607494566.6040373</v>
      </c>
      <c r="U8" s="96">
        <f>G8+N8+T8</f>
        <v>2382729474.1186476</v>
      </c>
    </row>
    <row r="9" spans="2:21" ht="12.75">
      <c r="B9" s="174" t="s">
        <v>47</v>
      </c>
      <c r="C9" s="509">
        <f>'03a Data_Elec&amp;Gas'!G8</f>
        <v>633063075.4</v>
      </c>
      <c r="D9" s="508">
        <f>'03a Data_Elec&amp;Gas'!K8</f>
        <v>2263044922.5481477</v>
      </c>
      <c r="E9" s="508">
        <f>'03b Data_Residual'!K8</f>
        <v>4763231.904823144</v>
      </c>
      <c r="F9" s="508">
        <f>'03b Data_Residual'!L8</f>
        <v>8356284.231819625</v>
      </c>
      <c r="G9" s="232">
        <f aca="true" t="shared" si="0" ref="G9:G40">SUM(C9:F9)</f>
        <v>2909227514.0847907</v>
      </c>
      <c r="H9" s="508">
        <f>'03a Data_Elec&amp;Gas'!H8</f>
        <v>643095500.1992413</v>
      </c>
      <c r="I9" s="508">
        <f aca="true" t="shared" si="1" ref="I9:I41">H9-R9</f>
        <v>563791492.310328</v>
      </c>
      <c r="J9" s="508">
        <f>'03a Data_Elec&amp;Gas'!L8</f>
        <v>573065324.8366815</v>
      </c>
      <c r="K9" s="508">
        <f>'03b Data_Residual'!M8</f>
        <v>139613.73872275252</v>
      </c>
      <c r="L9" s="508">
        <f>'03b Data_Residual'!N8</f>
        <v>41000418.2340229</v>
      </c>
      <c r="M9" s="508">
        <f>'03b Data_Residual'!O8</f>
        <v>39815632.39538884</v>
      </c>
      <c r="N9" s="232">
        <f aca="true" t="shared" si="2" ref="N9:N40">SUM(I9:M9)</f>
        <v>1217812481.5151439</v>
      </c>
      <c r="O9" s="508">
        <f>'03c Data_Transport'!M8</f>
        <v>916419.9363383173</v>
      </c>
      <c r="P9" s="508">
        <f>'03c Data_Transport'!N8</f>
        <v>0</v>
      </c>
      <c r="Q9" s="508">
        <f>'03c Data_Transport'!K8</f>
        <v>19614625.163475428</v>
      </c>
      <c r="R9" s="508">
        <f>'03c Data_Transport'!L8</f>
        <v>79304007.88891324</v>
      </c>
      <c r="S9" s="508">
        <f>'03c Data_Transport'!J8</f>
        <v>1591811026.6391704</v>
      </c>
      <c r="T9" s="232">
        <f aca="true" t="shared" si="3" ref="T9:T40">SUM(O9:S9)</f>
        <v>1691646079.6278975</v>
      </c>
      <c r="U9" s="96">
        <f aca="true" t="shared" si="4" ref="U9:U43">G9+N9+T9</f>
        <v>5818686075.227832</v>
      </c>
    </row>
    <row r="10" spans="2:21" ht="12.75">
      <c r="B10" s="174" t="s">
        <v>48</v>
      </c>
      <c r="C10" s="509">
        <f>'03a Data_Elec&amp;Gas'!G9</f>
        <v>391796730.6</v>
      </c>
      <c r="D10" s="508">
        <f>'03a Data_Elec&amp;Gas'!K9</f>
        <v>1150908191.4063098</v>
      </c>
      <c r="E10" s="508">
        <f>'03b Data_Residual'!K9</f>
        <v>5850720.416557741</v>
      </c>
      <c r="F10" s="508">
        <f>'03b Data_Residual'!L9</f>
        <v>5830791.376865368</v>
      </c>
      <c r="G10" s="232">
        <f t="shared" si="0"/>
        <v>1554386433.7997332</v>
      </c>
      <c r="H10" s="508">
        <f>'03a Data_Elec&amp;Gas'!H9</f>
        <v>493875253.90546846</v>
      </c>
      <c r="I10" s="508">
        <f t="shared" si="1"/>
        <v>473171386.7003664</v>
      </c>
      <c r="J10" s="508">
        <f>'03a Data_Elec&amp;Gas'!L9</f>
        <v>689984266.4105163</v>
      </c>
      <c r="K10" s="508">
        <f>'03b Data_Residual'!M9</f>
        <v>215314.60425524204</v>
      </c>
      <c r="L10" s="508">
        <f>'03b Data_Residual'!N9</f>
        <v>142192026.9949305</v>
      </c>
      <c r="M10" s="508">
        <f>'03b Data_Residual'!O9</f>
        <v>79232321.9466031</v>
      </c>
      <c r="N10" s="232">
        <f t="shared" si="2"/>
        <v>1384795316.6566715</v>
      </c>
      <c r="O10" s="508">
        <f>'03c Data_Transport'!M9</f>
        <v>33251624.389772173</v>
      </c>
      <c r="P10" s="508">
        <f>'03c Data_Transport'!N9</f>
        <v>6743132.545721941</v>
      </c>
      <c r="Q10" s="508">
        <f>'03c Data_Transport'!K9</f>
        <v>3191701.2134066112</v>
      </c>
      <c r="R10" s="508">
        <f>'03c Data_Transport'!L9</f>
        <v>20703867.20510211</v>
      </c>
      <c r="S10" s="508">
        <f>'03c Data_Transport'!J9</f>
        <v>767757522.6437726</v>
      </c>
      <c r="T10" s="232">
        <f t="shared" si="3"/>
        <v>831647847.9977754</v>
      </c>
      <c r="U10" s="96">
        <f t="shared" si="4"/>
        <v>3770829598.4541802</v>
      </c>
    </row>
    <row r="11" spans="2:21" ht="12.75">
      <c r="B11" s="174" t="s">
        <v>49</v>
      </c>
      <c r="C11" s="509">
        <f>'03a Data_Elec&amp;Gas'!G10</f>
        <v>435615822.4</v>
      </c>
      <c r="D11" s="508">
        <f>'03a Data_Elec&amp;Gas'!K10</f>
        <v>1592866622.5513558</v>
      </c>
      <c r="E11" s="508">
        <f>'03b Data_Residual'!K10</f>
        <v>3434433.4294074294</v>
      </c>
      <c r="F11" s="508">
        <f>'03b Data_Residual'!L10</f>
        <v>5002786.675619452</v>
      </c>
      <c r="G11" s="232">
        <f t="shared" si="0"/>
        <v>2036919665.0563827</v>
      </c>
      <c r="H11" s="508">
        <f>'03a Data_Elec&amp;Gas'!H10</f>
        <v>920652156.691436</v>
      </c>
      <c r="I11" s="508">
        <f t="shared" si="1"/>
        <v>822388983.0153384</v>
      </c>
      <c r="J11" s="508">
        <f>'03a Data_Elec&amp;Gas'!L10</f>
        <v>577864938.514392</v>
      </c>
      <c r="K11" s="508">
        <f>'03b Data_Residual'!M10</f>
        <v>0</v>
      </c>
      <c r="L11" s="508">
        <f>'03b Data_Residual'!N10</f>
        <v>77482990.38995361</v>
      </c>
      <c r="M11" s="508">
        <f>'03b Data_Residual'!O10</f>
        <v>29046828.04687529</v>
      </c>
      <c r="N11" s="232">
        <f t="shared" si="2"/>
        <v>1506783739.9665592</v>
      </c>
      <c r="O11" s="508">
        <f>'03c Data_Transport'!M10</f>
        <v>1351414.951028506</v>
      </c>
      <c r="P11" s="508">
        <f>'03c Data_Transport'!N10</f>
        <v>0</v>
      </c>
      <c r="Q11" s="508">
        <f>'03c Data_Transport'!K10</f>
        <v>32386800.63707113</v>
      </c>
      <c r="R11" s="508">
        <f>'03c Data_Transport'!L10</f>
        <v>98263173.67609763</v>
      </c>
      <c r="S11" s="508">
        <f>'03c Data_Transport'!J10</f>
        <v>848860550.3451891</v>
      </c>
      <c r="T11" s="232">
        <f t="shared" si="3"/>
        <v>980861939.6093863</v>
      </c>
      <c r="U11" s="96">
        <f t="shared" si="4"/>
        <v>4524565344.632328</v>
      </c>
    </row>
    <row r="12" spans="2:21" ht="12.75">
      <c r="B12" s="174" t="s">
        <v>50</v>
      </c>
      <c r="C12" s="509">
        <f>'03a Data_Elec&amp;Gas'!G11</f>
        <v>571978417.3</v>
      </c>
      <c r="D12" s="508">
        <f>'03a Data_Elec&amp;Gas'!K11</f>
        <v>1897789196.0994263</v>
      </c>
      <c r="E12" s="508">
        <f>'03b Data_Residual'!K11</f>
        <v>6365687.919122011</v>
      </c>
      <c r="F12" s="508">
        <f>'03b Data_Residual'!L11</f>
        <v>13434995.468554916</v>
      </c>
      <c r="G12" s="232">
        <f t="shared" si="0"/>
        <v>2489568296.7871037</v>
      </c>
      <c r="H12" s="508">
        <f>'03a Data_Elec&amp;Gas'!H11</f>
        <v>464817682.5311439</v>
      </c>
      <c r="I12" s="508">
        <f t="shared" si="1"/>
        <v>415671756.2705718</v>
      </c>
      <c r="J12" s="508">
        <f>'03a Data_Elec&amp;Gas'!L11</f>
        <v>370230135.42906314</v>
      </c>
      <c r="K12" s="508">
        <f>'03b Data_Residual'!M11</f>
        <v>31803.73994961324</v>
      </c>
      <c r="L12" s="508">
        <f>'03b Data_Residual'!N11</f>
        <v>73050025.94777885</v>
      </c>
      <c r="M12" s="508">
        <f>'03b Data_Residual'!O11</f>
        <v>49494827.450963624</v>
      </c>
      <c r="N12" s="232">
        <f t="shared" si="2"/>
        <v>908478548.838327</v>
      </c>
      <c r="O12" s="508">
        <f>'03c Data_Transport'!M11</f>
        <v>5699238.400424412</v>
      </c>
      <c r="P12" s="508">
        <f>'03c Data_Transport'!N11</f>
        <v>0</v>
      </c>
      <c r="Q12" s="508">
        <f>'03c Data_Transport'!K11</f>
        <v>2763415.686473777</v>
      </c>
      <c r="R12" s="508">
        <f>'03c Data_Transport'!L11</f>
        <v>49145926.26057208</v>
      </c>
      <c r="S12" s="508">
        <f>'03c Data_Transport'!J11</f>
        <v>1032836524.1769013</v>
      </c>
      <c r="T12" s="232">
        <f t="shared" si="3"/>
        <v>1090445104.5243716</v>
      </c>
      <c r="U12" s="96">
        <f t="shared" si="4"/>
        <v>4488491950.149802</v>
      </c>
    </row>
    <row r="13" spans="2:21" ht="12.75">
      <c r="B13" s="174" t="s">
        <v>51</v>
      </c>
      <c r="C13" s="509">
        <f>'03a Data_Elec&amp;Gas'!G12</f>
        <v>360200450.6</v>
      </c>
      <c r="D13" s="508">
        <f>'03a Data_Elec&amp;Gas'!K12</f>
        <v>998574266.4097713</v>
      </c>
      <c r="E13" s="508">
        <f>'03b Data_Residual'!K12</f>
        <v>1169176.1991218454</v>
      </c>
      <c r="F13" s="508">
        <f>'03b Data_Residual'!L12</f>
        <v>9502040.730304612</v>
      </c>
      <c r="G13" s="232">
        <f t="shared" si="0"/>
        <v>1369445933.939198</v>
      </c>
      <c r="H13" s="508">
        <f>'03a Data_Elec&amp;Gas'!H12</f>
        <v>1437742520.8307006</v>
      </c>
      <c r="I13" s="508">
        <f t="shared" si="1"/>
        <v>1333121717.901862</v>
      </c>
      <c r="J13" s="508">
        <f>'03a Data_Elec&amp;Gas'!L12</f>
        <v>1349210578.6894653</v>
      </c>
      <c r="K13" s="508">
        <f>'03b Data_Residual'!M12</f>
        <v>0</v>
      </c>
      <c r="L13" s="508">
        <f>'03b Data_Residual'!N12</f>
        <v>41104747.74067838</v>
      </c>
      <c r="M13" s="508">
        <f>'03b Data_Residual'!O12</f>
        <v>9105446.592106594</v>
      </c>
      <c r="N13" s="232">
        <f t="shared" si="2"/>
        <v>2732542490.9241123</v>
      </c>
      <c r="O13" s="508">
        <f>'03c Data_Transport'!M12</f>
        <v>0</v>
      </c>
      <c r="P13" s="508">
        <f>'03c Data_Transport'!N12</f>
        <v>0</v>
      </c>
      <c r="Q13" s="508">
        <f>'03c Data_Transport'!K12</f>
        <v>25358143.179359306</v>
      </c>
      <c r="R13" s="508">
        <f>'03c Data_Transport'!L12</f>
        <v>104620802.9288388</v>
      </c>
      <c r="S13" s="508">
        <f>'03c Data_Transport'!J12</f>
        <v>644805395.6956164</v>
      </c>
      <c r="T13" s="232">
        <f t="shared" si="3"/>
        <v>774784341.8038144</v>
      </c>
      <c r="U13" s="96">
        <f t="shared" si="4"/>
        <v>4876772766.667125</v>
      </c>
    </row>
    <row r="14" spans="2:21" ht="12.75">
      <c r="B14" s="174" t="s">
        <v>52</v>
      </c>
      <c r="C14" s="509">
        <f>'03a Data_Elec&amp;Gas'!G13</f>
        <v>27922851.1</v>
      </c>
      <c r="D14" s="508">
        <f>'03a Data_Elec&amp;Gas'!K13</f>
        <v>29955413.9746393</v>
      </c>
      <c r="E14" s="508">
        <f>'03b Data_Residual'!K13</f>
        <v>4428.808399301566</v>
      </c>
      <c r="F14" s="508">
        <f>'03b Data_Residual'!L13</f>
        <v>345005.26003290043</v>
      </c>
      <c r="G14" s="232">
        <f t="shared" si="0"/>
        <v>58227699.14307151</v>
      </c>
      <c r="H14" s="508">
        <f>'03a Data_Elec&amp;Gas'!H13</f>
        <v>2074873155.2847385</v>
      </c>
      <c r="I14" s="508">
        <f t="shared" si="1"/>
        <v>2029901176.7691598</v>
      </c>
      <c r="J14" s="508">
        <f>'03a Data_Elec&amp;Gas'!L13</f>
        <v>673061406.2774155</v>
      </c>
      <c r="K14" s="508">
        <f>'03b Data_Residual'!M13</f>
        <v>0</v>
      </c>
      <c r="L14" s="508">
        <f>'03b Data_Residual'!N13</f>
        <v>35527701.391726576</v>
      </c>
      <c r="M14" s="508">
        <f>'03b Data_Residual'!O13</f>
        <v>39634.84327575236</v>
      </c>
      <c r="N14" s="232">
        <f t="shared" si="2"/>
        <v>2738529919.2815776</v>
      </c>
      <c r="O14" s="508">
        <f>'03c Data_Transport'!M13</f>
        <v>5160451.421673808</v>
      </c>
      <c r="P14" s="508">
        <f>'03c Data_Transport'!N13</f>
        <v>7995761.2196087595</v>
      </c>
      <c r="Q14" s="508">
        <f>'03c Data_Transport'!K13</f>
        <v>0</v>
      </c>
      <c r="R14" s="508">
        <f>'03c Data_Transport'!L13</f>
        <v>44971978.51557883</v>
      </c>
      <c r="S14" s="508">
        <f>'03c Data_Transport'!J13</f>
        <v>217437394.8733334</v>
      </c>
      <c r="T14" s="232">
        <f t="shared" si="3"/>
        <v>275565586.03019476</v>
      </c>
      <c r="U14" s="96">
        <f t="shared" si="4"/>
        <v>3072323204.454844</v>
      </c>
    </row>
    <row r="15" spans="2:21" ht="12.75">
      <c r="B15" s="174" t="s">
        <v>53</v>
      </c>
      <c r="C15" s="509">
        <f>'03a Data_Elec&amp;Gas'!G14</f>
        <v>609710900.5</v>
      </c>
      <c r="D15" s="508">
        <f>'03a Data_Elec&amp;Gas'!K14</f>
        <v>1898155631.4435947</v>
      </c>
      <c r="E15" s="508">
        <f>'03b Data_Residual'!K14</f>
        <v>7948345.223333544</v>
      </c>
      <c r="F15" s="508">
        <f>'03b Data_Residual'!L14</f>
        <v>8559738.539210754</v>
      </c>
      <c r="G15" s="232">
        <f t="shared" si="0"/>
        <v>2524374615.706139</v>
      </c>
      <c r="H15" s="508">
        <f>'03a Data_Elec&amp;Gas'!H14</f>
        <v>613317979.4647782</v>
      </c>
      <c r="I15" s="508">
        <f t="shared" si="1"/>
        <v>553461259.2580324</v>
      </c>
      <c r="J15" s="508">
        <f>'03a Data_Elec&amp;Gas'!L14</f>
        <v>386212491.2959847</v>
      </c>
      <c r="K15" s="508">
        <f>'03b Data_Residual'!M14</f>
        <v>657551.1507482169</v>
      </c>
      <c r="L15" s="508">
        <f>'03b Data_Residual'!N14</f>
        <v>31808906.88138838</v>
      </c>
      <c r="M15" s="508">
        <f>'03b Data_Residual'!O14</f>
        <v>65110921.4110066</v>
      </c>
      <c r="N15" s="232">
        <f t="shared" si="2"/>
        <v>1037251129.9971603</v>
      </c>
      <c r="O15" s="508">
        <f>'03c Data_Transport'!M14</f>
        <v>1143179.4646502808</v>
      </c>
      <c r="P15" s="508">
        <f>'03c Data_Transport'!N14</f>
        <v>0</v>
      </c>
      <c r="Q15" s="508">
        <f>'03c Data_Transport'!K14</f>
        <v>4919937.976786086</v>
      </c>
      <c r="R15" s="508">
        <f>'03c Data_Transport'!L14</f>
        <v>59856720.20674579</v>
      </c>
      <c r="S15" s="508">
        <f>'03c Data_Transport'!J14</f>
        <v>968966454.9130285</v>
      </c>
      <c r="T15" s="232">
        <f t="shared" si="3"/>
        <v>1034886292.5612106</v>
      </c>
      <c r="U15" s="96">
        <f t="shared" si="4"/>
        <v>4596512038.26451</v>
      </c>
    </row>
    <row r="16" spans="2:21" ht="12.75">
      <c r="B16" s="174" t="s">
        <v>54</v>
      </c>
      <c r="C16" s="509">
        <f>'03a Data_Elec&amp;Gas'!G15</f>
        <v>488911573.4</v>
      </c>
      <c r="D16" s="508">
        <f>'03a Data_Elec&amp;Gas'!K15</f>
        <v>1737906644.9572775</v>
      </c>
      <c r="E16" s="508">
        <f>'03b Data_Residual'!K15</f>
        <v>5403123.916533578</v>
      </c>
      <c r="F16" s="508">
        <f>'03b Data_Residual'!L15</f>
        <v>6312710.832693725</v>
      </c>
      <c r="G16" s="232">
        <f t="shared" si="0"/>
        <v>2238534053.1065044</v>
      </c>
      <c r="H16" s="508">
        <f>'03a Data_Elec&amp;Gas'!H15</f>
        <v>893535420.9298674</v>
      </c>
      <c r="I16" s="508">
        <f t="shared" si="1"/>
        <v>832494619.2503669</v>
      </c>
      <c r="J16" s="508">
        <f>'03a Data_Elec&amp;Gas'!L15</f>
        <v>778404429.1115541</v>
      </c>
      <c r="K16" s="508">
        <f>'03b Data_Residual'!M15</f>
        <v>109555.69953470024</v>
      </c>
      <c r="L16" s="508">
        <f>'03b Data_Residual'!N15</f>
        <v>88302140.02950099</v>
      </c>
      <c r="M16" s="508">
        <f>'03b Data_Residual'!O15</f>
        <v>43540156.36929717</v>
      </c>
      <c r="N16" s="232">
        <f t="shared" si="2"/>
        <v>1742850900.460254</v>
      </c>
      <c r="O16" s="508">
        <f>'03c Data_Transport'!M15</f>
        <v>733813.7023269485</v>
      </c>
      <c r="P16" s="508">
        <f>'03c Data_Transport'!N15</f>
        <v>0</v>
      </c>
      <c r="Q16" s="508">
        <f>'03c Data_Transport'!K15</f>
        <v>52310737.00837746</v>
      </c>
      <c r="R16" s="508">
        <f>'03c Data_Transport'!L15</f>
        <v>61040801.67950046</v>
      </c>
      <c r="S16" s="508">
        <f>'03c Data_Transport'!J15</f>
        <v>1155404867.7607849</v>
      </c>
      <c r="T16" s="232">
        <f t="shared" si="3"/>
        <v>1269490220.1509898</v>
      </c>
      <c r="U16" s="96">
        <f t="shared" si="4"/>
        <v>5250875173.717748</v>
      </c>
    </row>
    <row r="17" spans="2:21" ht="12.75">
      <c r="B17" s="174" t="s">
        <v>55</v>
      </c>
      <c r="C17" s="509">
        <f>'03a Data_Elec&amp;Gas'!G16</f>
        <v>507761004.2</v>
      </c>
      <c r="D17" s="508">
        <f>'03a Data_Elec&amp;Gas'!K16</f>
        <v>1607318495.8738728</v>
      </c>
      <c r="E17" s="508">
        <f>'03b Data_Residual'!K16</f>
        <v>6456190.1660255045</v>
      </c>
      <c r="F17" s="508">
        <f>'03b Data_Residual'!L16</f>
        <v>6110717.506566502</v>
      </c>
      <c r="G17" s="232">
        <f t="shared" si="0"/>
        <v>2127646407.7464647</v>
      </c>
      <c r="H17" s="508">
        <f>'03a Data_Elec&amp;Gas'!H16</f>
        <v>583160755.0254399</v>
      </c>
      <c r="I17" s="508">
        <f t="shared" si="1"/>
        <v>540164432.5729227</v>
      </c>
      <c r="J17" s="508">
        <f>'03a Data_Elec&amp;Gas'!L16</f>
        <v>549421380.1344861</v>
      </c>
      <c r="K17" s="508">
        <f>'03b Data_Residual'!M16</f>
        <v>583358.4293119946</v>
      </c>
      <c r="L17" s="508">
        <f>'03b Data_Residual'!N16</f>
        <v>82949680.65740235</v>
      </c>
      <c r="M17" s="508">
        <f>'03b Data_Residual'!O16</f>
        <v>103754526.70254739</v>
      </c>
      <c r="N17" s="232">
        <f t="shared" si="2"/>
        <v>1276873378.4966705</v>
      </c>
      <c r="O17" s="508">
        <f>'03c Data_Transport'!M16</f>
        <v>1302344.7554661555</v>
      </c>
      <c r="P17" s="508">
        <f>'03c Data_Transport'!N16</f>
        <v>0</v>
      </c>
      <c r="Q17" s="508">
        <f>'03c Data_Transport'!K16</f>
        <v>2222860.5810369896</v>
      </c>
      <c r="R17" s="508">
        <f>'03c Data_Transport'!L16</f>
        <v>42996322.45251718</v>
      </c>
      <c r="S17" s="508">
        <f>'03c Data_Transport'!J16</f>
        <v>1481956239.6410193</v>
      </c>
      <c r="T17" s="232">
        <f t="shared" si="3"/>
        <v>1528477767.4300396</v>
      </c>
      <c r="U17" s="96">
        <f t="shared" si="4"/>
        <v>4932997553.673175</v>
      </c>
    </row>
    <row r="18" spans="2:21" ht="12.75">
      <c r="B18" s="174" t="s">
        <v>56</v>
      </c>
      <c r="C18" s="509">
        <f>'03a Data_Elec&amp;Gas'!G17</f>
        <v>381339956.9</v>
      </c>
      <c r="D18" s="508">
        <f>'03a Data_Elec&amp;Gas'!K17</f>
        <v>1054566839.5296369</v>
      </c>
      <c r="E18" s="508">
        <f>'03b Data_Residual'!K17</f>
        <v>4817744.761801066</v>
      </c>
      <c r="F18" s="508">
        <f>'03b Data_Residual'!L17</f>
        <v>4578114.777654638</v>
      </c>
      <c r="G18" s="232">
        <f t="shared" si="0"/>
        <v>1445302655.9690926</v>
      </c>
      <c r="H18" s="508">
        <f>'03a Data_Elec&amp;Gas'!H17</f>
        <v>492522720.4415847</v>
      </c>
      <c r="I18" s="508">
        <f t="shared" si="1"/>
        <v>460875687.1877814</v>
      </c>
      <c r="J18" s="508">
        <f>'03a Data_Elec&amp;Gas'!L17</f>
        <v>937432787.4326961</v>
      </c>
      <c r="K18" s="508">
        <f>'03b Data_Residual'!M17</f>
        <v>307846.1908294854</v>
      </c>
      <c r="L18" s="508">
        <f>'03b Data_Residual'!N17</f>
        <v>41761631.64978296</v>
      </c>
      <c r="M18" s="508">
        <f>'03b Data_Residual'!O17</f>
        <v>40427973.87806348</v>
      </c>
      <c r="N18" s="232">
        <f t="shared" si="2"/>
        <v>1480805926.3391533</v>
      </c>
      <c r="O18" s="508">
        <f>'03c Data_Transport'!M17</f>
        <v>26714140.019118026</v>
      </c>
      <c r="P18" s="508">
        <f>'03c Data_Transport'!N17</f>
        <v>8608031.69679913</v>
      </c>
      <c r="Q18" s="508">
        <f>'03c Data_Transport'!K17</f>
        <v>2266524.8602768756</v>
      </c>
      <c r="R18" s="508">
        <f>'03c Data_Transport'!L17</f>
        <v>31647033.253803287</v>
      </c>
      <c r="S18" s="508">
        <f>'03c Data_Transport'!J17</f>
        <v>894341943.9001644</v>
      </c>
      <c r="T18" s="232">
        <f t="shared" si="3"/>
        <v>963577673.7301617</v>
      </c>
      <c r="U18" s="96">
        <f t="shared" si="4"/>
        <v>3889686256.0384073</v>
      </c>
    </row>
    <row r="19" spans="2:21" ht="12.75">
      <c r="B19" s="174" t="s">
        <v>57</v>
      </c>
      <c r="C19" s="509">
        <f>'03a Data_Elec&amp;Gas'!G18</f>
        <v>353880744.2</v>
      </c>
      <c r="D19" s="508">
        <f>'03a Data_Elec&amp;Gas'!K18</f>
        <v>1015328518.0327286</v>
      </c>
      <c r="E19" s="508">
        <f>'03b Data_Residual'!K18</f>
        <v>1894498.7748414678</v>
      </c>
      <c r="F19" s="508">
        <f>'03b Data_Residual'!L18</f>
        <v>3046345.847703802</v>
      </c>
      <c r="G19" s="232">
        <f t="shared" si="0"/>
        <v>1374150106.8552737</v>
      </c>
      <c r="H19" s="508">
        <f>'03a Data_Elec&amp;Gas'!H18</f>
        <v>694558036.5446006</v>
      </c>
      <c r="I19" s="508">
        <f t="shared" si="1"/>
        <v>670571855.2502214</v>
      </c>
      <c r="J19" s="508">
        <f>'03a Data_Elec&amp;Gas'!L18</f>
        <v>324627682.192021</v>
      </c>
      <c r="K19" s="508">
        <f>'03b Data_Residual'!M18</f>
        <v>84652.2251137157</v>
      </c>
      <c r="L19" s="508">
        <f>'03b Data_Residual'!N18</f>
        <v>15699507.497133452</v>
      </c>
      <c r="M19" s="508">
        <f>'03b Data_Residual'!O18</f>
        <v>15083769.678458974</v>
      </c>
      <c r="N19" s="232">
        <f t="shared" si="2"/>
        <v>1026067466.8429486</v>
      </c>
      <c r="O19" s="508">
        <f>'03c Data_Transport'!M18</f>
        <v>470015.08897653356</v>
      </c>
      <c r="P19" s="508">
        <f>'03c Data_Transport'!N18</f>
        <v>0</v>
      </c>
      <c r="Q19" s="508">
        <f>'03c Data_Transport'!K18</f>
        <v>3138575.168495419</v>
      </c>
      <c r="R19" s="508">
        <f>'03c Data_Transport'!L18</f>
        <v>23986181.29437927</v>
      </c>
      <c r="S19" s="508">
        <f>'03c Data_Transport'!J18</f>
        <v>500924014.9635289</v>
      </c>
      <c r="T19" s="232">
        <f t="shared" si="3"/>
        <v>528518786.5153801</v>
      </c>
      <c r="U19" s="96">
        <f t="shared" si="4"/>
        <v>2928736360.213602</v>
      </c>
    </row>
    <row r="20" spans="2:21" ht="12.75">
      <c r="B20" s="174" t="s">
        <v>58</v>
      </c>
      <c r="C20" s="509">
        <f>'03a Data_Elec&amp;Gas'!G19</f>
        <v>292328691.7</v>
      </c>
      <c r="D20" s="508">
        <f>'03a Data_Elec&amp;Gas'!K19</f>
        <v>921956928.4712223</v>
      </c>
      <c r="E20" s="508">
        <f>'03b Data_Residual'!K19</f>
        <v>1837589.4118198745</v>
      </c>
      <c r="F20" s="508">
        <f>'03b Data_Residual'!L19</f>
        <v>3681732.4845669763</v>
      </c>
      <c r="G20" s="232">
        <f t="shared" si="0"/>
        <v>1219804942.067609</v>
      </c>
      <c r="H20" s="508">
        <f>'03a Data_Elec&amp;Gas'!H19</f>
        <v>665763395.7571929</v>
      </c>
      <c r="I20" s="508">
        <f t="shared" si="1"/>
        <v>620229487.292051</v>
      </c>
      <c r="J20" s="508">
        <f>'03a Data_Elec&amp;Gas'!L19</f>
        <v>532195607.2853533</v>
      </c>
      <c r="K20" s="508">
        <f>'03b Data_Residual'!M19</f>
        <v>0</v>
      </c>
      <c r="L20" s="508">
        <f>'03b Data_Residual'!N19</f>
        <v>38083026.04946649</v>
      </c>
      <c r="M20" s="508">
        <f>'03b Data_Residual'!O19</f>
        <v>15776585.945409406</v>
      </c>
      <c r="N20" s="232">
        <f t="shared" si="2"/>
        <v>1206284706.57228</v>
      </c>
      <c r="O20" s="508">
        <f>'03c Data_Transport'!M19</f>
        <v>61000458.7373275</v>
      </c>
      <c r="P20" s="508">
        <f>'03c Data_Transport'!N19</f>
        <v>310738.8298498286</v>
      </c>
      <c r="Q20" s="508">
        <f>'03c Data_Transport'!K19</f>
        <v>10439296.086845648</v>
      </c>
      <c r="R20" s="508">
        <f>'03c Data_Transport'!L19</f>
        <v>45533908.46514192</v>
      </c>
      <c r="S20" s="508">
        <f>'03c Data_Transport'!J19</f>
        <v>464063939.4444453</v>
      </c>
      <c r="T20" s="232">
        <f t="shared" si="3"/>
        <v>581348341.5636102</v>
      </c>
      <c r="U20" s="96">
        <f t="shared" si="4"/>
        <v>3007437990.203499</v>
      </c>
    </row>
    <row r="21" spans="2:21" ht="12.75">
      <c r="B21" s="174" t="s">
        <v>59</v>
      </c>
      <c r="C21" s="509">
        <f>'03a Data_Elec&amp;Gas'!G20</f>
        <v>371811671.7</v>
      </c>
      <c r="D21" s="508">
        <f>'03a Data_Elec&amp;Gas'!K20</f>
        <v>1313634147.49633</v>
      </c>
      <c r="E21" s="508">
        <f>'03b Data_Residual'!K20</f>
        <v>3685224.7700502747</v>
      </c>
      <c r="F21" s="508">
        <f>'03b Data_Residual'!L20</f>
        <v>3059380.2884480637</v>
      </c>
      <c r="G21" s="232">
        <f t="shared" si="0"/>
        <v>1692190424.2548285</v>
      </c>
      <c r="H21" s="508">
        <f>'03a Data_Elec&amp;Gas'!H20</f>
        <v>399106720.12195855</v>
      </c>
      <c r="I21" s="508">
        <f t="shared" si="1"/>
        <v>338285028.479507</v>
      </c>
      <c r="J21" s="508">
        <f>'03a Data_Elec&amp;Gas'!L20</f>
        <v>325054145.23244876</v>
      </c>
      <c r="K21" s="508">
        <f>'03b Data_Residual'!M20</f>
        <v>4467639.639128081</v>
      </c>
      <c r="L21" s="508">
        <f>'03b Data_Residual'!N20</f>
        <v>24716570.273644883</v>
      </c>
      <c r="M21" s="508">
        <f>'03b Data_Residual'!O20</f>
        <v>31128700.291101694</v>
      </c>
      <c r="N21" s="232">
        <f t="shared" si="2"/>
        <v>723652083.9158305</v>
      </c>
      <c r="O21" s="508">
        <f>'03c Data_Transport'!M20</f>
        <v>0</v>
      </c>
      <c r="P21" s="508">
        <f>'03c Data_Transport'!N20</f>
        <v>0</v>
      </c>
      <c r="Q21" s="508">
        <f>'03c Data_Transport'!K20</f>
        <v>8955852.415347759</v>
      </c>
      <c r="R21" s="508">
        <f>'03c Data_Transport'!L20</f>
        <v>60821691.64245153</v>
      </c>
      <c r="S21" s="508">
        <f>'03c Data_Transport'!J20</f>
        <v>555833424.4935162</v>
      </c>
      <c r="T21" s="232">
        <f t="shared" si="3"/>
        <v>625610968.5513155</v>
      </c>
      <c r="U21" s="96">
        <f t="shared" si="4"/>
        <v>3041453476.7219744</v>
      </c>
    </row>
    <row r="22" spans="2:21" ht="12.75">
      <c r="B22" s="174" t="s">
        <v>60</v>
      </c>
      <c r="C22" s="509">
        <f>'03a Data_Elec&amp;Gas'!G21</f>
        <v>361520849.9</v>
      </c>
      <c r="D22" s="508">
        <f>'03a Data_Elec&amp;Gas'!K21</f>
        <v>1474745796.3781362</v>
      </c>
      <c r="E22" s="508">
        <f>'03b Data_Residual'!K21</f>
        <v>3586122.4665816855</v>
      </c>
      <c r="F22" s="508">
        <f>'03b Data_Residual'!L21</f>
        <v>5242777.283783358</v>
      </c>
      <c r="G22" s="232">
        <f t="shared" si="0"/>
        <v>1845095546.0285013</v>
      </c>
      <c r="H22" s="508">
        <f>'03a Data_Elec&amp;Gas'!H21</f>
        <v>326677306.5700369</v>
      </c>
      <c r="I22" s="508">
        <f t="shared" si="1"/>
        <v>281316233.3353307</v>
      </c>
      <c r="J22" s="508">
        <f>'03a Data_Elec&amp;Gas'!L21</f>
        <v>380809078.6796239</v>
      </c>
      <c r="K22" s="508">
        <f>'03b Data_Residual'!M21</f>
        <v>512363.24501203705</v>
      </c>
      <c r="L22" s="508">
        <f>'03b Data_Residual'!N21</f>
        <v>20867983.193029046</v>
      </c>
      <c r="M22" s="508">
        <f>'03b Data_Residual'!O21</f>
        <v>30234452.886976536</v>
      </c>
      <c r="N22" s="232">
        <f t="shared" si="2"/>
        <v>713740111.3399721</v>
      </c>
      <c r="O22" s="508">
        <f>'03c Data_Transport'!M21</f>
        <v>966773.2370938851</v>
      </c>
      <c r="P22" s="508">
        <f>'03c Data_Transport'!N21</f>
        <v>0</v>
      </c>
      <c r="Q22" s="508">
        <f>'03c Data_Transport'!K21</f>
        <v>13487710.505349834</v>
      </c>
      <c r="R22" s="508">
        <f>'03c Data_Transport'!L21</f>
        <v>45361073.23470613</v>
      </c>
      <c r="S22" s="508">
        <f>'03c Data_Transport'!J21</f>
        <v>567918861.6548083</v>
      </c>
      <c r="T22" s="232">
        <f t="shared" si="3"/>
        <v>627734418.6319581</v>
      </c>
      <c r="U22" s="96">
        <f t="shared" si="4"/>
        <v>3186570076.0004315</v>
      </c>
    </row>
    <row r="23" spans="2:21" ht="12.75">
      <c r="B23" s="174" t="s">
        <v>61</v>
      </c>
      <c r="C23" s="509">
        <f>'03a Data_Elec&amp;Gas'!G22</f>
        <v>418900902.3</v>
      </c>
      <c r="D23" s="508">
        <f>'03a Data_Elec&amp;Gas'!K22</f>
        <v>1389912004.4929879</v>
      </c>
      <c r="E23" s="508">
        <f>'03b Data_Residual'!K22</f>
        <v>6078088.137852518</v>
      </c>
      <c r="F23" s="508">
        <f>'03b Data_Residual'!L22</f>
        <v>7407704.806483718</v>
      </c>
      <c r="G23" s="232">
        <f t="shared" si="0"/>
        <v>1822298699.737324</v>
      </c>
      <c r="H23" s="508">
        <f>'03a Data_Elec&amp;Gas'!H22</f>
        <v>406286226.0180961</v>
      </c>
      <c r="I23" s="508">
        <f t="shared" si="1"/>
        <v>360794610.7906648</v>
      </c>
      <c r="J23" s="508">
        <f>'03a Data_Elec&amp;Gas'!L22</f>
        <v>227163362.73052222</v>
      </c>
      <c r="K23" s="508">
        <f>'03b Data_Residual'!M22</f>
        <v>649930.2405419032</v>
      </c>
      <c r="L23" s="508">
        <f>'03b Data_Residual'!N22</f>
        <v>47738633.92062263</v>
      </c>
      <c r="M23" s="508">
        <f>'03b Data_Residual'!O22</f>
        <v>45486757.46558803</v>
      </c>
      <c r="N23" s="232">
        <f t="shared" si="2"/>
        <v>681833295.1479397</v>
      </c>
      <c r="O23" s="508">
        <f>'03c Data_Transport'!M22</f>
        <v>11834936.689112298</v>
      </c>
      <c r="P23" s="508">
        <f>'03c Data_Transport'!N22</f>
        <v>683803.2458701252</v>
      </c>
      <c r="Q23" s="508">
        <f>'03c Data_Transport'!K22</f>
        <v>7515085.920671884</v>
      </c>
      <c r="R23" s="508">
        <f>'03c Data_Transport'!L22</f>
        <v>45491615.2274313</v>
      </c>
      <c r="S23" s="508">
        <f>'03c Data_Transport'!J22</f>
        <v>1424117628.8288407</v>
      </c>
      <c r="T23" s="232">
        <f t="shared" si="3"/>
        <v>1489643069.9119263</v>
      </c>
      <c r="U23" s="96">
        <f t="shared" si="4"/>
        <v>3993775064.7971897</v>
      </c>
    </row>
    <row r="24" spans="2:21" ht="12.75">
      <c r="B24" s="174" t="s">
        <v>62</v>
      </c>
      <c r="C24" s="509">
        <f>'03a Data_Elec&amp;Gas'!G23</f>
        <v>438208798.2</v>
      </c>
      <c r="D24" s="508">
        <f>'03a Data_Elec&amp;Gas'!K23</f>
        <v>1492604543.0204113</v>
      </c>
      <c r="E24" s="508">
        <f>'03b Data_Residual'!K23</f>
        <v>5023445.112763507</v>
      </c>
      <c r="F24" s="508">
        <f>'03b Data_Residual'!L23</f>
        <v>8912106.738720033</v>
      </c>
      <c r="G24" s="232">
        <f t="shared" si="0"/>
        <v>1944748893.0718946</v>
      </c>
      <c r="H24" s="508">
        <f>'03a Data_Elec&amp;Gas'!H23</f>
        <v>1180886539.135543</v>
      </c>
      <c r="I24" s="508">
        <f t="shared" si="1"/>
        <v>1128733645.0868864</v>
      </c>
      <c r="J24" s="508">
        <f>'03a Data_Elec&amp;Gas'!L23</f>
        <v>852540370.9190272</v>
      </c>
      <c r="K24" s="508">
        <f>'03b Data_Residual'!M23</f>
        <v>1592398.0288338515</v>
      </c>
      <c r="L24" s="508">
        <f>'03b Data_Residual'!N23</f>
        <v>438246099.63682735</v>
      </c>
      <c r="M24" s="508">
        <f>'03b Data_Residual'!O23</f>
        <v>345169907.2406183</v>
      </c>
      <c r="N24" s="232">
        <f t="shared" si="2"/>
        <v>2766282420.9121933</v>
      </c>
      <c r="O24" s="508">
        <f>'03c Data_Transport'!M23</f>
        <v>2727078943.659251</v>
      </c>
      <c r="P24" s="508">
        <f>'03c Data_Transport'!N23</f>
        <v>0</v>
      </c>
      <c r="Q24" s="508">
        <f>'03c Data_Transport'!K23</f>
        <v>41564378.617640376</v>
      </c>
      <c r="R24" s="508">
        <f>'03c Data_Transport'!L23</f>
        <v>52152894.04865665</v>
      </c>
      <c r="S24" s="508">
        <f>'03c Data_Transport'!J23</f>
        <v>1669304920.8050873</v>
      </c>
      <c r="T24" s="232">
        <f t="shared" si="3"/>
        <v>4490101137.130635</v>
      </c>
      <c r="U24" s="96">
        <f t="shared" si="4"/>
        <v>9201132451.114723</v>
      </c>
    </row>
    <row r="25" spans="2:21" ht="12.75">
      <c r="B25" s="174" t="s">
        <v>63</v>
      </c>
      <c r="C25" s="509">
        <f>'03a Data_Elec&amp;Gas'!G24</f>
        <v>389598632</v>
      </c>
      <c r="D25" s="508">
        <f>'03a Data_Elec&amp;Gas'!K24</f>
        <v>1088250886.2131932</v>
      </c>
      <c r="E25" s="508">
        <f>'03b Data_Residual'!K24</f>
        <v>4215199.123482072</v>
      </c>
      <c r="F25" s="508">
        <f>'03b Data_Residual'!L24</f>
        <v>6926877.837793621</v>
      </c>
      <c r="G25" s="232">
        <f t="shared" si="0"/>
        <v>1488991595.1744688</v>
      </c>
      <c r="H25" s="508">
        <f>'03a Data_Elec&amp;Gas'!H24</f>
        <v>1018968794.4586173</v>
      </c>
      <c r="I25" s="508">
        <f t="shared" si="1"/>
        <v>976510823.3556503</v>
      </c>
      <c r="J25" s="508">
        <f>'03a Data_Elec&amp;Gas'!L24</f>
        <v>579815188.7420651</v>
      </c>
      <c r="K25" s="508">
        <f>'03b Data_Residual'!M24</f>
        <v>159898.64743701855</v>
      </c>
      <c r="L25" s="508">
        <f>'03b Data_Residual'!N24</f>
        <v>70791918.09205619</v>
      </c>
      <c r="M25" s="508">
        <f>'03b Data_Residual'!O24</f>
        <v>63116851.660209484</v>
      </c>
      <c r="N25" s="232">
        <f t="shared" si="2"/>
        <v>1690394680.4974182</v>
      </c>
      <c r="O25" s="508">
        <f>'03c Data_Transport'!M24</f>
        <v>426177774.8626538</v>
      </c>
      <c r="P25" s="508">
        <f>'03c Data_Transport'!N24</f>
        <v>380117.13676492276</v>
      </c>
      <c r="Q25" s="508">
        <f>'03c Data_Transport'!K24</f>
        <v>1420312.3719346004</v>
      </c>
      <c r="R25" s="508">
        <f>'03c Data_Transport'!L24</f>
        <v>42457971.102967024</v>
      </c>
      <c r="S25" s="508">
        <f>'03c Data_Transport'!J24</f>
        <v>1174431367.9914436</v>
      </c>
      <c r="T25" s="232">
        <f t="shared" si="3"/>
        <v>1644867543.465764</v>
      </c>
      <c r="U25" s="96">
        <f t="shared" si="4"/>
        <v>4824253819.137651</v>
      </c>
    </row>
    <row r="26" spans="2:21" ht="12.75">
      <c r="B26" s="174" t="s">
        <v>64</v>
      </c>
      <c r="C26" s="509">
        <f>'03a Data_Elec&amp;Gas'!G25</f>
        <v>325578848.1</v>
      </c>
      <c r="D26" s="508">
        <f>'03a Data_Elec&amp;Gas'!K25</f>
        <v>941318753.8065995</v>
      </c>
      <c r="E26" s="508">
        <f>'03b Data_Residual'!K25</f>
        <v>1364149.1208789947</v>
      </c>
      <c r="F26" s="508">
        <f>'03b Data_Residual'!L25</f>
        <v>3192668.368711683</v>
      </c>
      <c r="G26" s="232">
        <f t="shared" si="0"/>
        <v>1271454419.3961902</v>
      </c>
      <c r="H26" s="508">
        <f>'03a Data_Elec&amp;Gas'!H25</f>
        <v>837081633.1830966</v>
      </c>
      <c r="I26" s="508">
        <f t="shared" si="1"/>
        <v>782419120.8867102</v>
      </c>
      <c r="J26" s="508">
        <f>'03a Data_Elec&amp;Gas'!L25</f>
        <v>645308732.1451738</v>
      </c>
      <c r="K26" s="508">
        <f>'03b Data_Residual'!M25</f>
        <v>47029.01395206428</v>
      </c>
      <c r="L26" s="508">
        <f>'03b Data_Residual'!N25</f>
        <v>32725614.67052175</v>
      </c>
      <c r="M26" s="508">
        <f>'03b Data_Residual'!O25</f>
        <v>11105175.212597564</v>
      </c>
      <c r="N26" s="232">
        <f t="shared" si="2"/>
        <v>1471605671.9289553</v>
      </c>
      <c r="O26" s="508">
        <f>'03c Data_Transport'!M25</f>
        <v>0</v>
      </c>
      <c r="P26" s="508">
        <f>'03c Data_Transport'!N25</f>
        <v>0</v>
      </c>
      <c r="Q26" s="508">
        <f>'03c Data_Transport'!K25</f>
        <v>6588106.937461976</v>
      </c>
      <c r="R26" s="508">
        <f>'03c Data_Transport'!L25</f>
        <v>54662512.296386495</v>
      </c>
      <c r="S26" s="508">
        <f>'03c Data_Transport'!J25</f>
        <v>411862233.5978168</v>
      </c>
      <c r="T26" s="232">
        <f t="shared" si="3"/>
        <v>473112852.8316653</v>
      </c>
      <c r="U26" s="96">
        <f t="shared" si="4"/>
        <v>3216172944.1568108</v>
      </c>
    </row>
    <row r="27" spans="2:21" ht="12.75">
      <c r="B27" s="174" t="s">
        <v>65</v>
      </c>
      <c r="C27" s="509">
        <f>'03a Data_Elec&amp;Gas'!G26</f>
        <v>382532447.2</v>
      </c>
      <c r="D27" s="508">
        <f>'03a Data_Elec&amp;Gas'!K26</f>
        <v>920690098.5513449</v>
      </c>
      <c r="E27" s="508">
        <f>'03b Data_Residual'!K26</f>
        <v>1113209.0298332411</v>
      </c>
      <c r="F27" s="508">
        <f>'03b Data_Residual'!L26</f>
        <v>8146531.761343241</v>
      </c>
      <c r="G27" s="232">
        <f t="shared" si="0"/>
        <v>1312482286.5425215</v>
      </c>
      <c r="H27" s="508">
        <f>'03a Data_Elec&amp;Gas'!H26</f>
        <v>1281781899.985828</v>
      </c>
      <c r="I27" s="508">
        <f t="shared" si="1"/>
        <v>1224776334.9339654</v>
      </c>
      <c r="J27" s="508">
        <f>'03a Data_Elec&amp;Gas'!L26</f>
        <v>961002468.2235657</v>
      </c>
      <c r="K27" s="508">
        <f>'03b Data_Residual'!M26</f>
        <v>28217.408371238565</v>
      </c>
      <c r="L27" s="508">
        <f>'03b Data_Residual'!N26</f>
        <v>7157290.827938547</v>
      </c>
      <c r="M27" s="508">
        <f>'03b Data_Residual'!O26</f>
        <v>8853856.113151828</v>
      </c>
      <c r="N27" s="232">
        <f t="shared" si="2"/>
        <v>2201818167.5069933</v>
      </c>
      <c r="O27" s="508">
        <f>'03c Data_Transport'!M26</f>
        <v>7713583.558137903</v>
      </c>
      <c r="P27" s="508">
        <f>'03c Data_Transport'!N26</f>
        <v>58601.02180373342</v>
      </c>
      <c r="Q27" s="508">
        <f>'03c Data_Transport'!K26</f>
        <v>7832996.402716937</v>
      </c>
      <c r="R27" s="508">
        <f>'03c Data_Transport'!L26</f>
        <v>57005565.05186256</v>
      </c>
      <c r="S27" s="508">
        <f>'03c Data_Transport'!J26</f>
        <v>486946380.1872778</v>
      </c>
      <c r="T27" s="232">
        <f t="shared" si="3"/>
        <v>559557126.2217989</v>
      </c>
      <c r="U27" s="96">
        <f t="shared" si="4"/>
        <v>4073857580.2713137</v>
      </c>
    </row>
    <row r="28" spans="2:21" ht="12.75">
      <c r="B28" s="174" t="s">
        <v>99</v>
      </c>
      <c r="C28" s="509">
        <f>'03a Data_Elec&amp;Gas'!G27</f>
        <v>273830837.7</v>
      </c>
      <c r="D28" s="508">
        <f>'03a Data_Elec&amp;Gas'!K27</f>
        <v>836584619.4576482</v>
      </c>
      <c r="E28" s="508">
        <f>'03b Data_Residual'!K27</f>
        <v>2914163.7866070033</v>
      </c>
      <c r="F28" s="508">
        <f>'03b Data_Residual'!L27</f>
        <v>3277864.411813927</v>
      </c>
      <c r="G28" s="232">
        <f t="shared" si="0"/>
        <v>1116607485.356069</v>
      </c>
      <c r="H28" s="508">
        <f>'03a Data_Elec&amp;Gas'!H27</f>
        <v>359797652.715695</v>
      </c>
      <c r="I28" s="508">
        <f t="shared" si="1"/>
        <v>342527003.1174124</v>
      </c>
      <c r="J28" s="508">
        <f>'03a Data_Elec&amp;Gas'!L27</f>
        <v>222375082.09732315</v>
      </c>
      <c r="K28" s="508">
        <f>'03b Data_Residual'!M27</f>
        <v>18811.60558082571</v>
      </c>
      <c r="L28" s="508">
        <f>'03b Data_Residual'!N27</f>
        <v>36710268.06398256</v>
      </c>
      <c r="M28" s="508">
        <f>'03b Data_Residual'!O27</f>
        <v>23427847.73042136</v>
      </c>
      <c r="N28" s="232">
        <f t="shared" si="2"/>
        <v>625059012.6147202</v>
      </c>
      <c r="O28" s="508">
        <f>'03c Data_Transport'!M27</f>
        <v>0</v>
      </c>
      <c r="P28" s="508">
        <f>'03c Data_Transport'!N27</f>
        <v>140424.72485245</v>
      </c>
      <c r="Q28" s="508">
        <f>'03c Data_Transport'!K27</f>
        <v>2084513.5898845822</v>
      </c>
      <c r="R28" s="508">
        <f>'03c Data_Transport'!L27</f>
        <v>17270649.598282643</v>
      </c>
      <c r="S28" s="508">
        <f>'03c Data_Transport'!J27</f>
        <v>646668191.6645634</v>
      </c>
      <c r="T28" s="232">
        <f t="shared" si="3"/>
        <v>666163779.5775831</v>
      </c>
      <c r="U28" s="96">
        <f t="shared" si="4"/>
        <v>2407830277.5483723</v>
      </c>
    </row>
    <row r="29" spans="2:21" ht="12.75">
      <c r="B29" s="174" t="s">
        <v>67</v>
      </c>
      <c r="C29" s="509">
        <f>'03a Data_Elec&amp;Gas'!G28</f>
        <v>449639777.1</v>
      </c>
      <c r="D29" s="508">
        <f>'03a Data_Elec&amp;Gas'!K28</f>
        <v>1295344714.164436</v>
      </c>
      <c r="E29" s="508">
        <f>'03b Data_Residual'!K28</f>
        <v>3323646.514838607</v>
      </c>
      <c r="F29" s="508">
        <f>'03b Data_Residual'!L28</f>
        <v>6046408.515431337</v>
      </c>
      <c r="G29" s="232">
        <f t="shared" si="0"/>
        <v>1754354546.2947063</v>
      </c>
      <c r="H29" s="508">
        <f>'03a Data_Elec&amp;Gas'!H28</f>
        <v>729483166.6509238</v>
      </c>
      <c r="I29" s="508">
        <f t="shared" si="1"/>
        <v>619505839.0123687</v>
      </c>
      <c r="J29" s="508">
        <f>'03a Data_Elec&amp;Gas'!L28</f>
        <v>724220350.5717018</v>
      </c>
      <c r="K29" s="508">
        <f>'03b Data_Residual'!M28</f>
        <v>0</v>
      </c>
      <c r="L29" s="508">
        <f>'03b Data_Residual'!N28</f>
        <v>10072995.828338386</v>
      </c>
      <c r="M29" s="508">
        <f>'03b Data_Residual'!O28</f>
        <v>27792109.807625573</v>
      </c>
      <c r="N29" s="232">
        <f t="shared" si="2"/>
        <v>1381591295.2200344</v>
      </c>
      <c r="O29" s="508">
        <f>'03c Data_Transport'!M28</f>
        <v>0</v>
      </c>
      <c r="P29" s="508">
        <f>'03c Data_Transport'!N28</f>
        <v>4617325.408788037</v>
      </c>
      <c r="Q29" s="508">
        <f>'03c Data_Transport'!K28</f>
        <v>3470683.792800871</v>
      </c>
      <c r="R29" s="508">
        <f>'03c Data_Transport'!L28</f>
        <v>109977327.63855514</v>
      </c>
      <c r="S29" s="508">
        <f>'03c Data_Transport'!J28</f>
        <v>681525304.7365276</v>
      </c>
      <c r="T29" s="232">
        <f t="shared" si="3"/>
        <v>799590641.5766716</v>
      </c>
      <c r="U29" s="96">
        <f t="shared" si="4"/>
        <v>3935536483.0914125</v>
      </c>
    </row>
    <row r="30" spans="2:21" ht="12.75">
      <c r="B30" s="174" t="s">
        <v>68</v>
      </c>
      <c r="C30" s="509">
        <f>'03a Data_Elec&amp;Gas'!G29</f>
        <v>422788873.3</v>
      </c>
      <c r="D30" s="508">
        <f>'03a Data_Elec&amp;Gas'!K29</f>
        <v>1233460736.492352</v>
      </c>
      <c r="E30" s="508">
        <f>'03b Data_Residual'!K29</f>
        <v>5193101.416676928</v>
      </c>
      <c r="F30" s="508">
        <f>'03b Data_Residual'!L29</f>
        <v>3990906.1273955232</v>
      </c>
      <c r="G30" s="232">
        <f t="shared" si="0"/>
        <v>1665433617.3364246</v>
      </c>
      <c r="H30" s="508">
        <f>'03a Data_Elec&amp;Gas'!H29</f>
        <v>344916539.89817417</v>
      </c>
      <c r="I30" s="508">
        <f t="shared" si="1"/>
        <v>295151239.0989777</v>
      </c>
      <c r="J30" s="508">
        <f>'03a Data_Elec&amp;Gas'!L29</f>
        <v>248364565.50458893</v>
      </c>
      <c r="K30" s="508">
        <f>'03b Data_Residual'!M29</f>
        <v>0</v>
      </c>
      <c r="L30" s="508">
        <f>'03b Data_Residual'!N29</f>
        <v>9083762.921203502</v>
      </c>
      <c r="M30" s="508">
        <f>'03b Data_Residual'!O29</f>
        <v>43577709.132117</v>
      </c>
      <c r="N30" s="232">
        <f t="shared" si="2"/>
        <v>596177276.6568872</v>
      </c>
      <c r="O30" s="508">
        <f>'03c Data_Transport'!M29</f>
        <v>37951.52892357103</v>
      </c>
      <c r="P30" s="508">
        <f>'03c Data_Transport'!N29</f>
        <v>2459.092090634327</v>
      </c>
      <c r="Q30" s="508">
        <f>'03c Data_Transport'!K29</f>
        <v>5095896.265669471</v>
      </c>
      <c r="R30" s="508">
        <f>'03c Data_Transport'!L29</f>
        <v>49765300.799196504</v>
      </c>
      <c r="S30" s="508">
        <f>'03c Data_Transport'!J29</f>
        <v>631967069.3293657</v>
      </c>
      <c r="T30" s="232">
        <f t="shared" si="3"/>
        <v>686868677.0152459</v>
      </c>
      <c r="U30" s="96">
        <f t="shared" si="4"/>
        <v>2948479571.008558</v>
      </c>
    </row>
    <row r="31" spans="2:21" ht="12.75">
      <c r="B31" s="174" t="s">
        <v>69</v>
      </c>
      <c r="C31" s="509">
        <f>'03a Data_Elec&amp;Gas'!G30</f>
        <v>324869036.6</v>
      </c>
      <c r="D31" s="508">
        <f>'03a Data_Elec&amp;Gas'!K30</f>
        <v>995228108.5095602</v>
      </c>
      <c r="E31" s="508">
        <f>'03b Data_Residual'!K30</f>
        <v>4772542.673202932</v>
      </c>
      <c r="F31" s="508">
        <f>'03b Data_Residual'!L30</f>
        <v>4299263.580404396</v>
      </c>
      <c r="G31" s="232">
        <f t="shared" si="0"/>
        <v>1329168951.3631675</v>
      </c>
      <c r="H31" s="508">
        <f>'03a Data_Elec&amp;Gas'!H30</f>
        <v>388316157.81598634</v>
      </c>
      <c r="I31" s="508">
        <f t="shared" si="1"/>
        <v>335740826.6708984</v>
      </c>
      <c r="J31" s="508">
        <f>'03a Data_Elec&amp;Gas'!L30</f>
        <v>296769534.62523896</v>
      </c>
      <c r="K31" s="508">
        <f>'03b Data_Residual'!M30</f>
        <v>24903.474420984538</v>
      </c>
      <c r="L31" s="508">
        <f>'03b Data_Residual'!N30</f>
        <v>27076100.57523035</v>
      </c>
      <c r="M31" s="508">
        <f>'03b Data_Residual'!O30</f>
        <v>41038473.77772662</v>
      </c>
      <c r="N31" s="232">
        <f t="shared" si="2"/>
        <v>700649839.1235154</v>
      </c>
      <c r="O31" s="508">
        <f>'03c Data_Transport'!M30</f>
        <v>0</v>
      </c>
      <c r="P31" s="508">
        <f>'03c Data_Transport'!N30</f>
        <v>0</v>
      </c>
      <c r="Q31" s="508">
        <f>'03c Data_Transport'!K30</f>
        <v>2691945.4624903454</v>
      </c>
      <c r="R31" s="508">
        <f>'03c Data_Transport'!L30</f>
        <v>52575331.145087935</v>
      </c>
      <c r="S31" s="508">
        <f>'03c Data_Transport'!J30</f>
        <v>540711708.3834524</v>
      </c>
      <c r="T31" s="232">
        <f t="shared" si="3"/>
        <v>595978984.9910307</v>
      </c>
      <c r="U31" s="96">
        <f t="shared" si="4"/>
        <v>2625797775.4777136</v>
      </c>
    </row>
    <row r="32" spans="2:21" ht="12.75">
      <c r="B32" s="174" t="s">
        <v>70</v>
      </c>
      <c r="C32" s="509">
        <f>'03a Data_Elec&amp;Gas'!G31</f>
        <v>385780136.4</v>
      </c>
      <c r="D32" s="508">
        <f>'03a Data_Elec&amp;Gas'!K31</f>
        <v>1126016170.0870435</v>
      </c>
      <c r="E32" s="508">
        <f>'03b Data_Residual'!K31</f>
        <v>5355796.000429605</v>
      </c>
      <c r="F32" s="508">
        <f>'03b Data_Residual'!L31</f>
        <v>1849366.5712193346</v>
      </c>
      <c r="G32" s="232">
        <f t="shared" si="0"/>
        <v>1519001469.0586925</v>
      </c>
      <c r="H32" s="508">
        <f>'03a Data_Elec&amp;Gas'!H31</f>
        <v>1082522810.093782</v>
      </c>
      <c r="I32" s="508">
        <f t="shared" si="1"/>
        <v>981090835.4265894</v>
      </c>
      <c r="J32" s="508">
        <f>'03a Data_Elec&amp;Gas'!L31</f>
        <v>963587778.8619875</v>
      </c>
      <c r="K32" s="508">
        <f>'03b Data_Residual'!M31</f>
        <v>2241312.6978886086</v>
      </c>
      <c r="L32" s="508">
        <f>'03b Data_Residual'!N31</f>
        <v>118042064.86661008</v>
      </c>
      <c r="M32" s="508">
        <f>'03b Data_Residual'!O31</f>
        <v>45196216.97266104</v>
      </c>
      <c r="N32" s="232">
        <f t="shared" si="2"/>
        <v>2110158208.8257365</v>
      </c>
      <c r="O32" s="508">
        <f>'03c Data_Transport'!M31</f>
        <v>153293500.4211546</v>
      </c>
      <c r="P32" s="508">
        <f>'03c Data_Transport'!N31</f>
        <v>4190802.020883593</v>
      </c>
      <c r="Q32" s="508">
        <f>'03c Data_Transport'!K31</f>
        <v>8962609.486684337</v>
      </c>
      <c r="R32" s="508">
        <f>'03c Data_Transport'!L31</f>
        <v>101431974.66719258</v>
      </c>
      <c r="S32" s="508">
        <f>'03c Data_Transport'!J31</f>
        <v>742543778.951281</v>
      </c>
      <c r="T32" s="232">
        <f t="shared" si="3"/>
        <v>1010422665.547196</v>
      </c>
      <c r="U32" s="96">
        <f t="shared" si="4"/>
        <v>4639582343.431625</v>
      </c>
    </row>
    <row r="33" spans="2:21" ht="12.75">
      <c r="B33" s="174" t="s">
        <v>71</v>
      </c>
      <c r="C33" s="509">
        <f>'03a Data_Elec&amp;Gas'!G32</f>
        <v>415733310.5</v>
      </c>
      <c r="D33" s="508">
        <f>'03a Data_Elec&amp;Gas'!K32</f>
        <v>1490587980.3915176</v>
      </c>
      <c r="E33" s="508">
        <f>'03b Data_Residual'!K32</f>
        <v>5188134.635052843</v>
      </c>
      <c r="F33" s="508">
        <f>'03b Data_Residual'!L32</f>
        <v>4651485.214645748</v>
      </c>
      <c r="G33" s="232">
        <f t="shared" si="0"/>
        <v>1916160910.7412164</v>
      </c>
      <c r="H33" s="508">
        <f>'03a Data_Elec&amp;Gas'!H32</f>
        <v>328422935.12488604</v>
      </c>
      <c r="I33" s="508">
        <f t="shared" si="1"/>
        <v>284092159.40811884</v>
      </c>
      <c r="J33" s="508">
        <f>'03a Data_Elec&amp;Gas'!L32</f>
        <v>241774470.8012506</v>
      </c>
      <c r="K33" s="508">
        <f>'03b Data_Residual'!M32</f>
        <v>9405.802790412856</v>
      </c>
      <c r="L33" s="508">
        <f>'03b Data_Residual'!N32</f>
        <v>23031493.19365958</v>
      </c>
      <c r="M33" s="508">
        <f>'03b Data_Residual'!O32</f>
        <v>43550958.183741234</v>
      </c>
      <c r="N33" s="232">
        <f t="shared" si="2"/>
        <v>592458487.3895606</v>
      </c>
      <c r="O33" s="508">
        <f>'03c Data_Transport'!M32</f>
        <v>3414955.359261591</v>
      </c>
      <c r="P33" s="508">
        <f>'03c Data_Transport'!N32</f>
        <v>0</v>
      </c>
      <c r="Q33" s="508">
        <f>'03c Data_Transport'!K32</f>
        <v>2661824.828111813</v>
      </c>
      <c r="R33" s="508">
        <f>'03c Data_Transport'!L32</f>
        <v>44330775.71676721</v>
      </c>
      <c r="S33" s="508">
        <f>'03c Data_Transport'!J32</f>
        <v>1031807529.2289011</v>
      </c>
      <c r="T33" s="232">
        <f t="shared" si="3"/>
        <v>1082215085.1330419</v>
      </c>
      <c r="U33" s="96">
        <f t="shared" si="4"/>
        <v>3590834483.2638187</v>
      </c>
    </row>
    <row r="34" spans="2:21" ht="12.75">
      <c r="B34" s="174" t="s">
        <v>72</v>
      </c>
      <c r="C34" s="509">
        <f>'03a Data_Elec&amp;Gas'!G33</f>
        <v>349048205.2</v>
      </c>
      <c r="D34" s="508">
        <f>'03a Data_Elec&amp;Gas'!K33</f>
        <v>1126064410.4856596</v>
      </c>
      <c r="E34" s="508">
        <f>'03b Data_Residual'!K33</f>
        <v>3652157.4522664384</v>
      </c>
      <c r="F34" s="508">
        <f>'03b Data_Residual'!L33</f>
        <v>6307256.809685301</v>
      </c>
      <c r="G34" s="232">
        <f t="shared" si="0"/>
        <v>1485072029.9476113</v>
      </c>
      <c r="H34" s="508">
        <f>'03a Data_Elec&amp;Gas'!H33</f>
        <v>412314445.7961486</v>
      </c>
      <c r="I34" s="508">
        <f t="shared" si="1"/>
        <v>389902257.02253145</v>
      </c>
      <c r="J34" s="508">
        <f>'03a Data_Elec&amp;Gas'!L33</f>
        <v>326733546.67055446</v>
      </c>
      <c r="K34" s="508">
        <f>'03b Data_Residual'!M33</f>
        <v>0</v>
      </c>
      <c r="L34" s="508">
        <f>'03b Data_Residual'!N33</f>
        <v>22468155.339738473</v>
      </c>
      <c r="M34" s="508">
        <f>'03b Data_Residual'!O33</f>
        <v>29591355.500030827</v>
      </c>
      <c r="N34" s="232">
        <f>SUM(I34:M34)</f>
        <v>768695314.5328553</v>
      </c>
      <c r="O34" s="508">
        <f>'03c Data_Transport'!M33</f>
        <v>180484898.3081823</v>
      </c>
      <c r="P34" s="508">
        <f>'03c Data_Transport'!N33</f>
        <v>932977.0177169129</v>
      </c>
      <c r="Q34" s="508">
        <f>'03c Data_Transport'!K33</f>
        <v>494840.7162451181</v>
      </c>
      <c r="R34" s="508">
        <f>'03c Data_Transport'!L33</f>
        <v>22412188.77361715</v>
      </c>
      <c r="S34" s="508">
        <f>'03c Data_Transport'!J33</f>
        <v>667423348.2965164</v>
      </c>
      <c r="T34" s="232">
        <f t="shared" si="3"/>
        <v>871748253.1122779</v>
      </c>
      <c r="U34" s="96">
        <f t="shared" si="4"/>
        <v>3125515597.592745</v>
      </c>
    </row>
    <row r="35" spans="2:21" ht="12.75">
      <c r="B35" s="174" t="s">
        <v>74</v>
      </c>
      <c r="C35" s="509">
        <f>'03a Data_Elec&amp;Gas'!G34</f>
        <v>453195185.6</v>
      </c>
      <c r="D35" s="508">
        <f>'03a Data_Elec&amp;Gas'!K34</f>
        <v>967500986.4722754</v>
      </c>
      <c r="E35" s="508">
        <f>'03b Data_Residual'!K34</f>
        <v>2625621.552519149</v>
      </c>
      <c r="F35" s="508">
        <f>'03b Data_Residual'!L34</f>
        <v>8346400.564791251</v>
      </c>
      <c r="G35" s="232">
        <f t="shared" si="0"/>
        <v>1431668194.1895857</v>
      </c>
      <c r="H35" s="508">
        <f>'03a Data_Elec&amp;Gas'!H34</f>
        <v>1030571350.3688071</v>
      </c>
      <c r="I35" s="508">
        <f t="shared" si="1"/>
        <v>962462055.2532359</v>
      </c>
      <c r="J35" s="508">
        <f>'03a Data_Elec&amp;Gas'!L34</f>
        <v>784472797.35</v>
      </c>
      <c r="K35" s="508">
        <f>'03b Data_Residual'!M34</f>
        <v>1002199.6454802522</v>
      </c>
      <c r="L35" s="508">
        <f>'03b Data_Residual'!N34</f>
        <v>18995604.321080748</v>
      </c>
      <c r="M35" s="508">
        <f>'03b Data_Residual'!O34</f>
        <v>21967577.431152172</v>
      </c>
      <c r="N35" s="232">
        <f t="shared" si="2"/>
        <v>1788900234.000949</v>
      </c>
      <c r="O35" s="508">
        <f>'03c Data_Transport'!M34</f>
        <v>5136784.945163893</v>
      </c>
      <c r="P35" s="508">
        <f>'03c Data_Transport'!N34</f>
        <v>8190690.621455643</v>
      </c>
      <c r="Q35" s="508">
        <f>'03c Data_Transport'!K34</f>
        <v>2566699.2209318457</v>
      </c>
      <c r="R35" s="508">
        <f>'03c Data_Transport'!L34</f>
        <v>68109295.11557113</v>
      </c>
      <c r="S35" s="508">
        <f>'03c Data_Transport'!J34</f>
        <v>666409248.0134374</v>
      </c>
      <c r="T35" s="232">
        <f t="shared" si="3"/>
        <v>750412717.9165599</v>
      </c>
      <c r="U35" s="96">
        <f t="shared" si="4"/>
        <v>3970981146.107095</v>
      </c>
    </row>
    <row r="36" spans="2:21" ht="12.75">
      <c r="B36" s="174" t="s">
        <v>75</v>
      </c>
      <c r="C36" s="509">
        <f>'03a Data_Elec&amp;Gas'!G35</f>
        <v>337958128.5</v>
      </c>
      <c r="D36" s="508">
        <f>'03a Data_Elec&amp;Gas'!K35</f>
        <v>973279859.5239005</v>
      </c>
      <c r="E36" s="508">
        <f>'03b Data_Residual'!K35</f>
        <v>4170067.865224524</v>
      </c>
      <c r="F36" s="508">
        <f>'03b Data_Residual'!L35</f>
        <v>4977645.89537852</v>
      </c>
      <c r="G36" s="232">
        <f t="shared" si="0"/>
        <v>1320385701.7845037</v>
      </c>
      <c r="H36" s="508">
        <f>'03a Data_Elec&amp;Gas'!H35</f>
        <v>351972311.23684967</v>
      </c>
      <c r="I36" s="508">
        <f t="shared" si="1"/>
        <v>341810748.20296896</v>
      </c>
      <c r="J36" s="508">
        <f>'03a Data_Elec&amp;Gas'!L35</f>
        <v>201072458.06242827</v>
      </c>
      <c r="K36" s="508">
        <f>'03b Data_Residual'!M35</f>
        <v>3769570.9455143185</v>
      </c>
      <c r="L36" s="508">
        <f>'03b Data_Residual'!N35</f>
        <v>27319646.46646186</v>
      </c>
      <c r="M36" s="508">
        <f>'03b Data_Residual'!O35</f>
        <v>33157439.284185436</v>
      </c>
      <c r="N36" s="232">
        <f t="shared" si="2"/>
        <v>607129862.9615588</v>
      </c>
      <c r="O36" s="508">
        <f>'03c Data_Transport'!M35</f>
        <v>178483.17668475484</v>
      </c>
      <c r="P36" s="508">
        <f>'03c Data_Transport'!N35</f>
        <v>0</v>
      </c>
      <c r="Q36" s="508">
        <f>'03c Data_Transport'!K35</f>
        <v>0</v>
      </c>
      <c r="R36" s="508">
        <f>'03c Data_Transport'!L35</f>
        <v>10161563.033880726</v>
      </c>
      <c r="S36" s="508">
        <f>'03c Data_Transport'!J35</f>
        <v>460409764.4938053</v>
      </c>
      <c r="T36" s="232">
        <f t="shared" si="3"/>
        <v>470749810.7043708</v>
      </c>
      <c r="U36" s="96">
        <f t="shared" si="4"/>
        <v>2398265375.4504333</v>
      </c>
    </row>
    <row r="37" spans="2:21" ht="12.75">
      <c r="B37" s="174" t="s">
        <v>76</v>
      </c>
      <c r="C37" s="509">
        <f>'03a Data_Elec&amp;Gas'!G36</f>
        <v>410966617.9</v>
      </c>
      <c r="D37" s="508">
        <f>'03a Data_Elec&amp;Gas'!K36</f>
        <v>718063876.470875</v>
      </c>
      <c r="E37" s="508">
        <f>'03b Data_Residual'!K36</f>
        <v>1298901.9674504506</v>
      </c>
      <c r="F37" s="508">
        <f>'03b Data_Residual'!L36</f>
        <v>4563236.659206805</v>
      </c>
      <c r="G37" s="232">
        <f t="shared" si="0"/>
        <v>1134892632.9975321</v>
      </c>
      <c r="H37" s="508">
        <f>'03a Data_Elec&amp;Gas'!H36</f>
        <v>2529080112.1832013</v>
      </c>
      <c r="I37" s="508">
        <f t="shared" si="1"/>
        <v>2433937498.628453</v>
      </c>
      <c r="J37" s="508">
        <f>'03a Data_Elec&amp;Gas'!L36</f>
        <v>647353703.183583</v>
      </c>
      <c r="K37" s="508">
        <f>'03b Data_Residual'!M36</f>
        <v>243077.56941729397</v>
      </c>
      <c r="L37" s="508">
        <f>'03b Data_Residual'!N36</f>
        <v>29191514.086595863</v>
      </c>
      <c r="M37" s="508">
        <f>'03b Data_Residual'!O36</f>
        <v>44552772.31054783</v>
      </c>
      <c r="N37" s="232">
        <f t="shared" si="2"/>
        <v>3155278565.778597</v>
      </c>
      <c r="O37" s="508">
        <f>'03c Data_Transport'!M36</f>
        <v>51159697.88562043</v>
      </c>
      <c r="P37" s="508">
        <f>'03c Data_Transport'!N36</f>
        <v>19158302.62935994</v>
      </c>
      <c r="Q37" s="508">
        <f>'03c Data_Transport'!K36</f>
        <v>6945.587226546943</v>
      </c>
      <c r="R37" s="508">
        <f>'03c Data_Transport'!L36</f>
        <v>95142613.55474868</v>
      </c>
      <c r="S37" s="508">
        <f>'03c Data_Transport'!J36</f>
        <v>650534765.1469373</v>
      </c>
      <c r="T37" s="232">
        <f t="shared" si="3"/>
        <v>816002324.8038929</v>
      </c>
      <c r="U37" s="96">
        <f t="shared" si="4"/>
        <v>5106173523.580022</v>
      </c>
    </row>
    <row r="38" spans="2:21" ht="12.75">
      <c r="B38" s="174" t="s">
        <v>77</v>
      </c>
      <c r="C38" s="509">
        <f>'03a Data_Elec&amp;Gas'!G37</f>
        <v>362124944.6</v>
      </c>
      <c r="D38" s="508">
        <f>'03a Data_Elec&amp;Gas'!K37</f>
        <v>1248663648.5843296</v>
      </c>
      <c r="E38" s="508">
        <f>'03b Data_Residual'!K37</f>
        <v>5623596.4316251315</v>
      </c>
      <c r="F38" s="508">
        <f>'03b Data_Residual'!L37</f>
        <v>2899899.776406942</v>
      </c>
      <c r="G38" s="232">
        <f t="shared" si="0"/>
        <v>1619312089.3923616</v>
      </c>
      <c r="H38" s="508">
        <f>'03a Data_Elec&amp;Gas'!H37</f>
        <v>410147451.2750686</v>
      </c>
      <c r="I38" s="508">
        <f t="shared" si="1"/>
        <v>378979378.5571399</v>
      </c>
      <c r="J38" s="508">
        <f>'03a Data_Elec&amp;Gas'!L37</f>
        <v>307402368.76794237</v>
      </c>
      <c r="K38" s="508">
        <f>'03b Data_Residual'!M37</f>
        <v>0</v>
      </c>
      <c r="L38" s="508">
        <f>'03b Data_Residual'!N37</f>
        <v>31789200.148748405</v>
      </c>
      <c r="M38" s="508">
        <f>'03b Data_Residual'!O37</f>
        <v>47133418.700924285</v>
      </c>
      <c r="N38" s="232">
        <f t="shared" si="2"/>
        <v>765304366.174755</v>
      </c>
      <c r="O38" s="508">
        <f>'03c Data_Transport'!M37</f>
        <v>2367591.535155085</v>
      </c>
      <c r="P38" s="508">
        <f>'03c Data_Transport'!N37</f>
        <v>0</v>
      </c>
      <c r="Q38" s="508">
        <f>'03c Data_Transport'!K37</f>
        <v>7604313.590570001</v>
      </c>
      <c r="R38" s="508">
        <f>'03c Data_Transport'!L37</f>
        <v>31168072.717928678</v>
      </c>
      <c r="S38" s="508">
        <f>'03c Data_Transport'!J37</f>
        <v>726038424.3012115</v>
      </c>
      <c r="T38" s="232">
        <f t="shared" si="3"/>
        <v>767178402.1448653</v>
      </c>
      <c r="U38" s="96">
        <f t="shared" si="4"/>
        <v>3151794857.711982</v>
      </c>
    </row>
    <row r="39" spans="2:21" ht="12.75">
      <c r="B39" s="174" t="s">
        <v>78</v>
      </c>
      <c r="C39" s="509">
        <f>'03a Data_Elec&amp;Gas'!G38</f>
        <v>506578437.1</v>
      </c>
      <c r="D39" s="508">
        <f>'03a Data_Elec&amp;Gas'!K38</f>
        <v>1425210422.2227533</v>
      </c>
      <c r="E39" s="508">
        <f>'03b Data_Residual'!K38</f>
        <v>4029238.4424864287</v>
      </c>
      <c r="F39" s="508">
        <f>'03b Data_Residual'!L38</f>
        <v>5588893.464085498</v>
      </c>
      <c r="G39" s="232">
        <f t="shared" si="0"/>
        <v>1941406991.2293255</v>
      </c>
      <c r="H39" s="508">
        <f>'03a Data_Elec&amp;Gas'!H38</f>
        <v>550536359.3486186</v>
      </c>
      <c r="I39" s="508">
        <f t="shared" si="1"/>
        <v>454192506.0405635</v>
      </c>
      <c r="J39" s="508">
        <f>'03a Data_Elec&amp;Gas'!L38</f>
        <v>560544056.1972275</v>
      </c>
      <c r="K39" s="508">
        <f>'03b Data_Residual'!M38</f>
        <v>0</v>
      </c>
      <c r="L39" s="508">
        <f>'03b Data_Residual'!N38</f>
        <v>18841987.091087837</v>
      </c>
      <c r="M39" s="508">
        <f>'03b Data_Residual'!O38</f>
        <v>34670325.26216954</v>
      </c>
      <c r="N39" s="232">
        <f t="shared" si="2"/>
        <v>1068248874.5910485</v>
      </c>
      <c r="O39" s="508">
        <f>'03c Data_Transport'!M38</f>
        <v>54499266.56013027</v>
      </c>
      <c r="P39" s="508">
        <f>'03c Data_Transport'!N38</f>
        <v>255808.47330916717</v>
      </c>
      <c r="Q39" s="508">
        <f>'03c Data_Transport'!K38</f>
        <v>5270321.936060855</v>
      </c>
      <c r="R39" s="508">
        <f>'03c Data_Transport'!L38</f>
        <v>96343853.30805512</v>
      </c>
      <c r="S39" s="508">
        <f>'03c Data_Transport'!J38</f>
        <v>699212916.2819012</v>
      </c>
      <c r="T39" s="232">
        <f t="shared" si="3"/>
        <v>855582166.5594566</v>
      </c>
      <c r="U39" s="96">
        <f t="shared" si="4"/>
        <v>3865238032.3798304</v>
      </c>
    </row>
    <row r="40" spans="2:21" ht="12.75">
      <c r="B40" s="174" t="s">
        <v>79</v>
      </c>
      <c r="C40" s="509">
        <f>'03a Data_Elec&amp;Gas'!G39</f>
        <v>496298778.4</v>
      </c>
      <c r="D40" s="508">
        <f>'03a Data_Elec&amp;Gas'!K39</f>
        <v>973293811.866024</v>
      </c>
      <c r="E40" s="508">
        <f>'03b Data_Residual'!K39</f>
        <v>1183327.9709744279</v>
      </c>
      <c r="F40" s="508">
        <f>'03b Data_Residual'!L39</f>
        <v>11896700.087511387</v>
      </c>
      <c r="G40" s="232">
        <f t="shared" si="0"/>
        <v>1482672618.3245099</v>
      </c>
      <c r="H40" s="508">
        <f>'03a Data_Elec&amp;Gas'!H39</f>
        <v>3492194919.5084133</v>
      </c>
      <c r="I40" s="508">
        <f t="shared" si="1"/>
        <v>3338592792.7360187</v>
      </c>
      <c r="J40" s="508">
        <f>'03a Data_Elec&amp;Gas'!L39</f>
        <v>2221992337.5373106</v>
      </c>
      <c r="K40" s="508">
        <f>'03b Data_Residual'!M39</f>
        <v>1979495.81653952</v>
      </c>
      <c r="L40" s="508">
        <f>'03b Data_Residual'!N39</f>
        <v>211955435.34860963</v>
      </c>
      <c r="M40" s="508">
        <f>'03b Data_Residual'!O39</f>
        <v>8985803.510888135</v>
      </c>
      <c r="N40" s="232">
        <f t="shared" si="2"/>
        <v>5783505864.949367</v>
      </c>
      <c r="O40" s="508">
        <f>'03c Data_Transport'!M39</f>
        <v>0</v>
      </c>
      <c r="P40" s="508">
        <f>'03c Data_Transport'!N39</f>
        <v>6764097.782431014</v>
      </c>
      <c r="Q40" s="508">
        <f>'03c Data_Transport'!K39</f>
        <v>10763868.286580348</v>
      </c>
      <c r="R40" s="508">
        <f>'03c Data_Transport'!L39</f>
        <v>153602126.77239484</v>
      </c>
      <c r="S40" s="508">
        <f>'03c Data_Transport'!J39</f>
        <v>1056463686.7590213</v>
      </c>
      <c r="T40" s="232">
        <f t="shared" si="3"/>
        <v>1227593779.6004274</v>
      </c>
      <c r="U40" s="96">
        <f t="shared" si="4"/>
        <v>8493772262.874304</v>
      </c>
    </row>
    <row r="41" spans="2:21" ht="12.75">
      <c r="B41" s="174" t="s">
        <v>321</v>
      </c>
      <c r="C41" s="157"/>
      <c r="D41" s="153"/>
      <c r="E41" s="153"/>
      <c r="F41" s="153"/>
      <c r="G41" s="315"/>
      <c r="H41" s="153"/>
      <c r="I41" s="508">
        <f t="shared" si="1"/>
        <v>-52551435</v>
      </c>
      <c r="J41" s="508">
        <f>'03a Data_Elec&amp;Gas'!L40</f>
        <v>106061964.69181363</v>
      </c>
      <c r="K41" s="153"/>
      <c r="L41" s="153"/>
      <c r="M41" s="153"/>
      <c r="N41" s="232">
        <f>SUM(I41:M41)</f>
        <v>53510529.69181363</v>
      </c>
      <c r="O41" s="156"/>
      <c r="P41" s="153"/>
      <c r="Q41" s="153"/>
      <c r="R41" s="508">
        <f>'03c Data_Transport'!L40</f>
        <v>52551435</v>
      </c>
      <c r="S41" s="153"/>
      <c r="T41" s="232">
        <f>SUM(O41:S41)</f>
        <v>52551435</v>
      </c>
      <c r="U41" s="96">
        <f t="shared" si="4"/>
        <v>106061964.69181363</v>
      </c>
    </row>
    <row r="42" spans="2:21" ht="12.75">
      <c r="B42" s="175" t="s">
        <v>7</v>
      </c>
      <c r="C42" s="73">
        <f>SUM(C8:C40)</f>
        <v>13204376524.3</v>
      </c>
      <c r="D42" s="74">
        <f>SUM(D8:D40)</f>
        <v>39960843414.37639</v>
      </c>
      <c r="E42" s="74">
        <f>SUM(E8:E40)</f>
        <v>129333241.59730844</v>
      </c>
      <c r="F42" s="74">
        <f>SUM(F8:F40)</f>
        <v>188841549.85654053</v>
      </c>
      <c r="G42" s="73">
        <f>SUM(C42:F42)</f>
        <v>53483394730.13023</v>
      </c>
      <c r="H42" s="73">
        <f>SUM(H8:H40)</f>
        <v>27753069527.419586</v>
      </c>
      <c r="I42" s="74">
        <f>SUM(I8:I41)</f>
        <v>25783701531.495228</v>
      </c>
      <c r="J42" s="74">
        <f>SUM(J8:J41)</f>
        <v>19795964149.350574</v>
      </c>
      <c r="K42" s="74">
        <f>SUM(K8:K40)</f>
        <v>31662736.473767</v>
      </c>
      <c r="L42" s="74">
        <f>SUM(L8:L40)</f>
        <v>2085321255.9628937</v>
      </c>
      <c r="M42" s="74">
        <f>SUM(M8:M40)</f>
        <v>1541248100.2362711</v>
      </c>
      <c r="N42" s="73">
        <f>SUM(N8:N41)</f>
        <v>49237897773.518715</v>
      </c>
      <c r="O42" s="74">
        <f>SUM(O8:O40)</f>
        <v>3762088242.593628</v>
      </c>
      <c r="P42" s="74">
        <f>SUM(P8:P40)</f>
        <v>78262309.33178034</v>
      </c>
      <c r="Q42" s="74">
        <f>SUM(Q8:Q40)</f>
        <v>303824913.3626918</v>
      </c>
      <c r="R42" s="74">
        <f>SUM(R8:R41)</f>
        <v>1969367995.9243531</v>
      </c>
      <c r="S42" s="74">
        <f>SUM(S8:S40)</f>
        <v>26608886927.364105</v>
      </c>
      <c r="T42" s="116">
        <f>SUM(T8:T41)</f>
        <v>32722430388.576557</v>
      </c>
      <c r="U42" s="116">
        <f>G42+N42+T42</f>
        <v>135443722892.22551</v>
      </c>
    </row>
    <row r="43" spans="2:21" ht="12.75">
      <c r="B43" s="176" t="s">
        <v>8</v>
      </c>
      <c r="C43" s="73">
        <f>C42/1000000</f>
        <v>13204.3765243</v>
      </c>
      <c r="D43" s="177">
        <f>D42/1000000</f>
        <v>39960.84341437639</v>
      </c>
      <c r="E43" s="177">
        <f>E42/1000000</f>
        <v>129.33324159730844</v>
      </c>
      <c r="F43" s="177">
        <f>F42/1000000</f>
        <v>188.84154985654052</v>
      </c>
      <c r="G43" s="178">
        <f>SUM(C43:F43)</f>
        <v>53483.39473013023</v>
      </c>
      <c r="H43" s="73">
        <f aca="true" t="shared" si="5" ref="H43:M43">H42/1000000</f>
        <v>27753.069527419586</v>
      </c>
      <c r="I43" s="177">
        <f t="shared" si="5"/>
        <v>25783.70153149523</v>
      </c>
      <c r="J43" s="177">
        <f t="shared" si="5"/>
        <v>19795.964149350573</v>
      </c>
      <c r="K43" s="177">
        <f t="shared" si="5"/>
        <v>31.662736473767</v>
      </c>
      <c r="L43" s="177">
        <f t="shared" si="5"/>
        <v>2085.3212559628937</v>
      </c>
      <c r="M43" s="177">
        <f t="shared" si="5"/>
        <v>1541.248100236271</v>
      </c>
      <c r="N43" s="73">
        <f>SUM(I43:M43)</f>
        <v>49237.897773518736</v>
      </c>
      <c r="O43" s="73">
        <f aca="true" t="shared" si="6" ref="O43:T43">O42/1000000</f>
        <v>3762.088242593628</v>
      </c>
      <c r="P43" s="177">
        <f t="shared" si="6"/>
        <v>78.26230933178034</v>
      </c>
      <c r="Q43" s="177">
        <f t="shared" si="6"/>
        <v>303.8249133626918</v>
      </c>
      <c r="R43" s="177">
        <f t="shared" si="6"/>
        <v>1969.3679959243532</v>
      </c>
      <c r="S43" s="177">
        <f t="shared" si="6"/>
        <v>26608.886927364107</v>
      </c>
      <c r="T43" s="73">
        <f t="shared" si="6"/>
        <v>32722.43038857656</v>
      </c>
      <c r="U43" s="116">
        <f t="shared" si="4"/>
        <v>135443.72289222552</v>
      </c>
    </row>
    <row r="44" spans="3:7" ht="12.75">
      <c r="C44" s="98"/>
      <c r="D44" s="98"/>
      <c r="E44" s="98"/>
      <c r="F44" s="98"/>
      <c r="G44" s="98"/>
    </row>
  </sheetData>
  <sheetProtection/>
  <mergeCells count="5">
    <mergeCell ref="U4:U6"/>
    <mergeCell ref="H5:N5"/>
    <mergeCell ref="O5:T5"/>
    <mergeCell ref="C4:T4"/>
    <mergeCell ref="C5:G5"/>
  </mergeCells>
  <conditionalFormatting sqref="T43">
    <cfRule type="cellIs" priority="1" dxfId="0" operator="notEqual" stopIfTrue="1">
      <formula>$T$42/1000000</formula>
    </cfRule>
  </conditionalFormatting>
  <conditionalFormatting sqref="U43">
    <cfRule type="cellIs" priority="2" dxfId="0" operator="notEqual" stopIfTrue="1">
      <formula>$U$42/1000000</formula>
    </cfRule>
  </conditionalFormatting>
  <conditionalFormatting sqref="G43">
    <cfRule type="cellIs" priority="4" dxfId="0" operator="notEqual" stopIfTrue="1">
      <formula>$G$42/1000000</formula>
    </cfRule>
  </conditionalFormatting>
  <printOptions/>
  <pageMargins left="0.25" right="0.25" top="0.75" bottom="0.75" header="0.3" footer="0.3"/>
  <pageSetup fitToHeight="1" fitToWidth="1" horizontalDpi="600" verticalDpi="600" orientation="landscape" paperSize="8" scale="67" r:id="rId1"/>
</worksheet>
</file>

<file path=xl/worksheets/sheet3.xml><?xml version="1.0" encoding="utf-8"?>
<worksheet xmlns="http://schemas.openxmlformats.org/spreadsheetml/2006/main" xmlns:r="http://schemas.openxmlformats.org/officeDocument/2006/relationships">
  <sheetPr>
    <pageSetUpPr fitToPage="1"/>
  </sheetPr>
  <dimension ref="B2:V86"/>
  <sheetViews>
    <sheetView view="pageBreakPreview" zoomScaleSheetLayoutView="100" zoomScalePageLayoutView="0" workbookViewId="0" topLeftCell="A1">
      <selection activeCell="A8" sqref="A8"/>
    </sheetView>
  </sheetViews>
  <sheetFormatPr defaultColWidth="9.140625" defaultRowHeight="12.75"/>
  <cols>
    <col min="1" max="1" width="2.00390625" style="0" customWidth="1"/>
    <col min="2" max="2" width="23.28125" style="0" bestFit="1" customWidth="1"/>
    <col min="3" max="14" width="10.7109375" style="0" customWidth="1"/>
    <col min="15" max="15" width="12.7109375" style="0" bestFit="1" customWidth="1"/>
    <col min="16" max="16" width="12.421875" style="0" customWidth="1"/>
    <col min="17" max="21" width="10.7109375" style="0" customWidth="1"/>
    <col min="22" max="22" width="16.7109375" style="0" bestFit="1" customWidth="1"/>
  </cols>
  <sheetData>
    <row r="2" spans="2:3" ht="18.75" customHeight="1">
      <c r="B2" s="18" t="s">
        <v>250</v>
      </c>
      <c r="C2" s="18" t="s">
        <v>371</v>
      </c>
    </row>
    <row r="3" spans="2:21" s="95" customFormat="1" ht="12.75">
      <c r="B3" s="92"/>
      <c r="C3" s="93"/>
      <c r="D3" s="93"/>
      <c r="E3" s="93"/>
      <c r="F3" s="93"/>
      <c r="G3" s="93"/>
      <c r="H3" s="93"/>
      <c r="J3" s="93"/>
      <c r="K3" s="93"/>
      <c r="L3" s="93"/>
      <c r="M3" s="93"/>
      <c r="N3" s="93"/>
      <c r="O3" s="94"/>
      <c r="P3" s="93"/>
      <c r="Q3" s="93"/>
      <c r="R3" s="93"/>
      <c r="S3" s="93"/>
      <c r="T3" s="93"/>
      <c r="U3" s="93"/>
    </row>
    <row r="4" spans="2:21" ht="12.75" customHeight="1">
      <c r="B4" s="658" t="s">
        <v>343</v>
      </c>
      <c r="C4" s="655" t="s">
        <v>11</v>
      </c>
      <c r="D4" s="656"/>
      <c r="E4" s="656"/>
      <c r="F4" s="656"/>
      <c r="G4" s="656"/>
      <c r="H4" s="656"/>
      <c r="I4" s="656"/>
      <c r="J4" s="656"/>
      <c r="K4" s="656"/>
      <c r="L4" s="656"/>
      <c r="M4" s="656"/>
      <c r="N4" s="656"/>
      <c r="O4" s="656"/>
      <c r="P4" s="656"/>
      <c r="Q4" s="656"/>
      <c r="R4" s="656"/>
      <c r="S4" s="656"/>
      <c r="T4" s="656"/>
      <c r="U4" s="211" t="s">
        <v>95</v>
      </c>
    </row>
    <row r="5" spans="2:21" ht="12.75">
      <c r="B5" s="659"/>
      <c r="C5" s="657" t="s">
        <v>341</v>
      </c>
      <c r="D5" s="657"/>
      <c r="E5" s="657"/>
      <c r="F5" s="657"/>
      <c r="G5" s="657"/>
      <c r="H5" s="652" t="s">
        <v>342</v>
      </c>
      <c r="I5" s="653"/>
      <c r="J5" s="653"/>
      <c r="K5" s="653"/>
      <c r="L5" s="653"/>
      <c r="M5" s="653"/>
      <c r="N5" s="654"/>
      <c r="O5" s="652" t="s">
        <v>403</v>
      </c>
      <c r="P5" s="653"/>
      <c r="Q5" s="653"/>
      <c r="R5" s="653"/>
      <c r="S5" s="653"/>
      <c r="T5" s="654"/>
      <c r="U5" s="212"/>
    </row>
    <row r="6" spans="2:21" s="19" customFormat="1" ht="25.5" customHeight="1">
      <c r="B6" s="173"/>
      <c r="C6" s="169" t="s">
        <v>15</v>
      </c>
      <c r="D6" s="169" t="s">
        <v>17</v>
      </c>
      <c r="E6" s="169" t="s">
        <v>18</v>
      </c>
      <c r="F6" s="169" t="s">
        <v>41</v>
      </c>
      <c r="G6" s="169" t="s">
        <v>89</v>
      </c>
      <c r="H6" s="170" t="s">
        <v>15</v>
      </c>
      <c r="I6" s="170" t="s">
        <v>174</v>
      </c>
      <c r="J6" s="170" t="s">
        <v>17</v>
      </c>
      <c r="K6" s="170" t="s">
        <v>18</v>
      </c>
      <c r="L6" s="170" t="s">
        <v>41</v>
      </c>
      <c r="M6" s="170" t="s">
        <v>24</v>
      </c>
      <c r="N6" s="170" t="s">
        <v>89</v>
      </c>
      <c r="O6" s="170" t="s">
        <v>313</v>
      </c>
      <c r="P6" s="170" t="s">
        <v>298</v>
      </c>
      <c r="Q6" s="170" t="s">
        <v>160</v>
      </c>
      <c r="R6" s="170" t="s">
        <v>161</v>
      </c>
      <c r="S6" s="170" t="s">
        <v>34</v>
      </c>
      <c r="T6" s="170" t="s">
        <v>89</v>
      </c>
      <c r="U6" s="213"/>
    </row>
    <row r="7" spans="2:21" ht="12.75">
      <c r="B7" s="309" t="s">
        <v>36</v>
      </c>
      <c r="C7" s="21">
        <v>2014</v>
      </c>
      <c r="D7" s="22">
        <v>2014</v>
      </c>
      <c r="E7" s="22">
        <v>2014</v>
      </c>
      <c r="F7" s="22">
        <v>2014</v>
      </c>
      <c r="G7" s="21"/>
      <c r="H7" s="21">
        <v>2014</v>
      </c>
      <c r="I7" s="22">
        <v>2014</v>
      </c>
      <c r="J7" s="22">
        <v>2014</v>
      </c>
      <c r="K7" s="22">
        <v>2014</v>
      </c>
      <c r="L7" s="22">
        <v>2014</v>
      </c>
      <c r="M7" s="22">
        <v>2014</v>
      </c>
      <c r="N7" s="21"/>
      <c r="O7" s="21" t="s">
        <v>388</v>
      </c>
      <c r="P7" s="22">
        <v>2014</v>
      </c>
      <c r="Q7" s="22">
        <v>2014</v>
      </c>
      <c r="R7" s="22">
        <v>2014</v>
      </c>
      <c r="S7" s="22">
        <v>2014</v>
      </c>
      <c r="T7" s="24"/>
      <c r="U7" s="24"/>
    </row>
    <row r="8" spans="2:21" ht="12.75">
      <c r="B8" s="174" t="s">
        <v>46</v>
      </c>
      <c r="C8" s="509">
        <f>'01 Energy'!C8*('04 Emissions Factors'!$I$6+'04 Emissions Factors'!$I$7)/1000000</f>
        <v>122.620276181364</v>
      </c>
      <c r="D8" s="508">
        <f>'01 Energy'!D8*'04 Emissions Factors'!$I$8/1000000</f>
        <v>140.20855038663402</v>
      </c>
      <c r="E8" s="508">
        <f>'01 Energy'!E8*'04 Emissions Factors'!$I$9/1000000</f>
        <v>1.7038333669292054</v>
      </c>
      <c r="F8" s="508">
        <f>'01 Energy'!F8*'04 Emissions Factors'!$I$10/1000000</f>
        <v>0.689921137652299</v>
      </c>
      <c r="G8" s="96">
        <f>SUM(C8:F8)</f>
        <v>265.2225810725795</v>
      </c>
      <c r="H8" s="507">
        <f>'01 Energy'!H8*('04 Emissions Factors'!$I$11+'04 Emissions Factors'!$I$12)/1000000</f>
        <v>141.12674730518776</v>
      </c>
      <c r="I8" s="508">
        <f>H8-R8</f>
        <v>121.13135954237079</v>
      </c>
      <c r="J8" s="508">
        <f>'01 Energy'!J8*'04 Emissions Factors'!$I$13/1000000</f>
        <v>42.28886457424098</v>
      </c>
      <c r="K8" s="508">
        <f>'01 Energy'!K8*'04 Emissions Factors'!$I$14/1000000</f>
        <v>4.121770109753094</v>
      </c>
      <c r="L8" s="426">
        <f>'01 Energy'!L8*'04 Emissions Factors'!$I$15/1000000</f>
        <v>40.049505162282024</v>
      </c>
      <c r="M8" s="426">
        <f>'01 Energy'!M8*'04 Emissions Factors'!$I$16/1000000</f>
        <v>9.859863358779398</v>
      </c>
      <c r="N8" s="96">
        <f>SUM(I8:M8)</f>
        <v>217.4513627474263</v>
      </c>
      <c r="O8" s="426">
        <f>'03c Data_Transport'!H7/1000</f>
        <v>0</v>
      </c>
      <c r="P8" s="426">
        <f>'03c Data_Transport'!I7/1000</f>
        <v>6.368751648044829</v>
      </c>
      <c r="Q8" s="426">
        <f>'03c Data_Transport'!F7/1000</f>
        <v>1.705768264489559</v>
      </c>
      <c r="R8" s="426">
        <f>'03c Data_Transport'!G7/1000</f>
        <v>19.99538776281698</v>
      </c>
      <c r="S8" s="426">
        <f>'03c Data_Transport'!E7/1000</f>
        <v>133.34449671996396</v>
      </c>
      <c r="T8" s="168">
        <f>SUM(O8:S8)</f>
        <v>161.41440439531533</v>
      </c>
      <c r="U8" s="214">
        <f>G8+N8+T8</f>
        <v>644.088348215321</v>
      </c>
    </row>
    <row r="9" spans="2:21" ht="12.75">
      <c r="B9" s="174" t="s">
        <v>47</v>
      </c>
      <c r="C9" s="509">
        <f>'01 Energy'!C9*('04 Emissions Factors'!$I$6+'04 Emissions Factors'!$I$7)/1000000</f>
        <v>284.447901038728</v>
      </c>
      <c r="D9" s="508">
        <f>'01 Energy'!D9*'04 Emissions Factors'!$I$8/1000000</f>
        <v>416.39306515015</v>
      </c>
      <c r="E9" s="508">
        <f>'01 Energy'!E9*'04 Emissions Factors'!$I$9/1000000</f>
        <v>1.6256424121505246</v>
      </c>
      <c r="F9" s="508">
        <f>'01 Energy'!F9*'04 Emissions Factors'!$I$10/1000000</f>
        <v>2.308923421240892</v>
      </c>
      <c r="G9" s="96">
        <f aca="true" t="shared" si="0" ref="G9:G40">SUM(C9:F9)</f>
        <v>704.7755320222694</v>
      </c>
      <c r="H9" s="507">
        <f>'01 Energy'!H9*('04 Emissions Factors'!$I$11+'04 Emissions Factors'!$I$12)/1000000</f>
        <v>288.9556701495231</v>
      </c>
      <c r="I9" s="508">
        <f>H9-R9</f>
        <v>253.3227933248766</v>
      </c>
      <c r="J9" s="508">
        <f>'01 Energy'!J9*'04 Emissions Factors'!$I$13/1000000</f>
        <v>105.44219637996841</v>
      </c>
      <c r="K9" s="508">
        <f>'01 Energy'!K9*'04 Emissions Factors'!$I$14/1000000</f>
        <v>0.04500393562753311</v>
      </c>
      <c r="L9" s="426">
        <f>'01 Energy'!L9*'04 Emissions Factors'!$I$15/1000000</f>
        <v>10.980935787509377</v>
      </c>
      <c r="M9" s="426">
        <f>'01 Energy'!M9*'04 Emissions Factors'!$I$16/1000000</f>
        <v>5.522888840301384</v>
      </c>
      <c r="N9" s="96">
        <f aca="true" t="shared" si="1" ref="N9:N40">SUM(I9:M9)</f>
        <v>375.3138182682833</v>
      </c>
      <c r="O9" s="426">
        <f>'03c Data_Transport'!H8/1000</f>
        <v>0.2268364570250737</v>
      </c>
      <c r="P9" s="426">
        <f>'03c Data_Transport'!I8/1000</f>
        <v>0</v>
      </c>
      <c r="Q9" s="426">
        <f>'03c Data_Transport'!F8/1000</f>
        <v>5.419713617011269</v>
      </c>
      <c r="R9" s="426">
        <f>'03c Data_Transport'!G8/1000</f>
        <v>35.63287682464649</v>
      </c>
      <c r="S9" s="426">
        <f>'03c Data_Transport'!E8/1000</f>
        <v>394.1272663505771</v>
      </c>
      <c r="T9" s="168">
        <f aca="true" t="shared" si="2" ref="T9:T40">SUM(O9:S9)</f>
        <v>435.4066932492599</v>
      </c>
      <c r="U9" s="214">
        <f aca="true" t="shared" si="3" ref="U9:U41">G9+N9+T9</f>
        <v>1515.4960435398127</v>
      </c>
    </row>
    <row r="10" spans="2:21" ht="12.75">
      <c r="B10" s="174" t="s">
        <v>48</v>
      </c>
      <c r="C10" s="509">
        <f>'01 Energy'!C10*('04 Emissions Factors'!$I$6+'04 Emissions Factors'!$I$7)/1000000</f>
        <v>176.04210699319202</v>
      </c>
      <c r="D10" s="508">
        <f>'01 Energy'!D10*'04 Emissions Factors'!$I$8/1000000</f>
        <v>211.7634452375273</v>
      </c>
      <c r="E10" s="508">
        <f>'01 Energy'!E10*'04 Emissions Factors'!$I$9/1000000</f>
        <v>1.9967911369506148</v>
      </c>
      <c r="F10" s="508">
        <f>'01 Energy'!F10*'04 Emissions Factors'!$I$10/1000000</f>
        <v>1.6111049362286076</v>
      </c>
      <c r="G10" s="96">
        <f t="shared" si="0"/>
        <v>391.4134483038985</v>
      </c>
      <c r="H10" s="507">
        <f>'01 Energy'!H10*('04 Emissions Factors'!$I$11+'04 Emissions Factors'!$I$12)/1000000</f>
        <v>221.9080290848051</v>
      </c>
      <c r="I10" s="508">
        <f>H10-R10</f>
        <v>212.60536747220863</v>
      </c>
      <c r="J10" s="508">
        <f>'01 Energy'!J10*'04 Emissions Factors'!$I$13/1000000</f>
        <v>126.95490961467645</v>
      </c>
      <c r="K10" s="508">
        <f>'01 Energy'!K10*'04 Emissions Factors'!$I$14/1000000</f>
        <v>0.06940580975926204</v>
      </c>
      <c r="L10" s="426">
        <f>'01 Energy'!L10*'04 Emissions Factors'!$I$15/1000000</f>
        <v>38.08257537801047</v>
      </c>
      <c r="M10" s="426">
        <f>'01 Energy'!M10*'04 Emissions Factors'!$I$16/1000000</f>
        <v>10.990439692745893</v>
      </c>
      <c r="N10" s="96">
        <f t="shared" si="1"/>
        <v>388.7026979674007</v>
      </c>
      <c r="O10" s="426">
        <f>'03c Data_Transport'!H9/1000</f>
        <v>8.230594259049266</v>
      </c>
      <c r="P10" s="426">
        <f>'03c Data_Transport'!I9/1000</f>
        <v>4.561340066791499</v>
      </c>
      <c r="Q10" s="426">
        <f>'03c Data_Transport'!F9/1000</f>
        <v>0.8818983989529486</v>
      </c>
      <c r="R10" s="426">
        <f>'03c Data_Transport'!G9/1000</f>
        <v>9.30266161259648</v>
      </c>
      <c r="S10" s="426">
        <f>'03c Data_Transport'!E9/1000</f>
        <v>193.11119044194177</v>
      </c>
      <c r="T10" s="168">
        <f t="shared" si="2"/>
        <v>216.08768477933197</v>
      </c>
      <c r="U10" s="214">
        <f t="shared" si="3"/>
        <v>996.2038310506312</v>
      </c>
    </row>
    <row r="11" spans="2:21" ht="12.75">
      <c r="B11" s="174" t="s">
        <v>49</v>
      </c>
      <c r="C11" s="509">
        <f>'01 Energy'!C11*('04 Emissions Factors'!$I$6+'04 Emissions Factors'!$I$7)/1000000</f>
        <v>195.730901320768</v>
      </c>
      <c r="D11" s="508">
        <f>'01 Energy'!D11*'04 Emissions Factors'!$I$8/1000000</f>
        <v>293.0823903366041</v>
      </c>
      <c r="E11" s="508">
        <f>'01 Energy'!E11*'04 Emissions Factors'!$I$9/1000000</f>
        <v>1.1721370607420787</v>
      </c>
      <c r="F11" s="508">
        <f>'01 Energy'!F11*'04 Emissions Factors'!$I$10/1000000</f>
        <v>1.3823191033671087</v>
      </c>
      <c r="G11" s="96">
        <f t="shared" si="0"/>
        <v>491.36774782148126</v>
      </c>
      <c r="H11" s="507">
        <f>'01 Energy'!H11*('04 Emissions Factors'!$I$11+'04 Emissions Factors'!$I$12)/1000000</f>
        <v>413.667427044596</v>
      </c>
      <c r="I11" s="508">
        <f aca="true" t="shared" si="4" ref="I11:I40">H11-R11</f>
        <v>369.51581784845183</v>
      </c>
      <c r="J11" s="508">
        <f>'01 Energy'!J11*'04 Emissions Factors'!$I$13/1000000</f>
        <v>106.32531002516647</v>
      </c>
      <c r="K11" s="508">
        <f>'01 Energy'!K11*'04 Emissions Factors'!$I$14/1000000</f>
        <v>0</v>
      </c>
      <c r="L11" s="426">
        <f>'01 Energy'!L11*'04 Emissions Factors'!$I$15/1000000</f>
        <v>20.751879584248915</v>
      </c>
      <c r="M11" s="426">
        <f>'01 Energy'!M11*'04 Emissions Factors'!$I$16/1000000</f>
        <v>4.0291310928624045</v>
      </c>
      <c r="N11" s="96">
        <f t="shared" si="1"/>
        <v>500.62213855072963</v>
      </c>
      <c r="O11" s="426">
        <f>'03c Data_Transport'!H10/1000</f>
        <v>0.3345084139994634</v>
      </c>
      <c r="P11" s="426">
        <f>'03c Data_Transport'!I10/1000</f>
        <v>0</v>
      </c>
      <c r="Q11" s="426">
        <f>'03c Data_Transport'!F10/1000</f>
        <v>8.948791167878873</v>
      </c>
      <c r="R11" s="426">
        <f>'03c Data_Transport'!G10/1000</f>
        <v>44.151609196144186</v>
      </c>
      <c r="S11" s="426">
        <f>'03c Data_Transport'!E10/1000</f>
        <v>210.32409519641604</v>
      </c>
      <c r="T11" s="168">
        <f t="shared" si="2"/>
        <v>263.75900397443854</v>
      </c>
      <c r="U11" s="214">
        <f t="shared" si="3"/>
        <v>1255.7488903466494</v>
      </c>
    </row>
    <row r="12" spans="2:21" ht="12.75">
      <c r="B12" s="174" t="s">
        <v>50</v>
      </c>
      <c r="C12" s="509">
        <f>'01 Energy'!C12*('04 Emissions Factors'!$I$6+'04 Emissions Factors'!$I$7)/1000000</f>
        <v>257.001342461236</v>
      </c>
      <c r="D12" s="508">
        <f>'01 Energy'!D12*'04 Emissions Factors'!$I$8/1000000</f>
        <v>349.1871736610949</v>
      </c>
      <c r="E12" s="508">
        <f>'01 Energy'!E12*'04 Emissions Factors'!$I$9/1000000</f>
        <v>2.1725442872853757</v>
      </c>
      <c r="F12" s="508">
        <f>'01 Energy'!F12*'04 Emissions Factors'!$I$10/1000000</f>
        <v>3.7122212266895143</v>
      </c>
      <c r="G12" s="96">
        <f t="shared" si="0"/>
        <v>612.0732816363058</v>
      </c>
      <c r="H12" s="507">
        <f>'01 Energy'!H12*('04 Emissions Factors'!$I$11+'04 Emissions Factors'!$I$12)/1000000</f>
        <v>208.8518811148936</v>
      </c>
      <c r="I12" s="508">
        <f t="shared" si="4"/>
        <v>186.76963352749334</v>
      </c>
      <c r="J12" s="508">
        <f>'01 Energy'!J12*'04 Emissions Factors'!$I$13/1000000</f>
        <v>68.12116691377028</v>
      </c>
      <c r="K12" s="508">
        <f>'01 Energy'!K12*'04 Emissions Factors'!$I$14/1000000</f>
        <v>0.010251809589094133</v>
      </c>
      <c r="L12" s="426">
        <f>'01 Energy'!L12*'04 Emissions Factors'!$I$15/1000000</f>
        <v>19.564621015080483</v>
      </c>
      <c r="M12" s="426">
        <f>'01 Energy'!M12*'04 Emissions Factors'!$I$16/1000000</f>
        <v>6.86550517311958</v>
      </c>
      <c r="N12" s="96">
        <f t="shared" si="1"/>
        <v>281.3311784390528</v>
      </c>
      <c r="O12" s="426">
        <f>'03c Data_Transport'!H11/1000</f>
        <v>1.410701573842952</v>
      </c>
      <c r="P12" s="426">
        <f>'03c Data_Transport'!I11/1000</f>
        <v>0</v>
      </c>
      <c r="Q12" s="426">
        <f>'03c Data_Transport'!F11/1000</f>
        <v>0.763558900596945</v>
      </c>
      <c r="R12" s="426">
        <f>'03c Data_Transport'!G11/1000</f>
        <v>22.08224758740025</v>
      </c>
      <c r="S12" s="426">
        <f>'03c Data_Transport'!E11/1000</f>
        <v>256.0618305627765</v>
      </c>
      <c r="T12" s="168">
        <f t="shared" si="2"/>
        <v>280.3183386246166</v>
      </c>
      <c r="U12" s="214">
        <f t="shared" si="3"/>
        <v>1173.722798699975</v>
      </c>
    </row>
    <row r="13" spans="2:21" ht="12.75">
      <c r="B13" s="174" t="s">
        <v>51</v>
      </c>
      <c r="C13" s="509">
        <f>'01 Energy'!C13*('04 Emissions Factors'!$I$6+'04 Emissions Factors'!$I$7)/1000000</f>
        <v>161.84526646359203</v>
      </c>
      <c r="D13" s="508">
        <f>'01 Energy'!D13*'04 Emissions Factors'!$I$8/1000000</f>
        <v>183.73448773709913</v>
      </c>
      <c r="E13" s="508">
        <f>'01 Energy'!E13*'04 Emissions Factors'!$I$9/1000000</f>
        <v>0.39902789839916253</v>
      </c>
      <c r="F13" s="508">
        <f>'01 Energy'!F13*'04 Emissions Factors'!$I$10/1000000</f>
        <v>2.6255071971155037</v>
      </c>
      <c r="G13" s="96">
        <f t="shared" si="0"/>
        <v>348.60428929620576</v>
      </c>
      <c r="H13" s="507">
        <f>'01 Energy'!H13*('04 Emissions Factors'!$I$11+'04 Emissions Factors'!$I$12)/1000000</f>
        <v>646.0064694596504</v>
      </c>
      <c r="I13" s="508">
        <f t="shared" si="4"/>
        <v>598.9982502876645</v>
      </c>
      <c r="J13" s="508">
        <f>'01 Energy'!J13*'04 Emissions Factors'!$I$13/1000000</f>
        <v>248.2504535353789</v>
      </c>
      <c r="K13" s="508">
        <f>'01 Energy'!K13*'04 Emissions Factors'!$I$14/1000000</f>
        <v>0</v>
      </c>
      <c r="L13" s="426">
        <f>'01 Energy'!L13*'04 Emissions Factors'!$I$15/1000000</f>
        <v>11.008877834509661</v>
      </c>
      <c r="M13" s="426">
        <f>'01 Energy'!M13*'04 Emissions Factors'!$I$16/1000000</f>
        <v>1.2630307832390428</v>
      </c>
      <c r="N13" s="96">
        <f t="shared" si="1"/>
        <v>859.5206124407922</v>
      </c>
      <c r="O13" s="426">
        <f>'03c Data_Transport'!H12/1000</f>
        <v>0</v>
      </c>
      <c r="P13" s="426">
        <f>'03c Data_Transport'!I12/1000</f>
        <v>0</v>
      </c>
      <c r="Q13" s="426">
        <f>'03c Data_Transport'!F12/1000</f>
        <v>7.006704066270505</v>
      </c>
      <c r="R13" s="426">
        <f>'03c Data_Transport'!G12/1000</f>
        <v>47.00821917198585</v>
      </c>
      <c r="S13" s="426">
        <f>'03c Data_Transport'!E12/1000</f>
        <v>158.28674608287523</v>
      </c>
      <c r="T13" s="168">
        <f t="shared" si="2"/>
        <v>212.30166932113158</v>
      </c>
      <c r="U13" s="214">
        <f t="shared" si="3"/>
        <v>1420.4265710581296</v>
      </c>
    </row>
    <row r="14" spans="2:21" ht="12.75">
      <c r="B14" s="174" t="s">
        <v>52</v>
      </c>
      <c r="C14" s="509">
        <f>'01 Energy'!C14*('04 Emissions Factors'!$I$6+'04 Emissions Factors'!$I$7)/1000000</f>
        <v>12.546295456252</v>
      </c>
      <c r="D14" s="508">
        <f>'01 Energy'!D14*'04 Emissions Factors'!$I$8/1000000</f>
        <v>5.5117008586365435</v>
      </c>
      <c r="E14" s="508">
        <f>'01 Energy'!E14*'04 Emissions Factors'!$I$9/1000000</f>
        <v>0.0015115070844866666</v>
      </c>
      <c r="F14" s="508">
        <f>'01 Energy'!F14*'04 Emissions Factors'!$I$10/1000000</f>
        <v>0.09532834250754131</v>
      </c>
      <c r="G14" s="96">
        <f t="shared" si="0"/>
        <v>18.154836164480574</v>
      </c>
      <c r="H14" s="507">
        <f>'01 Energy'!H14*('04 Emissions Factors'!$I$11+'04 Emissions Factors'!$I$12)/1000000</f>
        <v>932.2820061325386</v>
      </c>
      <c r="I14" s="508">
        <f t="shared" si="4"/>
        <v>912.0751967459188</v>
      </c>
      <c r="J14" s="508">
        <f>'01 Energy'!J14*'04 Emissions Factors'!$I$13/1000000</f>
        <v>123.84115719565915</v>
      </c>
      <c r="K14" s="508">
        <f>'01 Energy'!K14*'04 Emissions Factors'!$I$14/1000000</f>
        <v>0</v>
      </c>
      <c r="L14" s="426">
        <f>'01 Energy'!L14*'04 Emissions Factors'!$I$15/1000000</f>
        <v>9.515205562869653</v>
      </c>
      <c r="M14" s="426">
        <f>'01 Energy'!M14*'04 Emissions Factors'!$I$16/1000000</f>
        <v>0.005497811297858435</v>
      </c>
      <c r="N14" s="96">
        <f t="shared" si="1"/>
        <v>1045.4370573157453</v>
      </c>
      <c r="O14" s="426">
        <f>'03c Data_Transport'!H13/1000</f>
        <v>1.2773385548765992</v>
      </c>
      <c r="P14" s="426">
        <f>'03c Data_Transport'!I13/1000</f>
        <v>2.032987017692793</v>
      </c>
      <c r="Q14" s="426">
        <f>'03c Data_Transport'!F13/1000</f>
        <v>0</v>
      </c>
      <c r="R14" s="426">
        <f>'03c Data_Transport'!G13/1000</f>
        <v>20.20680938661988</v>
      </c>
      <c r="S14" s="426">
        <f>'03c Data_Transport'!E13/1000</f>
        <v>53.77687112750616</v>
      </c>
      <c r="T14" s="168">
        <f t="shared" si="2"/>
        <v>77.29400608669543</v>
      </c>
      <c r="U14" s="214">
        <f t="shared" si="3"/>
        <v>1140.8858995669214</v>
      </c>
    </row>
    <row r="15" spans="2:21" ht="12.75">
      <c r="B15" s="174" t="s">
        <v>53</v>
      </c>
      <c r="C15" s="509">
        <f>'01 Energy'!C15*('04 Emissions Factors'!$I$6+'04 Emissions Factors'!$I$7)/1000000</f>
        <v>273.95530181265997</v>
      </c>
      <c r="D15" s="508">
        <f>'01 Energy'!D15*'04 Emissions Factors'!$I$8/1000000</f>
        <v>349.25459659849105</v>
      </c>
      <c r="E15" s="508">
        <f>'01 Energy'!E15*'04 Emissions Factors'!$I$9/1000000</f>
        <v>2.712689064830405</v>
      </c>
      <c r="F15" s="508">
        <f>'01 Energy'!F15*'04 Emissions Factors'!$I$10/1000000</f>
        <v>2.3651398450072034</v>
      </c>
      <c r="G15" s="96">
        <f t="shared" si="0"/>
        <v>628.2877273209887</v>
      </c>
      <c r="H15" s="507">
        <f>'01 Energy'!H15*('04 Emissions Factors'!$I$11+'04 Emissions Factors'!$I$12)/1000000</f>
        <v>275.5760345331141</v>
      </c>
      <c r="I15" s="508">
        <f t="shared" si="4"/>
        <v>248.6812130098191</v>
      </c>
      <c r="J15" s="508">
        <f>'01 Energy'!J15*'04 Emissions Factors'!$I$13/1000000</f>
        <v>71.06186954032471</v>
      </c>
      <c r="K15" s="508">
        <f>'01 Energy'!K15*'04 Emissions Factors'!$I$14/1000000</f>
        <v>0.21195900869647344</v>
      </c>
      <c r="L15" s="426">
        <f>'01 Energy'!L15*'04 Emissions Factors'!$I$15/1000000</f>
        <v>8.519219534339834</v>
      </c>
      <c r="M15" s="426">
        <f>'01 Energy'!M15*'04 Emissions Factors'!$I$16/1000000</f>
        <v>9.031638067972395</v>
      </c>
      <c r="N15" s="96">
        <f t="shared" si="1"/>
        <v>337.50589916115246</v>
      </c>
      <c r="O15" s="426">
        <f>'03c Data_Transport'!H14/1000</f>
        <v>0.282965013333536</v>
      </c>
      <c r="P15" s="426">
        <f>'03c Data_Transport'!I14/1000</f>
        <v>0</v>
      </c>
      <c r="Q15" s="426">
        <f>'03c Data_Transport'!F14/1000</f>
        <v>1.3594271940149496</v>
      </c>
      <c r="R15" s="426">
        <f>'03c Data_Transport'!G14/1000</f>
        <v>26.894821523295022</v>
      </c>
      <c r="S15" s="426">
        <f>'03c Data_Transport'!E14/1000</f>
        <v>240.49373370065666</v>
      </c>
      <c r="T15" s="168">
        <f t="shared" si="2"/>
        <v>269.03094743130015</v>
      </c>
      <c r="U15" s="214">
        <f t="shared" si="3"/>
        <v>1234.8245739134413</v>
      </c>
    </row>
    <row r="16" spans="2:21" ht="12.75">
      <c r="B16" s="174" t="s">
        <v>54</v>
      </c>
      <c r="C16" s="509">
        <f>'01 Energy'!C16*('04 Emissions Factors'!$I$6+'04 Emissions Factors'!$I$7)/1000000</f>
        <v>219.67774816008802</v>
      </c>
      <c r="D16" s="508">
        <f>'01 Energy'!D16*'04 Emissions Factors'!$I$8/1000000</f>
        <v>319.76929296823454</v>
      </c>
      <c r="E16" s="508">
        <f>'01 Energy'!E16*'04 Emissions Factors'!$I$9/1000000</f>
        <v>1.8440310218630775</v>
      </c>
      <c r="F16" s="508">
        <f>'01 Energy'!F16*'04 Emissions Factors'!$I$10/1000000</f>
        <v>1.7442640160115432</v>
      </c>
      <c r="G16" s="96">
        <f t="shared" si="0"/>
        <v>543.0353361661972</v>
      </c>
      <c r="H16" s="507">
        <f>'01 Energy'!H16*('04 Emissions Factors'!$I$11+'04 Emissions Factors'!$I$12)/1000000</f>
        <v>401.483335332208</v>
      </c>
      <c r="I16" s="508">
        <f t="shared" si="4"/>
        <v>374.0564823215749</v>
      </c>
      <c r="J16" s="508">
        <f>'01 Energy'!J16*'04 Emissions Factors'!$I$13/1000000</f>
        <v>143.2239382147381</v>
      </c>
      <c r="K16" s="508">
        <f>'01 Energy'!K16*'04 Emissions Factors'!$I$14/1000000</f>
        <v>0.03531484576371069</v>
      </c>
      <c r="L16" s="426">
        <f>'01 Energy'!L16*'04 Emissions Factors'!$I$15/1000000</f>
        <v>23.649518012940334</v>
      </c>
      <c r="M16" s="426">
        <f>'01 Energy'!M16*'04 Emissions Factors'!$I$16/1000000</f>
        <v>6.039523404501237</v>
      </c>
      <c r="N16" s="96">
        <f t="shared" si="1"/>
        <v>547.0047767995183</v>
      </c>
      <c r="O16" s="426">
        <f>'03c Data_Transport'!H15/1000</f>
        <v>0.18163692620808083</v>
      </c>
      <c r="P16" s="426">
        <f>'03c Data_Transport'!I15/1000</f>
        <v>0</v>
      </c>
      <c r="Q16" s="426">
        <f>'03c Data_Transport'!F15/1000</f>
        <v>14.453970510133619</v>
      </c>
      <c r="R16" s="426">
        <f>'03c Data_Transport'!G15/1000</f>
        <v>27.426853010633145</v>
      </c>
      <c r="S16" s="426">
        <f>'03c Data_Transport'!E15/1000</f>
        <v>288.2390175892307</v>
      </c>
      <c r="T16" s="168">
        <f t="shared" si="2"/>
        <v>330.30147803620554</v>
      </c>
      <c r="U16" s="214">
        <f t="shared" si="3"/>
        <v>1420.341591001921</v>
      </c>
    </row>
    <row r="17" spans="2:21" ht="12.75">
      <c r="B17" s="174" t="s">
        <v>55</v>
      </c>
      <c r="C17" s="509">
        <f>'01 Energy'!C17*('04 Emissions Factors'!$I$6+'04 Emissions Factors'!$I$7)/1000000</f>
        <v>228.14717440714398</v>
      </c>
      <c r="D17" s="508">
        <f>'01 Energy'!D17*'04 Emissions Factors'!$I$8/1000000</f>
        <v>295.741489044706</v>
      </c>
      <c r="E17" s="508">
        <f>'01 Energy'!E17*'04 Emissions Factors'!$I$9/1000000</f>
        <v>2.203431780042607</v>
      </c>
      <c r="F17" s="508">
        <f>'01 Energy'!F17*'04 Emissions Factors'!$I$10/1000000</f>
        <v>1.6884512757204035</v>
      </c>
      <c r="G17" s="96">
        <f t="shared" si="0"/>
        <v>527.7805465076129</v>
      </c>
      <c r="H17" s="507">
        <f>'01 Energy'!H17*('04 Emissions Factors'!$I$11+'04 Emissions Factors'!$I$12)/1000000</f>
        <v>262.02579044803065</v>
      </c>
      <c r="I17" s="508">
        <f t="shared" si="4"/>
        <v>242.70668284366562</v>
      </c>
      <c r="J17" s="508">
        <f>'01 Energy'!J17*'04 Emissions Factors'!$I$13/1000000</f>
        <v>101.09178578551042</v>
      </c>
      <c r="K17" s="508">
        <f>'01 Energy'!K17*'04 Emissions Factors'!$I$14/1000000</f>
        <v>0.1880432788399883</v>
      </c>
      <c r="L17" s="426">
        <f>'01 Energy'!L17*'04 Emissions Factors'!$I$15/1000000</f>
        <v>22.215995741660297</v>
      </c>
      <c r="M17" s="426">
        <f>'01 Energy'!M17*'04 Emissions Factors'!$I$16/1000000</f>
        <v>14.391953189788202</v>
      </c>
      <c r="N17" s="96">
        <f t="shared" si="1"/>
        <v>380.59446083946455</v>
      </c>
      <c r="O17" s="426">
        <f>'03c Data_Transport'!H16/1000</f>
        <v>0.32236233460341035</v>
      </c>
      <c r="P17" s="426">
        <f>'03c Data_Transport'!I16/1000</f>
        <v>0</v>
      </c>
      <c r="Q17" s="426">
        <f>'03c Data_Transport'!F16/1000</f>
        <v>0.6141982148196785</v>
      </c>
      <c r="R17" s="426">
        <f>'03c Data_Transport'!G16/1000</f>
        <v>19.319107604365023</v>
      </c>
      <c r="S17" s="426">
        <f>'03c Data_Transport'!E16/1000</f>
        <v>365.97231825713857</v>
      </c>
      <c r="T17" s="168">
        <f t="shared" si="2"/>
        <v>386.2279864109267</v>
      </c>
      <c r="U17" s="214">
        <f t="shared" si="3"/>
        <v>1294.6029937580042</v>
      </c>
    </row>
    <row r="18" spans="2:21" ht="12.75">
      <c r="B18" s="174" t="s">
        <v>56</v>
      </c>
      <c r="C18" s="509">
        <f>'01 Energy'!C18*('04 Emissions Factors'!$I$6+'04 Emissions Factors'!$I$7)/1000000</f>
        <v>171.343669434308</v>
      </c>
      <c r="D18" s="508">
        <f>'01 Energy'!D18*'04 Emissions Factors'!$I$8/1000000</f>
        <v>194.03694303293682</v>
      </c>
      <c r="E18" s="508">
        <f>'01 Energy'!E18*'04 Emissions Factors'!$I$9/1000000</f>
        <v>1.6442470936108315</v>
      </c>
      <c r="F18" s="508">
        <f>'01 Energy'!F18*'04 Emissions Factors'!$I$10/1000000</f>
        <v>1.2649780861934663</v>
      </c>
      <c r="G18" s="96">
        <f t="shared" si="0"/>
        <v>368.2898376470491</v>
      </c>
      <c r="H18" s="507">
        <f>'01 Energy'!H18*('04 Emissions Factors'!$I$11+'04 Emissions Factors'!$I$12)/1000000</f>
        <v>221.30030874881282</v>
      </c>
      <c r="I18" s="508">
        <f t="shared" si="4"/>
        <v>207.08066376721393</v>
      </c>
      <c r="J18" s="508">
        <f>'01 Energy'!J18*'04 Emissions Factors'!$I$13/1000000</f>
        <v>172.48465014641997</v>
      </c>
      <c r="K18" s="508">
        <f>'01 Energy'!K18*'04 Emissions Factors'!$I$14/1000000</f>
        <v>0.09923300014752513</v>
      </c>
      <c r="L18" s="426">
        <f>'01 Energy'!L18*'04 Emissions Factors'!$I$15/1000000</f>
        <v>11.18480774782308</v>
      </c>
      <c r="M18" s="426">
        <f>'01 Energy'!M18*'04 Emissions Factors'!$I$16/1000000</f>
        <v>5.607827688127119</v>
      </c>
      <c r="N18" s="96">
        <f t="shared" si="1"/>
        <v>396.4571823497316</v>
      </c>
      <c r="O18" s="426">
        <f>'03c Data_Transport'!H17/1000</f>
        <v>6.612406206068586</v>
      </c>
      <c r="P18" s="426">
        <f>'03c Data_Transport'!I17/1000</f>
        <v>4.236300108494937</v>
      </c>
      <c r="Q18" s="426">
        <f>'03c Data_Transport'!F17/1000</f>
        <v>0.626263084109868</v>
      </c>
      <c r="R18" s="426">
        <f>'03c Data_Transport'!G17/1000</f>
        <v>14.219644981598893</v>
      </c>
      <c r="S18" s="426">
        <f>'03c Data_Transport'!E17/1000</f>
        <v>221.35500214989654</v>
      </c>
      <c r="T18" s="168">
        <f t="shared" si="2"/>
        <v>247.0496165301688</v>
      </c>
      <c r="U18" s="214">
        <f t="shared" si="3"/>
        <v>1011.7966365269496</v>
      </c>
    </row>
    <row r="19" spans="2:21" ht="12.75">
      <c r="B19" s="174" t="s">
        <v>57</v>
      </c>
      <c r="C19" s="509">
        <f>'01 Energy'!C19*('04 Emissions Factors'!$I$6+'04 Emissions Factors'!$I$7)/1000000</f>
        <v>159.005695983944</v>
      </c>
      <c r="D19" s="508">
        <f>'01 Energy'!D19*'04 Emissions Factors'!$I$8/1000000</f>
        <v>186.81721672673174</v>
      </c>
      <c r="E19" s="508">
        <f>'01 Energy'!E19*'04 Emissions Factors'!$I$9/1000000</f>
        <v>0.6465730872836535</v>
      </c>
      <c r="F19" s="508">
        <f>'01 Energy'!F19*'04 Emissions Factors'!$I$10/1000000</f>
        <v>0.8417352835102886</v>
      </c>
      <c r="G19" s="96">
        <f t="shared" si="0"/>
        <v>347.3112210814696</v>
      </c>
      <c r="H19" s="507">
        <f>'01 Energy'!H19*('04 Emissions Factors'!$I$11+'04 Emissions Factors'!$I$12)/1000000</f>
        <v>312.07881698022</v>
      </c>
      <c r="I19" s="508">
        <f t="shared" si="4"/>
        <v>301.3013460010295</v>
      </c>
      <c r="J19" s="508">
        <f>'01 Energy'!J19*'04 Emissions Factors'!$I$13/1000000</f>
        <v>59.73046061689414</v>
      </c>
      <c r="K19" s="508">
        <f>'01 Energy'!K19*'04 Emissions Factors'!$I$14/1000000</f>
        <v>0.02728730943385479</v>
      </c>
      <c r="L19" s="426">
        <f>'01 Energy'!L19*'04 Emissions Factors'!$I$15/1000000</f>
        <v>4.204720125964172</v>
      </c>
      <c r="M19" s="426">
        <f>'01 Energy'!M19*'04 Emissions Factors'!$I$16/1000000</f>
        <v>2.0922933585373706</v>
      </c>
      <c r="N19" s="96">
        <f t="shared" si="1"/>
        <v>367.35610741185906</v>
      </c>
      <c r="O19" s="426">
        <f>'03c Data_Transport'!H18/1000</f>
        <v>0.11634028604589602</v>
      </c>
      <c r="P19" s="426">
        <f>'03c Data_Transport'!I18/1000</f>
        <v>0</v>
      </c>
      <c r="Q19" s="426">
        <f>'03c Data_Transport'!F18/1000</f>
        <v>0.867219150860087</v>
      </c>
      <c r="R19" s="426">
        <f>'03c Data_Transport'!G18/1000</f>
        <v>10.777470979190493</v>
      </c>
      <c r="S19" s="426">
        <f>'03c Data_Transport'!E18/1000</f>
        <v>124.2997374196212</v>
      </c>
      <c r="T19" s="168">
        <f t="shared" si="2"/>
        <v>136.06076783571768</v>
      </c>
      <c r="U19" s="214">
        <f t="shared" si="3"/>
        <v>850.7280963290464</v>
      </c>
    </row>
    <row r="20" spans="2:21" ht="12.75">
      <c r="B20" s="174" t="s">
        <v>58</v>
      </c>
      <c r="C20" s="509">
        <f>'01 Energy'!C20*('04 Emissions Factors'!$I$6+'04 Emissions Factors'!$I$7)/1000000</f>
        <v>131.349127754644</v>
      </c>
      <c r="D20" s="508">
        <f>'01 Energy'!D20*'04 Emissions Factors'!$I$8/1000000</f>
        <v>169.6371413388866</v>
      </c>
      <c r="E20" s="508">
        <f>'01 Energy'!E20*'04 Emissions Factors'!$I$9/1000000</f>
        <v>0.6271505027811658</v>
      </c>
      <c r="F20" s="508">
        <f>'01 Energy'!F20*'04 Emissions Factors'!$I$10/1000000</f>
        <v>1.0172988529985663</v>
      </c>
      <c r="G20" s="96">
        <f t="shared" si="0"/>
        <v>302.63071844931034</v>
      </c>
      <c r="H20" s="507">
        <f>'01 Energy'!H20*('04 Emissions Factors'!$I$11+'04 Emissions Factors'!$I$12)/1000000</f>
        <v>299.1408089816219</v>
      </c>
      <c r="I20" s="508">
        <f t="shared" si="4"/>
        <v>278.6815132300643</v>
      </c>
      <c r="J20" s="508">
        <f>'01 Energy'!J20*'04 Emissions Factors'!$I$13/1000000</f>
        <v>97.92229839055659</v>
      </c>
      <c r="K20" s="508">
        <f>'01 Energy'!K20*'04 Emissions Factors'!$I$14/1000000</f>
        <v>0</v>
      </c>
      <c r="L20" s="426">
        <f>'01 Energy'!L20*'04 Emissions Factors'!$I$15/1000000</f>
        <v>10.199585312918076</v>
      </c>
      <c r="M20" s="426">
        <f>'01 Energy'!M20*'04 Emissions Factors'!$I$16/1000000</f>
        <v>2.188394989954958</v>
      </c>
      <c r="N20" s="96">
        <f t="shared" si="1"/>
        <v>388.99179192349396</v>
      </c>
      <c r="O20" s="426">
        <f>'03c Data_Transport'!H19/1000</f>
        <v>15.09911274100794</v>
      </c>
      <c r="P20" s="426">
        <f>'03c Data_Transport'!I19/1000</f>
        <v>0.08050976106473773</v>
      </c>
      <c r="Q20" s="426">
        <f>'03c Data_Transport'!F19/1000</f>
        <v>2.8844800592592614</v>
      </c>
      <c r="R20" s="426">
        <f>'03c Data_Transport'!G19/1000</f>
        <v>20.45929575155757</v>
      </c>
      <c r="S20" s="426">
        <f>'03c Data_Transport'!E19/1000</f>
        <v>115.52788271990383</v>
      </c>
      <c r="T20" s="168">
        <f t="shared" si="2"/>
        <v>154.05128103279333</v>
      </c>
      <c r="U20" s="214">
        <f t="shared" si="3"/>
        <v>845.6737914055976</v>
      </c>
    </row>
    <row r="21" spans="2:21" ht="12.75">
      <c r="B21" s="174" t="s">
        <v>59</v>
      </c>
      <c r="C21" s="509">
        <f>'01 Energy'!C21*('04 Emissions Factors'!$I$6+'04 Emissions Factors'!$I$7)/1000000</f>
        <v>167.062420328244</v>
      </c>
      <c r="D21" s="508">
        <f>'01 Energy'!D21*'04 Emissions Factors'!$I$8/1000000</f>
        <v>241.70450339359695</v>
      </c>
      <c r="E21" s="508">
        <f>'01 Energy'!E21*'04 Emissions Factors'!$I$9/1000000</f>
        <v>1.2577295844939191</v>
      </c>
      <c r="F21" s="508">
        <f>'01 Energy'!F21*'04 Emissions Factors'!$I$10/1000000</f>
        <v>0.8453368275318052</v>
      </c>
      <c r="G21" s="96">
        <f t="shared" si="0"/>
        <v>410.8699901338667</v>
      </c>
      <c r="H21" s="507">
        <f>'01 Energy'!H21*('04 Emissions Factors'!$I$11+'04 Emissions Factors'!$I$12)/1000000</f>
        <v>179.32663148519842</v>
      </c>
      <c r="I21" s="508">
        <f t="shared" si="4"/>
        <v>151.9982289964121</v>
      </c>
      <c r="J21" s="508">
        <f>'01 Energy'!J21*'04 Emissions Factors'!$I$13/1000000</f>
        <v>59.80892845940476</v>
      </c>
      <c r="K21" s="508">
        <f>'01 Energy'!K21*'04 Emissions Factors'!$I$14/1000000</f>
        <v>1.4401259400810595</v>
      </c>
      <c r="L21" s="426">
        <f>'01 Energy'!L21*'04 Emissions Factors'!$I$15/1000000</f>
        <v>6.6197146944500105</v>
      </c>
      <c r="M21" s="426">
        <f>'01 Energy'!M21*'04 Emissions Factors'!$I$16/1000000</f>
        <v>4.317910858317111</v>
      </c>
      <c r="N21" s="96">
        <f t="shared" si="1"/>
        <v>224.18490894866505</v>
      </c>
      <c r="O21" s="426">
        <f>'03c Data_Transport'!H20/1000</f>
        <v>0</v>
      </c>
      <c r="P21" s="426">
        <f>'03c Data_Transport'!I20/1000</f>
        <v>0</v>
      </c>
      <c r="Q21" s="426">
        <f>'03c Data_Transport'!F20/1000</f>
        <v>2.4745900002099885</v>
      </c>
      <c r="R21" s="426">
        <f>'03c Data_Transport'!G20/1000</f>
        <v>27.32840248878632</v>
      </c>
      <c r="S21" s="426">
        <f>'03c Data_Transport'!E20/1000</f>
        <v>136.99339016531744</v>
      </c>
      <c r="T21" s="168">
        <f t="shared" si="2"/>
        <v>166.79638265431373</v>
      </c>
      <c r="U21" s="214">
        <f t="shared" si="3"/>
        <v>801.8512817368455</v>
      </c>
    </row>
    <row r="22" spans="2:21" ht="12.75">
      <c r="B22" s="174" t="s">
        <v>60</v>
      </c>
      <c r="C22" s="509">
        <f>'01 Energy'!C22*('04 Emissions Factors'!$I$6+'04 Emissions Factors'!$I$7)/1000000</f>
        <v>162.43854827706798</v>
      </c>
      <c r="D22" s="508">
        <f>'01 Energy'!D22*'04 Emissions Factors'!$I$8/1000000</f>
        <v>271.3485341597881</v>
      </c>
      <c r="E22" s="508">
        <f>'01 Energy'!E22*'04 Emissions Factors'!$I$9/1000000</f>
        <v>1.2239069802454843</v>
      </c>
      <c r="F22" s="508">
        <f>'01 Energy'!F22*'04 Emissions Factors'!$I$10/1000000</f>
        <v>1.4486308659514247</v>
      </c>
      <c r="G22" s="96">
        <f t="shared" si="0"/>
        <v>436.45962028305297</v>
      </c>
      <c r="H22" s="507">
        <f>'01 Energy'!H22*('04 Emissions Factors'!$I$11+'04 Emissions Factors'!$I$12)/1000000</f>
        <v>146.78264738804899</v>
      </c>
      <c r="I22" s="508">
        <f t="shared" si="4"/>
        <v>126.40100996223083</v>
      </c>
      <c r="J22" s="508">
        <f>'01 Energy'!J22*'04 Emissions Factors'!$I$13/1000000</f>
        <v>70.06765881159376</v>
      </c>
      <c r="K22" s="508">
        <f>'01 Energy'!K22*'04 Emissions Factors'!$I$14/1000000</f>
        <v>0.1651582624130237</v>
      </c>
      <c r="L22" s="426">
        <f>'01 Energy'!L22*'04 Emissions Factors'!$I$15/1000000</f>
        <v>5.588966974666712</v>
      </c>
      <c r="M22" s="426">
        <f>'01 Energy'!M22*'04 Emissions Factors'!$I$16/1000000</f>
        <v>4.193868397816514</v>
      </c>
      <c r="N22" s="96">
        <f t="shared" si="1"/>
        <v>206.41666240872084</v>
      </c>
      <c r="O22" s="426">
        <f>'03c Data_Transport'!H21/1000</f>
        <v>0.23930013649122436</v>
      </c>
      <c r="P22" s="426">
        <f>'03c Data_Transport'!I21/1000</f>
        <v>0</v>
      </c>
      <c r="Q22" s="426">
        <f>'03c Data_Transport'!F21/1000</f>
        <v>3.7267869092023096</v>
      </c>
      <c r="R22" s="426">
        <f>'03c Data_Transport'!G21/1000</f>
        <v>20.38163742581816</v>
      </c>
      <c r="S22" s="426">
        <f>'03c Data_Transport'!E21/1000</f>
        <v>142.08074025364692</v>
      </c>
      <c r="T22" s="168">
        <f t="shared" si="2"/>
        <v>166.42846472515862</v>
      </c>
      <c r="U22" s="214">
        <f t="shared" si="3"/>
        <v>809.3047474169324</v>
      </c>
    </row>
    <row r="23" spans="2:21" ht="12.75">
      <c r="B23" s="174" t="s">
        <v>61</v>
      </c>
      <c r="C23" s="509">
        <f>'01 Energy'!C23*('04 Emissions Factors'!$I$6+'04 Emissions Factors'!$I$7)/1000000</f>
        <v>188.22055342143602</v>
      </c>
      <c r="D23" s="508">
        <f>'01 Energy'!D23*'04 Emissions Factors'!$I$8/1000000</f>
        <v>255.7393863786683</v>
      </c>
      <c r="E23" s="508">
        <f>'01 Energy'!E23*'04 Emissions Factors'!$I$9/1000000</f>
        <v>2.0743894185955924</v>
      </c>
      <c r="F23" s="508">
        <f>'01 Energy'!F23*'04 Emissions Factors'!$I$10/1000000</f>
        <v>2.046821607647079</v>
      </c>
      <c r="G23" s="96">
        <f t="shared" si="0"/>
        <v>448.081150826347</v>
      </c>
      <c r="H23" s="507">
        <f>'01 Energy'!H23*('04 Emissions Factors'!$I$11+'04 Emissions Factors'!$I$12)/1000000</f>
        <v>182.55252707445095</v>
      </c>
      <c r="I23" s="508">
        <f t="shared" si="4"/>
        <v>162.11223452046153</v>
      </c>
      <c r="J23" s="508">
        <f>'01 Energy'!J23*'04 Emissions Factors'!$I$13/1000000</f>
        <v>41.797335949775004</v>
      </c>
      <c r="K23" s="508">
        <f>'01 Energy'!K23*'04 Emissions Factors'!$I$14/1000000</f>
        <v>0.2095024384800621</v>
      </c>
      <c r="L23" s="426">
        <f>'01 Energy'!L23*'04 Emissions Factors'!$I$15/1000000</f>
        <v>12.785598202282998</v>
      </c>
      <c r="M23" s="426">
        <f>'01 Energy'!M23*'04 Emissions Factors'!$I$16/1000000</f>
        <v>6.309539496785341</v>
      </c>
      <c r="N23" s="96">
        <f t="shared" si="1"/>
        <v>223.2142106077849</v>
      </c>
      <c r="O23" s="426">
        <f>'03c Data_Transport'!H22/1000</f>
        <v>2.9294376968717653</v>
      </c>
      <c r="P23" s="426">
        <f>'03c Data_Transport'!I22/1000</f>
        <v>0.43816638348248654</v>
      </c>
      <c r="Q23" s="426">
        <f>'03c Data_Transport'!F22/1000</f>
        <v>2.0764920643560427</v>
      </c>
      <c r="R23" s="426">
        <f>'03c Data_Transport'!G22/1000</f>
        <v>20.440292553989426</v>
      </c>
      <c r="S23" s="426">
        <f>'03c Data_Transport'!E22/1000</f>
        <v>354.14993573937915</v>
      </c>
      <c r="T23" s="168">
        <f t="shared" si="2"/>
        <v>380.03432443807884</v>
      </c>
      <c r="U23" s="214">
        <f t="shared" si="3"/>
        <v>1051.3296858722108</v>
      </c>
    </row>
    <row r="24" spans="2:21" ht="12.75">
      <c r="B24" s="174" t="s">
        <v>62</v>
      </c>
      <c r="C24" s="509">
        <f>'01 Energy'!C24*('04 Emissions Factors'!$I$6+'04 Emissions Factors'!$I$7)/1000000</f>
        <v>196.89597720722398</v>
      </c>
      <c r="D24" s="508">
        <f>'01 Energy'!D24*'04 Emissions Factors'!$I$8/1000000</f>
        <v>274.6344867186723</v>
      </c>
      <c r="E24" s="508">
        <f>'01 Energy'!E24*'04 Emissions Factors'!$I$9/1000000</f>
        <v>1.714450523005103</v>
      </c>
      <c r="F24" s="508">
        <f>'01 Energy'!F24*'04 Emissions Factors'!$I$10/1000000</f>
        <v>2.462502640021931</v>
      </c>
      <c r="G24" s="96">
        <f t="shared" si="0"/>
        <v>475.70741708892325</v>
      </c>
      <c r="H24" s="507">
        <f>'01 Energy'!H24*('04 Emissions Factors'!$I$11+'04 Emissions Factors'!$I$12)/1000000</f>
        <v>530.5959397643823</v>
      </c>
      <c r="I24" s="508">
        <f t="shared" si="4"/>
        <v>507.16260141043983</v>
      </c>
      <c r="J24" s="508">
        <f>'01 Energy'!J24*'04 Emissions Factors'!$I$13/1000000</f>
        <v>156.8647156201853</v>
      </c>
      <c r="K24" s="508">
        <f>'01 Energy'!K24*'04 Emissions Factors'!$I$14/1000000</f>
        <v>0.513303196652883</v>
      </c>
      <c r="L24" s="426">
        <f>'01 Energy'!L24*'04 Emissions Factors'!$I$15/1000000</f>
        <v>117.37324853054936</v>
      </c>
      <c r="M24" s="426">
        <f>'01 Energy'!M24*'04 Emissions Factors'!$I$16/1000000</f>
        <v>47.87905940501532</v>
      </c>
      <c r="N24" s="96">
        <f t="shared" si="1"/>
        <v>829.7929281628427</v>
      </c>
      <c r="O24" s="426">
        <f>'03c Data_Transport'!H23/1000</f>
        <v>674.7452069495783</v>
      </c>
      <c r="P24" s="426">
        <f>'03c Data_Transport'!I23/1000</f>
        <v>0</v>
      </c>
      <c r="Q24" s="426">
        <f>'03c Data_Transport'!F23/1000</f>
        <v>11.484646119881472</v>
      </c>
      <c r="R24" s="426">
        <f>'03c Data_Transport'!G23/1000</f>
        <v>23.433338353942403</v>
      </c>
      <c r="S24" s="426">
        <f>'03c Data_Transport'!E23/1000</f>
        <v>422.9905298206945</v>
      </c>
      <c r="T24" s="168">
        <f t="shared" si="2"/>
        <v>1132.6537212440967</v>
      </c>
      <c r="U24" s="214">
        <f t="shared" si="3"/>
        <v>2438.154066495863</v>
      </c>
    </row>
    <row r="25" spans="2:21" ht="12.75">
      <c r="B25" s="174" t="s">
        <v>63</v>
      </c>
      <c r="C25" s="509">
        <f>'01 Energy'!C25*('04 Emissions Factors'!$I$6+'04 Emissions Factors'!$I$7)/1000000</f>
        <v>175.05445733024</v>
      </c>
      <c r="D25" s="508">
        <f>'01 Energy'!D25*'04 Emissions Factors'!$I$8/1000000</f>
        <v>200.23470044618074</v>
      </c>
      <c r="E25" s="508">
        <f>'01 Energy'!E25*'04 Emissions Factors'!$I$9/1000000</f>
        <v>1.4386044197960581</v>
      </c>
      <c r="F25" s="508">
        <f>'01 Energy'!F25*'04 Emissions Factors'!$I$10/1000000</f>
        <v>1.913964392792496</v>
      </c>
      <c r="G25" s="96">
        <f t="shared" si="0"/>
        <v>378.6417265890093</v>
      </c>
      <c r="H25" s="507">
        <f>'01 Energy'!H25*('04 Emissions Factors'!$I$11+'04 Emissions Factors'!$I$12)/1000000</f>
        <v>457.8430587261459</v>
      </c>
      <c r="I25" s="508">
        <f t="shared" si="4"/>
        <v>438.7658431501608</v>
      </c>
      <c r="J25" s="508">
        <f>'01 Energy'!J25*'04 Emissions Factors'!$I$13/1000000</f>
        <v>106.68414986171561</v>
      </c>
      <c r="K25" s="508">
        <f>'01 Energy'!K25*'04 Emissions Factors'!$I$14/1000000</f>
        <v>0.05154269559728127</v>
      </c>
      <c r="L25" s="426">
        <f>'01 Energy'!L25*'04 Emissions Factors'!$I$15/1000000</f>
        <v>18.959843346144783</v>
      </c>
      <c r="M25" s="426">
        <f>'01 Energy'!M25*'04 Emissions Factors'!$I$16/1000000</f>
        <v>8.7550375241434</v>
      </c>
      <c r="N25" s="96">
        <f t="shared" si="1"/>
        <v>573.2164165777618</v>
      </c>
      <c r="O25" s="426">
        <f>'03c Data_Transport'!H24/1000</f>
        <v>105.48944574399415</v>
      </c>
      <c r="P25" s="426">
        <f>'03c Data_Transport'!I24/1000</f>
        <v>0.09825246436120093</v>
      </c>
      <c r="Q25" s="426">
        <f>'03c Data_Transport'!F24/1000</f>
        <v>0.3924462608093811</v>
      </c>
      <c r="R25" s="426">
        <f>'03c Data_Transport'!G24/1000</f>
        <v>19.077215575985147</v>
      </c>
      <c r="S25" s="426">
        <f>'03c Data_Transport'!E24/1000</f>
        <v>297.46864997429435</v>
      </c>
      <c r="T25" s="168">
        <f t="shared" si="2"/>
        <v>422.52601001944424</v>
      </c>
      <c r="U25" s="214">
        <f t="shared" si="3"/>
        <v>1374.3841531862154</v>
      </c>
    </row>
    <row r="26" spans="2:21" ht="12.75">
      <c r="B26" s="174" t="s">
        <v>64</v>
      </c>
      <c r="C26" s="509">
        <f>'01 Energy'!C26*('04 Emissions Factors'!$I$6+'04 Emissions Factors'!$I$7)/1000000</f>
        <v>146.289088028292</v>
      </c>
      <c r="D26" s="508">
        <f>'01 Energy'!D26*'04 Emissions Factors'!$I$8/1000000</f>
        <v>173.19965559477762</v>
      </c>
      <c r="E26" s="508">
        <f>'01 Energy'!E26*'04 Emissions Factors'!$I$9/1000000</f>
        <v>0.465570165742557</v>
      </c>
      <c r="F26" s="508">
        <f>'01 Energy'!F26*'04 Emissions Factors'!$I$10/1000000</f>
        <v>0.8821656334645936</v>
      </c>
      <c r="G26" s="96">
        <f t="shared" si="0"/>
        <v>320.8364794222768</v>
      </c>
      <c r="H26" s="507">
        <f>'01 Energy'!H26*('04 Emissions Factors'!$I$11+'04 Emissions Factors'!$I$12)/1000000</f>
        <v>376.117519421829</v>
      </c>
      <c r="I26" s="508">
        <f t="shared" si="4"/>
        <v>351.5565593968166</v>
      </c>
      <c r="J26" s="508">
        <f>'01 Energy'!J26*'04 Emissions Factors'!$I$13/1000000</f>
        <v>118.73475345930488</v>
      </c>
      <c r="K26" s="508">
        <f>'01 Energy'!K26*'04 Emissions Factors'!$I$14/1000000</f>
        <v>0.015159616352141551</v>
      </c>
      <c r="L26" s="426">
        <f>'01 Energy'!L26*'04 Emissions Factors'!$I$15/1000000</f>
        <v>8.764736770552561</v>
      </c>
      <c r="M26" s="426">
        <f>'01 Energy'!M26*'04 Emissions Factors'!$I$16/1000000</f>
        <v>1.5404162777620414</v>
      </c>
      <c r="N26" s="96">
        <f t="shared" si="1"/>
        <v>480.6116255207883</v>
      </c>
      <c r="O26" s="426">
        <f>'03c Data_Transport'!H25/1000</f>
        <v>0</v>
      </c>
      <c r="P26" s="426">
        <f>'03c Data_Transport'!I25/1000</f>
        <v>0</v>
      </c>
      <c r="Q26" s="426">
        <f>'03c Data_Transport'!F25/1000</f>
        <v>1.820358665113667</v>
      </c>
      <c r="R26" s="426">
        <f>'03c Data_Transport'!G25/1000</f>
        <v>24.56096002501238</v>
      </c>
      <c r="S26" s="426">
        <f>'03c Data_Transport'!E25/1000</f>
        <v>102.28281516447424</v>
      </c>
      <c r="T26" s="168">
        <f t="shared" si="2"/>
        <v>128.6641338546003</v>
      </c>
      <c r="U26" s="214">
        <f t="shared" si="3"/>
        <v>930.1122387976654</v>
      </c>
    </row>
    <row r="27" spans="2:21" ht="12.75">
      <c r="B27" s="174" t="s">
        <v>65</v>
      </c>
      <c r="C27" s="509">
        <f>'01 Energy'!C27*('04 Emissions Factors'!$I$6+'04 Emissions Factors'!$I$7)/1000000</f>
        <v>171.879479175904</v>
      </c>
      <c r="D27" s="508">
        <f>'01 Energy'!D27*'04 Emissions Factors'!$I$8/1000000</f>
        <v>169.40404866445232</v>
      </c>
      <c r="E27" s="508">
        <f>'01 Energy'!E27*'04 Emissions Factors'!$I$9/1000000</f>
        <v>0.379926874997082</v>
      </c>
      <c r="F27" s="508">
        <f>'01 Energy'!F27*'04 Emissions Factors'!$I$10/1000000</f>
        <v>2.250966753144095</v>
      </c>
      <c r="G27" s="96">
        <f t="shared" si="0"/>
        <v>343.9144214684975</v>
      </c>
      <c r="H27" s="507">
        <f>'01 Energy'!H27*('04 Emissions Factors'!$I$11+'04 Emissions Factors'!$I$12)/1000000</f>
        <v>575.9302433016321</v>
      </c>
      <c r="I27" s="508">
        <f t="shared" si="4"/>
        <v>550.3165028125293</v>
      </c>
      <c r="J27" s="508">
        <f>'01 Energy'!J27*'04 Emissions Factors'!$I$13/1000000</f>
        <v>176.8213964174883</v>
      </c>
      <c r="K27" s="508">
        <f>'01 Energy'!K27*'04 Emissions Factors'!$I$14/1000000</f>
        <v>0.00909576981128493</v>
      </c>
      <c r="L27" s="426">
        <f>'01 Energy'!L27*'04 Emissions Factors'!$I$15/1000000</f>
        <v>1.916901201971264</v>
      </c>
      <c r="M27" s="426">
        <f>'01 Energy'!M27*'04 Emissions Factors'!$I$16/1000000</f>
        <v>1.228132273157704</v>
      </c>
      <c r="N27" s="96">
        <f t="shared" si="1"/>
        <v>730.292028474958</v>
      </c>
      <c r="O27" s="426">
        <f>'03c Data_Transport'!H26/1000</f>
        <v>1.909301506780963</v>
      </c>
      <c r="P27" s="426">
        <f>'03c Data_Transport'!I26/1000</f>
        <v>0.015149973977348866</v>
      </c>
      <c r="Q27" s="426">
        <f>'03c Data_Transport'!F26/1000</f>
        <v>2.16433385353989</v>
      </c>
      <c r="R27" s="426">
        <f>'03c Data_Transport'!G26/1000</f>
        <v>25.61374048910288</v>
      </c>
      <c r="S27" s="426">
        <f>'03c Data_Transport'!E26/1000</f>
        <v>121.17593675992848</v>
      </c>
      <c r="T27" s="168">
        <f t="shared" si="2"/>
        <v>150.87846258332956</v>
      </c>
      <c r="U27" s="214">
        <f t="shared" si="3"/>
        <v>1225.084912526785</v>
      </c>
    </row>
    <row r="28" spans="2:21" ht="12.75">
      <c r="B28" s="174" t="s">
        <v>99</v>
      </c>
      <c r="C28" s="509">
        <f>'01 Energy'!C28*('04 Emissions Factors'!$I$6+'04 Emissions Factors'!$I$7)/1000000</f>
        <v>123.037671995364</v>
      </c>
      <c r="D28" s="508">
        <f>'01 Energy'!D28*'04 Emissions Factors'!$I$8/1000000</f>
        <v>153.92890811960035</v>
      </c>
      <c r="E28" s="508">
        <f>'01 Energy'!E28*'04 Emissions Factors'!$I$9/1000000</f>
        <v>0.9945743440844315</v>
      </c>
      <c r="F28" s="508">
        <f>'01 Energy'!F28*'04 Emissions Factors'!$I$10/1000000</f>
        <v>0.905706137097389</v>
      </c>
      <c r="G28" s="96">
        <f t="shared" si="0"/>
        <v>278.8668605961462</v>
      </c>
      <c r="H28" s="507">
        <f>'01 Energy'!H28*('04 Emissions Factors'!$I$11+'04 Emissions Factors'!$I$12)/1000000</f>
        <v>161.6642813182161</v>
      </c>
      <c r="I28" s="508">
        <f t="shared" si="4"/>
        <v>153.90423304071575</v>
      </c>
      <c r="J28" s="508">
        <f>'01 Energy'!J28*'04 Emissions Factors'!$I$13/1000000</f>
        <v>40.91630754870736</v>
      </c>
      <c r="K28" s="508">
        <f>'01 Energy'!K28*'04 Emissions Factors'!$I$14/1000000</f>
        <v>0.006063846540856621</v>
      </c>
      <c r="L28" s="426">
        <f>'01 Energy'!L28*'04 Emissions Factors'!$I$15/1000000</f>
        <v>9.831926446504832</v>
      </c>
      <c r="M28" s="426">
        <f>'01 Energy'!M28*'04 Emissions Factors'!$I$16/1000000</f>
        <v>3.2497135169855844</v>
      </c>
      <c r="N28" s="96">
        <f t="shared" si="1"/>
        <v>207.9082443994544</v>
      </c>
      <c r="O28" s="426">
        <f>'03c Data_Transport'!H27/1000</f>
        <v>0</v>
      </c>
      <c r="P28" s="426">
        <f>'03c Data_Transport'!I27/1000</f>
        <v>0.03629690413702491</v>
      </c>
      <c r="Q28" s="426">
        <f>'03c Data_Transport'!F27/1000</f>
        <v>0.575971582112088</v>
      </c>
      <c r="R28" s="426">
        <f>'03c Data_Transport'!G27/1000</f>
        <v>7.760048277500356</v>
      </c>
      <c r="S28" s="426">
        <f>'03c Data_Transport'!E27/1000</f>
        <v>162.87531204028664</v>
      </c>
      <c r="T28" s="168">
        <f t="shared" si="2"/>
        <v>171.2476288040361</v>
      </c>
      <c r="U28" s="214">
        <f t="shared" si="3"/>
        <v>658.0227337996367</v>
      </c>
    </row>
    <row r="29" spans="2:21" ht="12.75">
      <c r="B29" s="174" t="s">
        <v>67</v>
      </c>
      <c r="C29" s="509">
        <f>'01 Energy'!C29*('04 Emissions Factors'!$I$6+'04 Emissions Factors'!$I$7)/1000000</f>
        <v>202.03214464657202</v>
      </c>
      <c r="D29" s="508">
        <f>'01 Energy'!D29*'04 Emissions Factors'!$I$8/1000000</f>
        <v>238.33930585418992</v>
      </c>
      <c r="E29" s="508">
        <f>'01 Energy'!E29*'04 Emissions Factors'!$I$9/1000000</f>
        <v>1.1343266180357283</v>
      </c>
      <c r="F29" s="508">
        <f>'01 Energy'!F29*'04 Emissions Factors'!$I$10/1000000</f>
        <v>1.6706820697301448</v>
      </c>
      <c r="G29" s="96">
        <f t="shared" si="0"/>
        <v>443.1764591885279</v>
      </c>
      <c r="H29" s="507">
        <f>'01 Energy'!H29*('04 Emissions Factors'!$I$11+'04 Emissions Factors'!$I$12)/1000000</f>
        <v>327.7713764395931</v>
      </c>
      <c r="I29" s="508">
        <f t="shared" si="4"/>
        <v>278.3563635850375</v>
      </c>
      <c r="J29" s="508">
        <f>'01 Energy'!J29*'04 Emissions Factors'!$I$13/1000000</f>
        <v>133.25424016732094</v>
      </c>
      <c r="K29" s="508">
        <f>'01 Energy'!K29*'04 Emissions Factors'!$I$14/1000000</f>
        <v>0</v>
      </c>
      <c r="L29" s="426">
        <f>'01 Energy'!L29*'04 Emissions Factors'!$I$15/1000000</f>
        <v>2.697799806516283</v>
      </c>
      <c r="M29" s="426">
        <f>'01 Energy'!M29*'04 Emissions Factors'!$I$16/1000000</f>
        <v>3.855087157242851</v>
      </c>
      <c r="N29" s="96">
        <f t="shared" si="1"/>
        <v>418.16349071611756</v>
      </c>
      <c r="O29" s="426">
        <f>'03c Data_Transport'!H28/1000</f>
        <v>0</v>
      </c>
      <c r="P29" s="426">
        <f>'03c Data_Transport'!I28/1000</f>
        <v>1.181241393519847</v>
      </c>
      <c r="Q29" s="426">
        <f>'03c Data_Transport'!F28/1000</f>
        <v>0.9589840262259857</v>
      </c>
      <c r="R29" s="426">
        <f>'03c Data_Transport'!G28/1000</f>
        <v>49.41501285455559</v>
      </c>
      <c r="S29" s="426">
        <f>'03c Data_Transport'!E28/1000</f>
        <v>168.44430190400504</v>
      </c>
      <c r="T29" s="168">
        <f t="shared" si="2"/>
        <v>219.99954017830646</v>
      </c>
      <c r="U29" s="214">
        <f t="shared" si="3"/>
        <v>1081.339490082952</v>
      </c>
    </row>
    <row r="30" spans="2:21" ht="12.75">
      <c r="B30" s="174" t="s">
        <v>68</v>
      </c>
      <c r="C30" s="509">
        <f>'01 Energy'!C30*('04 Emissions Factors'!$I$6+'04 Emissions Factors'!$I$7)/1000000</f>
        <v>189.96749655115602</v>
      </c>
      <c r="D30" s="508">
        <f>'01 Energy'!D30*'04 Emissions Factors'!$I$8/1000000</f>
        <v>226.95285086612532</v>
      </c>
      <c r="E30" s="508">
        <f>'01 Energy'!E30*'04 Emissions Factors'!$I$9/1000000</f>
        <v>1.7723524871843164</v>
      </c>
      <c r="F30" s="508">
        <f>'01 Energy'!F30*'04 Emissions Factors'!$I$10/1000000</f>
        <v>1.1027265676805205</v>
      </c>
      <c r="G30" s="96">
        <f t="shared" si="0"/>
        <v>419.7954264721462</v>
      </c>
      <c r="H30" s="507">
        <f>'01 Energy'!H30*('04 Emissions Factors'!$I$11+'04 Emissions Factors'!$I$12)/1000000</f>
        <v>154.9778997070476</v>
      </c>
      <c r="I30" s="508">
        <f t="shared" si="4"/>
        <v>132.61735475195263</v>
      </c>
      <c r="J30" s="508">
        <f>'01 Energy'!J30*'04 Emissions Factors'!$I$13/1000000</f>
        <v>45.69828980181931</v>
      </c>
      <c r="K30" s="508">
        <f>'01 Energy'!K30*'04 Emissions Factors'!$I$14/1000000</f>
        <v>0</v>
      </c>
      <c r="L30" s="426">
        <f>'01 Energy'!L30*'04 Emissions Factors'!$I$15/1000000</f>
        <v>2.432858532743487</v>
      </c>
      <c r="M30" s="426">
        <f>'01 Energy'!M30*'04 Emissions Factors'!$I$16/1000000</f>
        <v>6.04473240715227</v>
      </c>
      <c r="N30" s="96">
        <f t="shared" si="1"/>
        <v>186.7932354936677</v>
      </c>
      <c r="O30" s="426">
        <f>'03c Data_Transport'!H29/1000</f>
        <v>0.00939393614035185</v>
      </c>
      <c r="P30" s="426">
        <f>'03c Data_Transport'!I29/1000</f>
        <v>0.0015888499151990485</v>
      </c>
      <c r="Q30" s="426">
        <f>'03c Data_Transport'!F29/1000</f>
        <v>1.4080461977603316</v>
      </c>
      <c r="R30" s="426">
        <f>'03c Data_Transport'!G29/1000</f>
        <v>22.360544955094973</v>
      </c>
      <c r="S30" s="426">
        <f>'03c Data_Transport'!E29/1000</f>
        <v>156.61578967011644</v>
      </c>
      <c r="T30" s="168">
        <f t="shared" si="2"/>
        <v>180.3953636090273</v>
      </c>
      <c r="U30" s="214">
        <f t="shared" si="3"/>
        <v>786.9840255748412</v>
      </c>
    </row>
    <row r="31" spans="2:21" ht="12.75">
      <c r="B31" s="174" t="s">
        <v>69</v>
      </c>
      <c r="C31" s="509">
        <f>'01 Energy'!C31*('04 Emissions Factors'!$I$6+'04 Emissions Factors'!$I$7)/1000000</f>
        <v>145.970155525112</v>
      </c>
      <c r="D31" s="508">
        <f>'01 Energy'!D31*'04 Emissions Factors'!$I$8/1000000</f>
        <v>183.11880533032817</v>
      </c>
      <c r="E31" s="508">
        <f>'01 Energy'!E31*'04 Emissions Factors'!$I$9/1000000</f>
        <v>1.628820082327063</v>
      </c>
      <c r="F31" s="508">
        <f>'01 Energy'!F31*'04 Emissions Factors'!$I$10/1000000</f>
        <v>1.1879287610974547</v>
      </c>
      <c r="G31" s="96">
        <f t="shared" si="0"/>
        <v>331.9057096988647</v>
      </c>
      <c r="H31" s="507">
        <f>'01 Energy'!H31*('04 Emissions Factors'!$I$11+'04 Emissions Factors'!$I$12)/1000000</f>
        <v>174.47821602987898</v>
      </c>
      <c r="I31" s="508">
        <f t="shared" si="4"/>
        <v>150.85506823976806</v>
      </c>
      <c r="J31" s="508">
        <f>'01 Energy'!J31*'04 Emissions Factors'!$I$13/1000000</f>
        <v>54.6046501041818</v>
      </c>
      <c r="K31" s="508">
        <f>'01 Energy'!K31*'04 Emissions Factors'!$I$14/1000000</f>
        <v>0.008027536329855901</v>
      </c>
      <c r="L31" s="426">
        <f>'01 Energy'!L31*'04 Emissions Factors'!$I$15/1000000</f>
        <v>7.251655826916122</v>
      </c>
      <c r="M31" s="426">
        <f>'01 Energy'!M31*'04 Emissions Factors'!$I$16/1000000</f>
        <v>5.692511087083886</v>
      </c>
      <c r="N31" s="96">
        <f t="shared" si="1"/>
        <v>218.41191279427974</v>
      </c>
      <c r="O31" s="426">
        <f>'03c Data_Transport'!H30/1000</f>
        <v>0</v>
      </c>
      <c r="P31" s="426">
        <f>'03c Data_Transport'!I30/1000</f>
        <v>0</v>
      </c>
      <c r="Q31" s="426">
        <f>'03c Data_Transport'!F30/1000</f>
        <v>0.7438109756223127</v>
      </c>
      <c r="R31" s="426">
        <f>'03c Data_Transport'!G30/1000</f>
        <v>23.62314779011091</v>
      </c>
      <c r="S31" s="426">
        <f>'03c Data_Transport'!E30/1000</f>
        <v>133.91059679840512</v>
      </c>
      <c r="T31" s="168">
        <f t="shared" si="2"/>
        <v>158.27755556413834</v>
      </c>
      <c r="U31" s="214">
        <f t="shared" si="3"/>
        <v>708.5951780572827</v>
      </c>
    </row>
    <row r="32" spans="2:21" ht="12.75">
      <c r="B32" s="174" t="s">
        <v>70</v>
      </c>
      <c r="C32" s="509">
        <f>'01 Energy'!C32*('04 Emissions Factors'!$I$6+'04 Emissions Factors'!$I$7)/1000000</f>
        <v>173.33873088724798</v>
      </c>
      <c r="D32" s="508">
        <f>'01 Energy'!D32*'04 Emissions Factors'!$I$8/1000000</f>
        <v>207.1833925166818</v>
      </c>
      <c r="E32" s="508">
        <f>'01 Energy'!E32*'04 Emissions Factors'!$I$9/1000000</f>
        <v>1.8278784873582146</v>
      </c>
      <c r="F32" s="508">
        <f>'01 Energy'!F32*'04 Emissions Factors'!$I$10/1000000</f>
        <v>0.5109981508872704</v>
      </c>
      <c r="G32" s="96">
        <f t="shared" si="0"/>
        <v>382.8610000421752</v>
      </c>
      <c r="H32" s="507">
        <f>'01 Energy'!H32*('04 Emissions Factors'!$I$11+'04 Emissions Factors'!$I$12)/1000000</f>
        <v>486.3991490313381</v>
      </c>
      <c r="I32" s="508">
        <f t="shared" si="4"/>
        <v>440.8237341738751</v>
      </c>
      <c r="J32" s="508">
        <f>'01 Energy'!J32*'04 Emissions Factors'!$I$13/1000000</f>
        <v>177.29708534896812</v>
      </c>
      <c r="K32" s="508">
        <f>'01 Energy'!K32*'04 Emissions Factors'!$I$14/1000000</f>
        <v>0.7224782696870312</v>
      </c>
      <c r="L32" s="426">
        <f>'01 Energy'!L32*'04 Emissions Factors'!$I$15/1000000</f>
        <v>31.61461249313894</v>
      </c>
      <c r="M32" s="426">
        <f>'01 Energy'!M32*'04 Emissions Factors'!$I$16/1000000</f>
        <v>6.269238169153333</v>
      </c>
      <c r="N32" s="96">
        <f t="shared" si="1"/>
        <v>656.7271484548226</v>
      </c>
      <c r="O32" s="426">
        <f>'03c Data_Transport'!H31/1000</f>
        <v>37.94085385762103</v>
      </c>
      <c r="P32" s="426">
        <f>'03c Data_Transport'!I31/1000</f>
        <v>1.4633248835998274</v>
      </c>
      <c r="Q32" s="426">
        <f>'03c Data_Transport'!F31/1000</f>
        <v>2.4764570453984005</v>
      </c>
      <c r="R32" s="426">
        <f>'03c Data_Transport'!G31/1000</f>
        <v>45.57541485746296</v>
      </c>
      <c r="S32" s="426">
        <f>'03c Data_Transport'!E31/1000</f>
        <v>182.08206010294217</v>
      </c>
      <c r="T32" s="168">
        <f t="shared" si="2"/>
        <v>269.53811074702435</v>
      </c>
      <c r="U32" s="214">
        <f t="shared" si="3"/>
        <v>1309.126259244022</v>
      </c>
    </row>
    <row r="33" spans="2:21" ht="12.75">
      <c r="B33" s="174" t="s">
        <v>71</v>
      </c>
      <c r="C33" s="509">
        <f>'01 Energy'!C33*('04 Emissions Factors'!$I$6+'04 Emissions Factors'!$I$7)/1000000</f>
        <v>186.79729107385998</v>
      </c>
      <c r="D33" s="508">
        <f>'01 Energy'!D33*'04 Emissions Factors'!$I$8/1000000</f>
        <v>274.2634456112925</v>
      </c>
      <c r="E33" s="508">
        <f>'01 Energy'!E33*'04 Emissions Factors'!$I$9/1000000</f>
        <v>1.770657375331411</v>
      </c>
      <c r="F33" s="508">
        <f>'01 Energy'!F33*'04 Emissions Factors'!$I$10/1000000</f>
        <v>1.28525105868887</v>
      </c>
      <c r="G33" s="96">
        <f t="shared" si="0"/>
        <v>464.1166451191728</v>
      </c>
      <c r="H33" s="507">
        <f>'01 Energy'!H33*('04 Emissions Factors'!$I$11+'04 Emissions Factors'!$I$12)/1000000</f>
        <v>147.5669932103138</v>
      </c>
      <c r="I33" s="508">
        <f t="shared" si="4"/>
        <v>127.64828906525595</v>
      </c>
      <c r="J33" s="508">
        <f>'01 Energy'!J33*'04 Emissions Factors'!$I$13/1000000</f>
        <v>44.485733344891784</v>
      </c>
      <c r="K33" s="508">
        <f>'01 Energy'!K33*'04 Emissions Factors'!$I$14/1000000</f>
        <v>0.0030319232704283106</v>
      </c>
      <c r="L33" s="426">
        <f>'01 Energy'!L33*'04 Emissions Factors'!$I$15/1000000</f>
        <v>6.168408975891079</v>
      </c>
      <c r="M33" s="426">
        <f>'01 Energy'!M33*'04 Emissions Factors'!$I$16/1000000</f>
        <v>6.041021741130823</v>
      </c>
      <c r="N33" s="96">
        <f t="shared" si="1"/>
        <v>184.3464850504401</v>
      </c>
      <c r="O33" s="426">
        <f>'03c Data_Transport'!H32/1000</f>
        <v>0.8452853805089114</v>
      </c>
      <c r="P33" s="426">
        <f>'03c Data_Transport'!I32/1000</f>
        <v>0</v>
      </c>
      <c r="Q33" s="426">
        <f>'03c Data_Transport'!F32/1000</f>
        <v>0.7354883484533605</v>
      </c>
      <c r="R33" s="426">
        <f>'03c Data_Transport'!G32/1000</f>
        <v>19.91870414505784</v>
      </c>
      <c r="S33" s="426">
        <f>'03c Data_Transport'!E32/1000</f>
        <v>259.5350872621517</v>
      </c>
      <c r="T33" s="168">
        <f t="shared" si="2"/>
        <v>281.0345651361718</v>
      </c>
      <c r="U33" s="214">
        <f t="shared" si="3"/>
        <v>929.4976953057846</v>
      </c>
    </row>
    <row r="34" spans="2:21" ht="12.75">
      <c r="B34" s="174" t="s">
        <v>72</v>
      </c>
      <c r="C34" s="509">
        <f>'01 Energy'!C34*('04 Emissions Factors'!$I$6+'04 Emissions Factors'!$I$7)/1000000</f>
        <v>156.834339560464</v>
      </c>
      <c r="D34" s="508">
        <f>'01 Energy'!D34*'04 Emissions Factors'!$I$8/1000000</f>
        <v>207.19226859653497</v>
      </c>
      <c r="E34" s="508">
        <f>'01 Energy'!E34*'04 Emissions Factors'!$I$9/1000000</f>
        <v>1.2464440465819329</v>
      </c>
      <c r="F34" s="508">
        <f>'01 Energy'!F34*'04 Emissions Factors'!$I$10/1000000</f>
        <v>1.7427570158767005</v>
      </c>
      <c r="G34" s="96">
        <f t="shared" si="0"/>
        <v>367.0158092194576</v>
      </c>
      <c r="H34" s="507">
        <f>'01 Energy'!H34*('04 Emissions Factors'!$I$11+'04 Emissions Factors'!$I$12)/1000000</f>
        <v>185.2611267851255</v>
      </c>
      <c r="I34" s="508">
        <f t="shared" si="4"/>
        <v>175.19088212536383</v>
      </c>
      <c r="J34" s="508">
        <f>'01 Energy'!J34*'04 Emissions Factors'!$I$13/1000000</f>
        <v>60.11793298046526</v>
      </c>
      <c r="K34" s="508">
        <f>'01 Energy'!K34*'04 Emissions Factors'!$I$14/1000000</f>
        <v>0</v>
      </c>
      <c r="L34" s="426">
        <f>'01 Energy'!L34*'04 Emissions Factors'!$I$15/1000000</f>
        <v>6.017533032009908</v>
      </c>
      <c r="M34" s="426">
        <f>'01 Energy'!M34*'04 Emissions Factors'!$I$16/1000000</f>
        <v>4.1046633502533165</v>
      </c>
      <c r="N34" s="96">
        <f t="shared" si="1"/>
        <v>245.4310114880923</v>
      </c>
      <c r="O34" s="426">
        <f>'03c Data_Transport'!H33/1000</f>
        <v>44.674448094551984</v>
      </c>
      <c r="P34" s="426">
        <f>'03c Data_Transport'!I33/1000</f>
        <v>0.24115537637478485</v>
      </c>
      <c r="Q34" s="426">
        <f>'03c Data_Transport'!F33/1000</f>
        <v>0.13672935096813663</v>
      </c>
      <c r="R34" s="426">
        <f>'03c Data_Transport'!G33/1000</f>
        <v>10.070244659761658</v>
      </c>
      <c r="S34" s="426">
        <f>'03c Data_Transport'!E33/1000</f>
        <v>168.07909172289845</v>
      </c>
      <c r="T34" s="168">
        <f t="shared" si="2"/>
        <v>223.201669204555</v>
      </c>
      <c r="U34" s="214">
        <f t="shared" si="3"/>
        <v>835.6484899121049</v>
      </c>
    </row>
    <row r="35" spans="2:21" ht="12.75">
      <c r="B35" s="174" t="s">
        <v>74</v>
      </c>
      <c r="C35" s="509">
        <f>'01 Energy'!C35*('04 Emissions Factors'!$I$6+'04 Emissions Factors'!$I$7)/1000000</f>
        <v>203.629660793792</v>
      </c>
      <c r="D35" s="508">
        <f>'01 Energy'!D35*'04 Emissions Factors'!$I$8/1000000</f>
        <v>178.01710309814385</v>
      </c>
      <c r="E35" s="508">
        <f>'01 Energy'!E35*'04 Emissions Factors'!$I$9/1000000</f>
        <v>0.896097825871049</v>
      </c>
      <c r="F35" s="508">
        <f>'01 Energy'!F35*'04 Emissions Factors'!$I$10/1000000</f>
        <v>2.3061924669487124</v>
      </c>
      <c r="G35" s="96">
        <f t="shared" si="0"/>
        <v>384.8490541847556</v>
      </c>
      <c r="H35" s="507">
        <f>'01 Energy'!H35*('04 Emissions Factors'!$I$11+'04 Emissions Factors'!$I$12)/1000000</f>
        <v>463.05631914771243</v>
      </c>
      <c r="I35" s="508">
        <f t="shared" si="4"/>
        <v>432.453450666384</v>
      </c>
      <c r="J35" s="508">
        <f>'01 Energy'!J35*'04 Emissions Factors'!$I$13/1000000</f>
        <v>144.34049866216446</v>
      </c>
      <c r="K35" s="508">
        <f>'01 Energy'!K35*'04 Emissions Factors'!$I$14/1000000</f>
        <v>0.3230550857225877</v>
      </c>
      <c r="L35" s="426">
        <f>'01 Energy'!L35*'04 Emissions Factors'!$I$15/1000000</f>
        <v>5.087497159276096</v>
      </c>
      <c r="M35" s="426">
        <f>'01 Energy'!M35*'04 Emissions Factors'!$I$16/1000000</f>
        <v>3.0471571326094975</v>
      </c>
      <c r="N35" s="96">
        <f t="shared" si="1"/>
        <v>585.2516587061566</v>
      </c>
      <c r="O35" s="426">
        <f>'03c Data_Transport'!H34/1000</f>
        <v>1.271480520291247</v>
      </c>
      <c r="P35" s="426">
        <f>'03c Data_Transport'!I34/1000</f>
        <v>2.4034349738972924</v>
      </c>
      <c r="Q35" s="426">
        <f>'03c Data_Transport'!F34/1000</f>
        <v>0.709204208722781</v>
      </c>
      <c r="R35" s="426">
        <f>'03c Data_Transport'!G34/1000</f>
        <v>30.60286848132842</v>
      </c>
      <c r="S35" s="426">
        <f>'03c Data_Transport'!E34/1000</f>
        <v>165.0374235650445</v>
      </c>
      <c r="T35" s="168">
        <f t="shared" si="2"/>
        <v>200.02441174928424</v>
      </c>
      <c r="U35" s="214">
        <f t="shared" si="3"/>
        <v>1170.1251246401964</v>
      </c>
    </row>
    <row r="36" spans="2:21" ht="12.75">
      <c r="B36" s="174" t="s">
        <v>75</v>
      </c>
      <c r="C36" s="509">
        <f>'01 Energy'!C36*('04 Emissions Factors'!$I$6+'04 Emissions Factors'!$I$7)/1000000</f>
        <v>151.85134629762</v>
      </c>
      <c r="D36" s="508">
        <f>'01 Energy'!D36*'04 Emissions Factors'!$I$8/1000000</f>
        <v>179.08039735231637</v>
      </c>
      <c r="E36" s="508">
        <f>'01 Energy'!E36*'04 Emissions Factors'!$I$9/1000000</f>
        <v>1.4232015821842892</v>
      </c>
      <c r="F36" s="508">
        <f>'01 Energy'!F36*'04 Emissions Factors'!$I$10/1000000</f>
        <v>1.3753724588159912</v>
      </c>
      <c r="G36" s="96">
        <f t="shared" si="0"/>
        <v>333.73031769093666</v>
      </c>
      <c r="H36" s="507">
        <f>'01 Energy'!H36*('04 Emissions Factors'!$I$11+'04 Emissions Factors'!$I$12)/1000000</f>
        <v>158.14819888494128</v>
      </c>
      <c r="I36" s="508">
        <f t="shared" si="4"/>
        <v>153.582405382558</v>
      </c>
      <c r="J36" s="508">
        <f>'01 Energy'!J36*'04 Emissions Factors'!$I$13/1000000</f>
        <v>36.99669250737473</v>
      </c>
      <c r="K36" s="508">
        <f>'01 Energy'!K36*'04 Emissions Factors'!$I$14/1000000</f>
        <v>1.215106261943394</v>
      </c>
      <c r="L36" s="426">
        <f>'01 Energy'!L36*'04 Emissions Factors'!$I$15/1000000</f>
        <v>7.316883497952554</v>
      </c>
      <c r="M36" s="426">
        <f>'01 Energy'!M36*'04 Emissions Factors'!$I$16/1000000</f>
        <v>4.599320427139734</v>
      </c>
      <c r="N36" s="96">
        <f t="shared" si="1"/>
        <v>203.71040807696838</v>
      </c>
      <c r="O36" s="426">
        <f>'03c Data_Transport'!H35/1000</f>
        <v>0.04417897279659739</v>
      </c>
      <c r="P36" s="426">
        <f>'03c Data_Transport'!I35/1000</f>
        <v>0</v>
      </c>
      <c r="Q36" s="426">
        <f>'03c Data_Transport'!F35/1000</f>
        <v>0</v>
      </c>
      <c r="R36" s="426">
        <f>'03c Data_Transport'!G35/1000</f>
        <v>4.565793502383288</v>
      </c>
      <c r="S36" s="426">
        <f>'03c Data_Transport'!E35/1000</f>
        <v>114.91147952274234</v>
      </c>
      <c r="T36" s="168">
        <f t="shared" si="2"/>
        <v>119.52145199792223</v>
      </c>
      <c r="U36" s="214">
        <f t="shared" si="3"/>
        <v>656.9621777658273</v>
      </c>
    </row>
    <row r="37" spans="2:21" ht="12.75">
      <c r="B37" s="174" t="s">
        <v>76</v>
      </c>
      <c r="C37" s="509">
        <f>'01 Energy'!C37*('04 Emissions Factors'!$I$6+'04 Emissions Factors'!$I$7)/1000000</f>
        <v>184.655520754828</v>
      </c>
      <c r="D37" s="508">
        <f>'01 Energy'!D37*'04 Emissions Factors'!$I$8/1000000</f>
        <v>132.1214685215534</v>
      </c>
      <c r="E37" s="508">
        <f>'01 Energy'!E37*'04 Emissions Factors'!$I$9/1000000</f>
        <v>0.4433019785106628</v>
      </c>
      <c r="F37" s="508">
        <f>'01 Energy'!F37*'04 Emissions Factors'!$I$10/1000000</f>
        <v>1.2608671159110785</v>
      </c>
      <c r="G37" s="96">
        <f t="shared" si="0"/>
        <v>318.48115837080314</v>
      </c>
      <c r="H37" s="507">
        <f>'01 Energy'!H37*('04 Emissions Factors'!$I$11+'04 Emissions Factors'!$I$12)/1000000</f>
        <v>1136.3662760061559</v>
      </c>
      <c r="I37" s="508">
        <f t="shared" si="4"/>
        <v>1093.6167968837362</v>
      </c>
      <c r="J37" s="508">
        <f>'01 Energy'!J37*'04 Emissions Factors'!$I$13/1000000</f>
        <v>119.11102162364504</v>
      </c>
      <c r="K37" s="508">
        <f>'01 Energy'!K37*'04 Emissions Factors'!$I$14/1000000</f>
        <v>0.07835509160224453</v>
      </c>
      <c r="L37" s="426">
        <f>'01 Energy'!L37*'04 Emissions Factors'!$I$15/1000000</f>
        <v>7.818216387341295</v>
      </c>
      <c r="M37" s="426">
        <f>'01 Energy'!M37*'04 Emissions Factors'!$I$16/1000000</f>
        <v>6.1799849505067765</v>
      </c>
      <c r="N37" s="96">
        <f t="shared" si="1"/>
        <v>1226.8043749368317</v>
      </c>
      <c r="O37" s="426">
        <f>'03c Data_Transport'!H36/1000</f>
        <v>12.663282574598078</v>
      </c>
      <c r="P37" s="426">
        <f>'03c Data_Transport'!I36/1000</f>
        <v>6.196435750582631</v>
      </c>
      <c r="Q37" s="426">
        <f>'03c Data_Transport'!F36/1000</f>
        <v>0.0019191339806967887</v>
      </c>
      <c r="R37" s="426">
        <f>'03c Data_Transport'!G36/1000</f>
        <v>42.74947912241968</v>
      </c>
      <c r="S37" s="426">
        <f>'03c Data_Transport'!E36/1000</f>
        <v>161.30048965360635</v>
      </c>
      <c r="T37" s="168">
        <f t="shared" si="2"/>
        <v>222.91160623518743</v>
      </c>
      <c r="U37" s="214">
        <f t="shared" si="3"/>
        <v>1768.1971395428222</v>
      </c>
    </row>
    <row r="38" spans="2:21" ht="12.75">
      <c r="B38" s="174" t="s">
        <v>77</v>
      </c>
      <c r="C38" s="509">
        <f>'01 Energy'!C38*('04 Emissions Factors'!$I$6+'04 Emissions Factors'!$I$7)/1000000</f>
        <v>162.709980107672</v>
      </c>
      <c r="D38" s="508">
        <f>'01 Energy'!D38*'04 Emissions Factors'!$I$8/1000000</f>
        <v>229.75013831813885</v>
      </c>
      <c r="E38" s="508">
        <f>'01 Energy'!E38*'04 Emissions Factors'!$I$9/1000000</f>
        <v>1.9192760400372733</v>
      </c>
      <c r="F38" s="508">
        <f>'01 Energy'!F38*'04 Emissions Factors'!$I$10/1000000</f>
        <v>0.801270795397442</v>
      </c>
      <c r="G38" s="96">
        <f t="shared" si="0"/>
        <v>395.18066526124557</v>
      </c>
      <c r="H38" s="507">
        <f>'01 Energy'!H38*('04 Emissions Factors'!$I$11+'04 Emissions Factors'!$I$12)/1000000</f>
        <v>184.28745280691382</v>
      </c>
      <c r="I38" s="508">
        <f t="shared" si="4"/>
        <v>170.2830143732941</v>
      </c>
      <c r="J38" s="508">
        <f>'01 Energy'!J38*'04 Emissions Factors'!$I$13/1000000</f>
        <v>56.56105775468846</v>
      </c>
      <c r="K38" s="508">
        <f>'01 Energy'!K38*'04 Emissions Factors'!$I$14/1000000</f>
        <v>0</v>
      </c>
      <c r="L38" s="426">
        <f>'01 Energy'!L38*'04 Emissions Factors'!$I$15/1000000</f>
        <v>8.513941579259814</v>
      </c>
      <c r="M38" s="426">
        <f>'01 Energy'!M38*'04 Emissions Factors'!$I$16/1000000</f>
        <v>6.537950460350714</v>
      </c>
      <c r="N38" s="96">
        <f t="shared" si="1"/>
        <v>241.89596416759306</v>
      </c>
      <c r="O38" s="426">
        <f>'03c Data_Transport'!H37/1000</f>
        <v>0.5860370930634885</v>
      </c>
      <c r="P38" s="426">
        <f>'03c Data_Transport'!I37/1000</f>
        <v>0</v>
      </c>
      <c r="Q38" s="426">
        <f>'03c Data_Transport'!F37/1000</f>
        <v>2.1011465460772385</v>
      </c>
      <c r="R38" s="426">
        <f>'03c Data_Transport'!G37/1000</f>
        <v>14.004438433619713</v>
      </c>
      <c r="S38" s="426">
        <f>'03c Data_Transport'!E37/1000</f>
        <v>181.0992803252253</v>
      </c>
      <c r="T38" s="168">
        <f t="shared" si="2"/>
        <v>197.79090239798575</v>
      </c>
      <c r="U38" s="214">
        <f t="shared" si="3"/>
        <v>834.8675318268243</v>
      </c>
    </row>
    <row r="39" spans="2:21" ht="12.75">
      <c r="B39" s="174" t="s">
        <v>78</v>
      </c>
      <c r="C39" s="509">
        <f>'01 Energy'!C39*('04 Emissions Factors'!$I$6+'04 Emissions Factors'!$I$7)/1000000</f>
        <v>227.61582335777203</v>
      </c>
      <c r="D39" s="508">
        <f>'01 Energy'!D39*'04 Emissions Factors'!$I$8/1000000</f>
        <v>262.23418292777865</v>
      </c>
      <c r="E39" s="508">
        <f>'01 Energy'!E39*'04 Emissions Factors'!$I$9/1000000</f>
        <v>1.3751379382013234</v>
      </c>
      <c r="F39" s="508">
        <f>'01 Energy'!F39*'04 Emissions Factors'!$I$10/1000000</f>
        <v>1.5442661666424864</v>
      </c>
      <c r="G39" s="96">
        <f t="shared" si="0"/>
        <v>492.76941039039446</v>
      </c>
      <c r="H39" s="507">
        <f>'01 Energy'!H39*('04 Emissions Factors'!$I$11+'04 Emissions Factors'!$I$12)/1000000</f>
        <v>247.36699698252133</v>
      </c>
      <c r="I39" s="508">
        <f t="shared" si="4"/>
        <v>204.077776814146</v>
      </c>
      <c r="J39" s="508">
        <f>'01 Energy'!J39*'04 Emissions Factors'!$I$13/1000000</f>
        <v>103.13832279071588</v>
      </c>
      <c r="K39" s="508">
        <f>'01 Energy'!K39*'04 Emissions Factors'!$I$14/1000000</f>
        <v>0</v>
      </c>
      <c r="L39" s="426">
        <f>'01 Energy'!L39*'04 Emissions Factors'!$I$15/1000000</f>
        <v>5.046354629246794</v>
      </c>
      <c r="M39" s="426">
        <f>'01 Energy'!M39*'04 Emissions Factors'!$I$16/1000000</f>
        <v>4.809175214864379</v>
      </c>
      <c r="N39" s="96">
        <f t="shared" si="1"/>
        <v>317.07162944897306</v>
      </c>
      <c r="O39" s="426">
        <f>'03c Data_Transport'!H38/1000</f>
        <v>13.489907897858256</v>
      </c>
      <c r="P39" s="426">
        <f>'03c Data_Transport'!I38/1000</f>
        <v>0.10973551340451604</v>
      </c>
      <c r="Q39" s="426">
        <f>'03c Data_Transport'!F38/1000</f>
        <v>1.4562417239606908</v>
      </c>
      <c r="R39" s="426">
        <f>'03c Data_Transport'!G38/1000</f>
        <v>43.28922016837532</v>
      </c>
      <c r="S39" s="426">
        <f>'03c Data_Transport'!E38/1000</f>
        <v>172.62371797021996</v>
      </c>
      <c r="T39" s="168">
        <f t="shared" si="2"/>
        <v>230.96882327381874</v>
      </c>
      <c r="U39" s="214">
        <f t="shared" si="3"/>
        <v>1040.8098631131863</v>
      </c>
    </row>
    <row r="40" spans="2:21" ht="12.75">
      <c r="B40" s="174" t="s">
        <v>79</v>
      </c>
      <c r="C40" s="509">
        <f>'01 Energy'!C40*('04 Emissions Factors'!$I$6+'04 Emissions Factors'!$I$7)/1000000</f>
        <v>222.996967110688</v>
      </c>
      <c r="D40" s="508">
        <f>'01 Energy'!D40*'04 Emissions Factors'!$I$8/1000000</f>
        <v>179.08296453887328</v>
      </c>
      <c r="E40" s="508">
        <f>'01 Energy'!E40*'04 Emissions Factors'!$I$9/1000000</f>
        <v>0.4038577536298812</v>
      </c>
      <c r="F40" s="508">
        <f>'01 Energy'!F40*'04 Emissions Factors'!$I$10/1000000</f>
        <v>3.2871751014568082</v>
      </c>
      <c r="G40" s="96">
        <f t="shared" si="0"/>
        <v>405.77096450464796</v>
      </c>
      <c r="H40" s="507">
        <f>'01 Energy'!H40*('04 Emissions Factors'!$I$11+'04 Emissions Factors'!$I$12)/1000000</f>
        <v>1569.1130212335202</v>
      </c>
      <c r="I40" s="508">
        <f t="shared" si="4"/>
        <v>1500.0965136321477</v>
      </c>
      <c r="J40" s="508">
        <f>'01 Energy'!J40*'04 Emissions Factors'!$I$13/1000000</f>
        <v>408.83952013003966</v>
      </c>
      <c r="K40" s="508">
        <f>'01 Energy'!K40*'04 Emissions Factors'!$I$14/1000000</f>
        <v>0.6380826351153195</v>
      </c>
      <c r="L40" s="426">
        <f>'01 Energy'!L40*'04 Emissions Factors'!$I$15/1000000</f>
        <v>56.7669581342295</v>
      </c>
      <c r="M40" s="426">
        <f>'01 Energy'!M40*'04 Emissions Factors'!$I$16/1000000</f>
        <v>1.2464349037232065</v>
      </c>
      <c r="N40" s="96">
        <f t="shared" si="1"/>
        <v>1967.5875094352555</v>
      </c>
      <c r="O40" s="426">
        <f>'03c Data_Transport'!H39/1000</f>
        <v>0</v>
      </c>
      <c r="P40" s="426">
        <f>'03c Data_Transport'!I39/1000</f>
        <v>1.7404499974328698</v>
      </c>
      <c r="Q40" s="426">
        <f>'03c Data_Transport'!F39/1000</f>
        <v>2.974162546482167</v>
      </c>
      <c r="R40" s="426">
        <f>'03c Data_Transport'!G39/1000</f>
        <v>69.01650760137245</v>
      </c>
      <c r="S40" s="426">
        <f>'03c Data_Transport'!E39/1000</f>
        <v>261.6420080802897</v>
      </c>
      <c r="T40" s="168">
        <f t="shared" si="2"/>
        <v>335.3731282255772</v>
      </c>
      <c r="U40" s="214">
        <f t="shared" si="3"/>
        <v>2708.7316021654806</v>
      </c>
    </row>
    <row r="41" spans="2:21" ht="12.75">
      <c r="B41" s="174" t="s">
        <v>321</v>
      </c>
      <c r="C41" s="159"/>
      <c r="D41" s="48"/>
      <c r="E41" s="48"/>
      <c r="F41" s="48"/>
      <c r="G41" s="158"/>
      <c r="H41" s="160"/>
      <c r="I41" s="508">
        <f>H41-R41</f>
        <v>-47.02722815279999</v>
      </c>
      <c r="J41" s="508">
        <f>'01 Energy'!J41*'04 Emissions Factors'!$I$13/1000000</f>
        <v>19.515064033348484</v>
      </c>
      <c r="K41" s="48"/>
      <c r="L41" s="86"/>
      <c r="M41" s="86"/>
      <c r="N41" s="96">
        <f>SUM(I41:M41)</f>
        <v>-27.51216411945151</v>
      </c>
      <c r="O41" s="233"/>
      <c r="P41" s="153"/>
      <c r="Q41" s="156"/>
      <c r="R41" s="426">
        <f>'03c Data_Transport'!G40/1000</f>
        <v>47.02722815279999</v>
      </c>
      <c r="S41" s="153"/>
      <c r="T41" s="168">
        <f>SUM(O41:S41)</f>
        <v>47.02722815279999</v>
      </c>
      <c r="U41" s="214">
        <f t="shared" si="3"/>
        <v>19.515064033348484</v>
      </c>
    </row>
    <row r="42" spans="2:21" ht="12.75">
      <c r="B42" s="215" t="s">
        <v>9</v>
      </c>
      <c r="C42" s="71">
        <f aca="true" t="shared" si="5" ref="C42:H42">SUM(C8:C40)</f>
        <v>5932.990459898476</v>
      </c>
      <c r="D42" s="72">
        <f t="shared" si="5"/>
        <v>7352.668040085427</v>
      </c>
      <c r="E42" s="72">
        <f t="shared" si="5"/>
        <v>44.14011474616656</v>
      </c>
      <c r="F42" s="72">
        <f t="shared" si="5"/>
        <v>52.17877531102724</v>
      </c>
      <c r="G42" s="71">
        <f t="shared" si="5"/>
        <v>13381.977390041098</v>
      </c>
      <c r="H42" s="71">
        <f t="shared" si="5"/>
        <v>12470.009200060165</v>
      </c>
      <c r="I42" s="72">
        <f>SUM(I8:I41)</f>
        <v>11561.717954752838</v>
      </c>
      <c r="J42" s="72">
        <f>SUM(J8:J41)</f>
        <v>3642.394416311103</v>
      </c>
      <c r="K42" s="72">
        <f>SUM(K8:K40)</f>
        <v>10.206357677209988</v>
      </c>
      <c r="L42" s="72">
        <f>SUM(L8:L40)</f>
        <v>558.5011030218009</v>
      </c>
      <c r="M42" s="72">
        <f>SUM(M8:M40)</f>
        <v>213.78894220242066</v>
      </c>
      <c r="N42" s="71">
        <f>SUM(N8:N41)</f>
        <v>15986.608773965374</v>
      </c>
      <c r="O42" s="71">
        <f>SUM(O8:O40)</f>
        <v>930.932363127207</v>
      </c>
      <c r="P42" s="72">
        <f>SUM(P8:P40)</f>
        <v>31.20512106677382</v>
      </c>
      <c r="Q42" s="72">
        <f>SUM(Q8:Q40)</f>
        <v>83.94980818727448</v>
      </c>
      <c r="R42" s="72">
        <f>SUM(R8:R41)</f>
        <v>908.2912453073302</v>
      </c>
      <c r="S42" s="72">
        <f>SUM(S8:S40)</f>
        <v>6620.218824814175</v>
      </c>
      <c r="T42" s="83">
        <f>SUM(T8:T41)</f>
        <v>8574.59736250276</v>
      </c>
      <c r="U42" s="216">
        <f>G42+N42+T42</f>
        <v>37943.18352650923</v>
      </c>
    </row>
    <row r="43" spans="2:21" ht="12.75">
      <c r="B43" s="217" t="s">
        <v>10</v>
      </c>
      <c r="C43" s="218">
        <f aca="true" t="shared" si="6" ref="C43:U43">C42/1000</f>
        <v>5.932990459898476</v>
      </c>
      <c r="D43" s="219">
        <f t="shared" si="6"/>
        <v>7.352668040085427</v>
      </c>
      <c r="E43" s="219">
        <f t="shared" si="6"/>
        <v>0.04414011474616656</v>
      </c>
      <c r="F43" s="219">
        <f t="shared" si="6"/>
        <v>0.052178775311027235</v>
      </c>
      <c r="G43" s="221">
        <f t="shared" si="6"/>
        <v>13.381977390041099</v>
      </c>
      <c r="H43" s="218">
        <f t="shared" si="6"/>
        <v>12.470009200060165</v>
      </c>
      <c r="I43" s="219">
        <f t="shared" si="6"/>
        <v>11.561717954752838</v>
      </c>
      <c r="J43" s="219">
        <f t="shared" si="6"/>
        <v>3.6423944163111033</v>
      </c>
      <c r="K43" s="219">
        <f t="shared" si="6"/>
        <v>0.010206357677209989</v>
      </c>
      <c r="L43" s="219">
        <f t="shared" si="6"/>
        <v>0.5585011030218009</v>
      </c>
      <c r="M43" s="219">
        <f t="shared" si="6"/>
        <v>0.21378894220242065</v>
      </c>
      <c r="N43" s="221">
        <f t="shared" si="6"/>
        <v>15.986608773965374</v>
      </c>
      <c r="O43" s="220">
        <f t="shared" si="6"/>
        <v>0.9309323631272071</v>
      </c>
      <c r="P43" s="219">
        <f t="shared" si="6"/>
        <v>0.03120512106677382</v>
      </c>
      <c r="Q43" s="219">
        <f t="shared" si="6"/>
        <v>0.08394980818727449</v>
      </c>
      <c r="R43" s="219">
        <f>R42/1000</f>
        <v>0.9082912453073302</v>
      </c>
      <c r="S43" s="219">
        <f t="shared" si="6"/>
        <v>6.620218824814175</v>
      </c>
      <c r="T43" s="221">
        <f t="shared" si="6"/>
        <v>8.57459736250276</v>
      </c>
      <c r="U43" s="221">
        <f t="shared" si="6"/>
        <v>37.94318352650923</v>
      </c>
    </row>
    <row r="44" spans="3:22" ht="12.75">
      <c r="C44" s="112"/>
      <c r="D44" s="112"/>
      <c r="E44" s="112"/>
      <c r="H44" s="111"/>
      <c r="L44" s="98"/>
      <c r="Q44" s="98"/>
      <c r="R44" s="111"/>
      <c r="T44" s="114"/>
      <c r="U44" s="112"/>
      <c r="V44" s="113"/>
    </row>
    <row r="45" spans="2:3" ht="18.75" customHeight="1" hidden="1">
      <c r="B45" s="18" t="s">
        <v>167</v>
      </c>
      <c r="C45" s="18" t="s">
        <v>168</v>
      </c>
    </row>
    <row r="46" ht="12.75" hidden="1"/>
    <row r="47" spans="2:21" ht="14.25" hidden="1">
      <c r="B47" s="26" t="s">
        <v>164</v>
      </c>
      <c r="C47" s="663" t="s">
        <v>11</v>
      </c>
      <c r="D47" s="664"/>
      <c r="E47" s="664"/>
      <c r="F47" s="664"/>
      <c r="G47" s="664"/>
      <c r="H47" s="664"/>
      <c r="I47" s="664"/>
      <c r="J47" s="664"/>
      <c r="K47" s="664"/>
      <c r="L47" s="664"/>
      <c r="M47" s="664"/>
      <c r="N47" s="664"/>
      <c r="O47" s="664"/>
      <c r="P47" s="664"/>
      <c r="Q47" s="664"/>
      <c r="R47" s="664"/>
      <c r="S47" s="664"/>
      <c r="T47" s="664"/>
      <c r="U47" s="100" t="s">
        <v>95</v>
      </c>
    </row>
    <row r="48" spans="2:21" ht="12.75" hidden="1">
      <c r="B48" s="27" t="s">
        <v>163</v>
      </c>
      <c r="C48" s="660" t="s">
        <v>14</v>
      </c>
      <c r="D48" s="661"/>
      <c r="E48" s="661"/>
      <c r="F48" s="661"/>
      <c r="G48" s="662"/>
      <c r="H48" s="660" t="s">
        <v>94</v>
      </c>
      <c r="I48" s="661"/>
      <c r="J48" s="661"/>
      <c r="K48" s="661"/>
      <c r="L48" s="661"/>
      <c r="M48" s="661"/>
      <c r="N48" s="662"/>
      <c r="O48" s="660" t="s">
        <v>26</v>
      </c>
      <c r="P48" s="661"/>
      <c r="Q48" s="661"/>
      <c r="R48" s="661"/>
      <c r="S48" s="661"/>
      <c r="T48" s="662"/>
      <c r="U48" s="101"/>
    </row>
    <row r="49" spans="2:21" ht="25.5" hidden="1">
      <c r="B49" s="28"/>
      <c r="C49" s="29" t="s">
        <v>15</v>
      </c>
      <c r="D49" s="29" t="s">
        <v>17</v>
      </c>
      <c r="E49" s="29" t="s">
        <v>18</v>
      </c>
      <c r="F49" s="29" t="s">
        <v>41</v>
      </c>
      <c r="G49" s="29" t="s">
        <v>89</v>
      </c>
      <c r="H49" s="30" t="s">
        <v>15</v>
      </c>
      <c r="I49" s="30" t="s">
        <v>174</v>
      </c>
      <c r="J49" s="30" t="s">
        <v>17</v>
      </c>
      <c r="K49" s="30" t="s">
        <v>18</v>
      </c>
      <c r="L49" s="30" t="s">
        <v>41</v>
      </c>
      <c r="M49" s="30" t="s">
        <v>24</v>
      </c>
      <c r="N49" s="30" t="s">
        <v>89</v>
      </c>
      <c r="O49" s="30" t="s">
        <v>97</v>
      </c>
      <c r="P49" s="30" t="s">
        <v>98</v>
      </c>
      <c r="Q49" s="30" t="s">
        <v>160</v>
      </c>
      <c r="R49" s="30" t="s">
        <v>161</v>
      </c>
      <c r="S49" s="30" t="s">
        <v>34</v>
      </c>
      <c r="T49" s="30" t="s">
        <v>89</v>
      </c>
      <c r="U49" s="102"/>
    </row>
    <row r="50" spans="2:21" ht="12.75" hidden="1">
      <c r="B50" s="20"/>
      <c r="C50" s="21"/>
      <c r="D50" s="22"/>
      <c r="E50" s="22"/>
      <c r="F50" s="22"/>
      <c r="G50" s="21"/>
      <c r="H50" s="21"/>
      <c r="I50" s="22"/>
      <c r="J50" s="22"/>
      <c r="K50" s="22"/>
      <c r="L50" s="22"/>
      <c r="M50" s="23"/>
      <c r="N50" s="21"/>
      <c r="O50" s="21"/>
      <c r="P50" s="23"/>
      <c r="Q50" s="22"/>
      <c r="R50" s="22"/>
      <c r="S50" s="23"/>
      <c r="T50" s="90"/>
      <c r="U50" s="25"/>
    </row>
    <row r="51" spans="2:21" ht="12.75" hidden="1">
      <c r="B51" s="75" t="s">
        <v>46</v>
      </c>
      <c r="C51" s="46">
        <f>'01 Energy'!C8*EF_ELEC/1000000</f>
        <v>111.77242614528899</v>
      </c>
      <c r="D51" s="47">
        <f>'01 Energy'!D8*EF_GAS/1000000</f>
        <v>139.94066833145314</v>
      </c>
      <c r="E51" s="47">
        <f>'01 Energy'!E8*EF_COAL_DOM/1000000</f>
        <v>1.5710981032102576</v>
      </c>
      <c r="F51" s="47">
        <f>'01 Energy'!F8*EF_OIL_DOM/1000000</f>
        <v>0.6331880387890098</v>
      </c>
      <c r="G51" s="49">
        <f aca="true" t="shared" si="7" ref="G51:G84">SUM(C51:F51)</f>
        <v>253.9173806187414</v>
      </c>
      <c r="H51" s="47">
        <f>'01 Energy'!H8*EF_ELEC/1000000</f>
        <v>128.6416849768222</v>
      </c>
      <c r="I51" s="47">
        <f>'01 Energy'!I8*EF_ELEC/1000000</f>
        <v>110.41522951964927</v>
      </c>
      <c r="J51" s="47">
        <f>'01 Energy'!J8*EF_GAS/1000000</f>
        <v>42.20806759058931</v>
      </c>
      <c r="K51" s="47">
        <f>'01 Energy'!K8*EF_COAL_WP/1000000</f>
        <v>4.084908507827409</v>
      </c>
      <c r="L51" s="47">
        <f>'01 Energy'!L8*EF_OIL_WP/1000000</f>
        <v>39.906458430346575</v>
      </c>
      <c r="M51" s="87">
        <f>'01 Energy'!M8*EF_WASTE/1000000</f>
        <v>9.589989785859641</v>
      </c>
      <c r="N51" s="49">
        <f aca="true" t="shared" si="8" ref="N51:N83">SUM(I51:M51)</f>
        <v>206.20465383427222</v>
      </c>
      <c r="O51" s="86">
        <f aca="true" t="shared" si="9" ref="O51:S60">O8</f>
        <v>0</v>
      </c>
      <c r="P51" s="86">
        <f t="shared" si="9"/>
        <v>6.368751648044829</v>
      </c>
      <c r="Q51" s="86">
        <f t="shared" si="9"/>
        <v>1.705768264489559</v>
      </c>
      <c r="R51" s="86">
        <f t="shared" si="9"/>
        <v>19.99538776281698</v>
      </c>
      <c r="S51" s="86">
        <f t="shared" si="9"/>
        <v>133.34449671996396</v>
      </c>
      <c r="T51" s="82">
        <f>SUM(O51:S51)</f>
        <v>161.41440439531533</v>
      </c>
      <c r="U51" s="88">
        <f aca="true" t="shared" si="10" ref="U51:U84">G51+N51+T51</f>
        <v>621.536438848329</v>
      </c>
    </row>
    <row r="52" spans="2:21" ht="12.75" hidden="1">
      <c r="B52" s="75" t="s">
        <v>47</v>
      </c>
      <c r="C52" s="46">
        <f>'01 Energy'!C9*EF_ELEC/1000000</f>
        <v>259.283643791578</v>
      </c>
      <c r="D52" s="47">
        <f>'01 Energy'!D9*EF_GAS/1000000</f>
        <v>415.5975057513266</v>
      </c>
      <c r="E52" s="47">
        <f>'01 Energy'!E9*EF_COAL_DOM/1000000</f>
        <v>1.4989985287299272</v>
      </c>
      <c r="F52" s="47">
        <f>'01 Energy'!F9*EF_OIL_DOM/1000000</f>
        <v>2.119057690831802</v>
      </c>
      <c r="G52" s="49">
        <f t="shared" si="7"/>
        <v>678.4992057624663</v>
      </c>
      <c r="H52" s="47">
        <f>'01 Energy'!H9*EF_ELEC/1000000</f>
        <v>263.39262401660324</v>
      </c>
      <c r="I52" s="47">
        <f>'01 Energy'!I9*EF_ELEC/1000000</f>
        <v>230.91208150554104</v>
      </c>
      <c r="J52" s="47">
        <f>'01 Energy'!J9*EF_GAS/1000000</f>
        <v>105.24073882127342</v>
      </c>
      <c r="K52" s="47">
        <f>'01 Energy'!K9*EF_COAL_WP/1000000</f>
        <v>0.044601458750847076</v>
      </c>
      <c r="L52" s="47">
        <f>'01 Energy'!L9*EF_OIL_WP/1000000</f>
        <v>10.941714654273616</v>
      </c>
      <c r="M52" s="87">
        <f>'01 Energy'!M9*EF_WASTE/1000000</f>
        <v>5.371722268318047</v>
      </c>
      <c r="N52" s="49">
        <f t="shared" si="8"/>
        <v>352.5108587081569</v>
      </c>
      <c r="O52" s="86">
        <f t="shared" si="9"/>
        <v>0.2268364570250737</v>
      </c>
      <c r="P52" s="86">
        <f t="shared" si="9"/>
        <v>0</v>
      </c>
      <c r="Q52" s="86">
        <f t="shared" si="9"/>
        <v>5.419713617011269</v>
      </c>
      <c r="R52" s="86">
        <f t="shared" si="9"/>
        <v>35.63287682464649</v>
      </c>
      <c r="S52" s="86">
        <f t="shared" si="9"/>
        <v>394.1272663505771</v>
      </c>
      <c r="T52" s="82">
        <f aca="true" t="shared" si="11" ref="T52:T83">SUM(O52:S52)</f>
        <v>435.4066932492599</v>
      </c>
      <c r="U52" s="88">
        <f t="shared" si="10"/>
        <v>1466.416757719883</v>
      </c>
    </row>
    <row r="53" spans="2:21" ht="12.75" hidden="1">
      <c r="B53" s="75" t="s">
        <v>48</v>
      </c>
      <c r="C53" s="46">
        <f>'01 Energy'!C10*EF_ELEC/1000000</f>
        <v>160.468186951842</v>
      </c>
      <c r="D53" s="47">
        <f>'01 Energy'!D10*EF_GAS/1000000</f>
        <v>211.35885060498896</v>
      </c>
      <c r="E53" s="47">
        <f>'01 Energy'!E10*EF_COAL_DOM/1000000</f>
        <v>1.8412333205002402</v>
      </c>
      <c r="F53" s="47">
        <f>'01 Energy'!F10*EF_OIL_DOM/1000000</f>
        <v>1.4786217136718642</v>
      </c>
      <c r="G53" s="49">
        <f t="shared" si="7"/>
        <v>375.1468925910031</v>
      </c>
      <c r="H53" s="47">
        <f>'01 Energy'!H10*EF_ELEC/1000000</f>
        <v>202.27648774206273</v>
      </c>
      <c r="I53" s="47">
        <f>'01 Energy'!I10*EF_ELEC/1000000</f>
        <v>193.79680485086905</v>
      </c>
      <c r="J53" s="47">
        <f>'01 Energy'!J10*EF_GAS/1000000</f>
        <v>126.71234992763097</v>
      </c>
      <c r="K53" s="47">
        <f>'01 Energy'!K10*EF_COAL_WP/1000000</f>
        <v>0.06878510330001</v>
      </c>
      <c r="L53" s="47">
        <f>'01 Energy'!L10*EF_OIL_WP/1000000</f>
        <v>37.94655402320382</v>
      </c>
      <c r="M53" s="87">
        <f>'01 Energy'!M10*EF_WASTE/1000000</f>
        <v>10.689621200651937</v>
      </c>
      <c r="N53" s="49">
        <f t="shared" si="8"/>
        <v>369.21411510565576</v>
      </c>
      <c r="O53" s="86">
        <f t="shared" si="9"/>
        <v>8.230594259049266</v>
      </c>
      <c r="P53" s="86">
        <f t="shared" si="9"/>
        <v>4.561340066791499</v>
      </c>
      <c r="Q53" s="86">
        <f t="shared" si="9"/>
        <v>0.8818983989529486</v>
      </c>
      <c r="R53" s="86">
        <f t="shared" si="9"/>
        <v>9.30266161259648</v>
      </c>
      <c r="S53" s="86">
        <f t="shared" si="9"/>
        <v>193.11119044194177</v>
      </c>
      <c r="T53" s="82">
        <f t="shared" si="11"/>
        <v>216.08768477933197</v>
      </c>
      <c r="U53" s="88">
        <f t="shared" si="10"/>
        <v>960.4486924759908</v>
      </c>
    </row>
    <row r="54" spans="2:21" ht="12.75" hidden="1">
      <c r="B54" s="75" t="s">
        <v>49</v>
      </c>
      <c r="C54" s="46">
        <f>'01 Energy'!C11*EF_ELEC/1000000</f>
        <v>178.415172380368</v>
      </c>
      <c r="D54" s="47">
        <f>'01 Energy'!D11*EF_GAS/1000000</f>
        <v>292.52242796024257</v>
      </c>
      <c r="E54" s="47">
        <f>'01 Energy'!E11*EF_COAL_DOM/1000000</f>
        <v>1.0808230127300018</v>
      </c>
      <c r="F54" s="47">
        <f>'01 Energy'!F11*EF_OIL_DOM/1000000</f>
        <v>1.2686492328964019</v>
      </c>
      <c r="G54" s="49">
        <f t="shared" si="7"/>
        <v>473.28707258623695</v>
      </c>
      <c r="H54" s="47">
        <f>'01 Energy'!H11*EF_ELEC/1000000</f>
        <v>377.07150381611143</v>
      </c>
      <c r="I54" s="47">
        <f>'01 Energy'!I11*EF_ELEC/1000000</f>
        <v>336.8258557735922</v>
      </c>
      <c r="J54" s="47">
        <f>'01 Energy'!J11*EF_GAS/1000000</f>
        <v>106.1221651920679</v>
      </c>
      <c r="K54" s="47">
        <f>'01 Energy'!K11*EF_COAL_WP/1000000</f>
        <v>0</v>
      </c>
      <c r="L54" s="47">
        <f>'01 Energy'!L11*EF_OIL_WP/1000000</f>
        <v>20.67775910400787</v>
      </c>
      <c r="M54" s="87">
        <f>'01 Energy'!M11*EF_WASTE/1000000</f>
        <v>3.9188500510034756</v>
      </c>
      <c r="N54" s="49">
        <f t="shared" si="8"/>
        <v>467.5446301206714</v>
      </c>
      <c r="O54" s="86">
        <f t="shared" si="9"/>
        <v>0.3345084139994634</v>
      </c>
      <c r="P54" s="86">
        <f t="shared" si="9"/>
        <v>0</v>
      </c>
      <c r="Q54" s="86">
        <f t="shared" si="9"/>
        <v>8.948791167878873</v>
      </c>
      <c r="R54" s="86">
        <f t="shared" si="9"/>
        <v>44.151609196144186</v>
      </c>
      <c r="S54" s="86">
        <f t="shared" si="9"/>
        <v>210.32409519641604</v>
      </c>
      <c r="T54" s="82">
        <f t="shared" si="11"/>
        <v>263.75900397443854</v>
      </c>
      <c r="U54" s="88">
        <f t="shared" si="10"/>
        <v>1204.590706681347</v>
      </c>
    </row>
    <row r="55" spans="2:21" ht="12.75" hidden="1">
      <c r="B55" s="75" t="s">
        <v>50</v>
      </c>
      <c r="C55" s="46">
        <f>'01 Energy'!C12*EF_ELEC/1000000</f>
        <v>234.26520037356096</v>
      </c>
      <c r="D55" s="47">
        <f>'01 Energy'!D12*EF_GAS/1000000</f>
        <v>348.5200176462499</v>
      </c>
      <c r="E55" s="47">
        <f>'01 Energy'!E12*EF_COAL_DOM/1000000</f>
        <v>2.003294615039757</v>
      </c>
      <c r="F55" s="47">
        <f>'01 Energy'!F12*EF_OIL_DOM/1000000</f>
        <v>3.4069605202661135</v>
      </c>
      <c r="G55" s="49">
        <f t="shared" si="7"/>
        <v>588.1954731551167</v>
      </c>
      <c r="H55" s="47">
        <f>'01 Energy'!H12*EF_ELEC/1000000</f>
        <v>190.37537823428062</v>
      </c>
      <c r="I55" s="47">
        <f>'01 Energy'!I12*EF_ELEC/1000000</f>
        <v>170.24668121573808</v>
      </c>
      <c r="J55" s="47">
        <f>'01 Energy'!J12*EF_GAS/1000000</f>
        <v>67.99101480718437</v>
      </c>
      <c r="K55" s="47">
        <f>'01 Energy'!K12*EF_COAL_WP/1000000</f>
        <v>0.010160126134163712</v>
      </c>
      <c r="L55" s="47">
        <f>'01 Energy'!L12*EF_OIL_WP/1000000</f>
        <v>19.49474112302133</v>
      </c>
      <c r="M55" s="87">
        <f>'01 Energy'!M12*EF_WASTE/1000000</f>
        <v>6.677589951219564</v>
      </c>
      <c r="N55" s="49">
        <f t="shared" si="8"/>
        <v>264.4201872232975</v>
      </c>
      <c r="O55" s="86">
        <f t="shared" si="9"/>
        <v>1.410701573842952</v>
      </c>
      <c r="P55" s="86">
        <f t="shared" si="9"/>
        <v>0</v>
      </c>
      <c r="Q55" s="86">
        <f t="shared" si="9"/>
        <v>0.763558900596945</v>
      </c>
      <c r="R55" s="86">
        <f t="shared" si="9"/>
        <v>22.08224758740025</v>
      </c>
      <c r="S55" s="86">
        <f t="shared" si="9"/>
        <v>256.0618305627765</v>
      </c>
      <c r="T55" s="82">
        <f t="shared" si="11"/>
        <v>280.3183386246166</v>
      </c>
      <c r="U55" s="88">
        <f t="shared" si="10"/>
        <v>1132.9339990030307</v>
      </c>
    </row>
    <row r="56" spans="2:21" ht="12.75" hidden="1">
      <c r="B56" s="75" t="s">
        <v>51</v>
      </c>
      <c r="C56" s="46">
        <f>'01 Energy'!C13*EF_ELEC/1000000</f>
        <v>147.527298552242</v>
      </c>
      <c r="D56" s="47">
        <f>'01 Energy'!D13*EF_GAS/1000000</f>
        <v>183.38344515056005</v>
      </c>
      <c r="E56" s="47">
        <f>'01 Energy'!E13*EF_COAL_DOM/1000000</f>
        <v>0.3679420690256666</v>
      </c>
      <c r="F56" s="47">
        <f>'01 Energy'!F13*EF_OIL_DOM/1000000</f>
        <v>2.4096083773067685</v>
      </c>
      <c r="G56" s="49">
        <f t="shared" si="7"/>
        <v>333.6882941491345</v>
      </c>
      <c r="H56" s="47">
        <f>'01 Energy'!H13*EF_ELEC/1000000</f>
        <v>588.85620425663</v>
      </c>
      <c r="I56" s="47">
        <f>'01 Energy'!I13*EF_ELEC/1000000</f>
        <v>546.0066620010656</v>
      </c>
      <c r="J56" s="47">
        <f>'01 Energy'!J13*EF_GAS/1000000</f>
        <v>247.77614692918934</v>
      </c>
      <c r="K56" s="47">
        <f>'01 Energy'!K13*EF_COAL_WP/1000000</f>
        <v>0</v>
      </c>
      <c r="L56" s="47">
        <f>'01 Energy'!L13*EF_OIL_WP/1000000</f>
        <v>10.969556899329012</v>
      </c>
      <c r="M56" s="87">
        <f>'01 Energy'!M13*EF_WASTE/1000000</f>
        <v>1.2284604633697664</v>
      </c>
      <c r="N56" s="49">
        <f t="shared" si="8"/>
        <v>805.9808262929538</v>
      </c>
      <c r="O56" s="86">
        <f t="shared" si="9"/>
        <v>0</v>
      </c>
      <c r="P56" s="86">
        <f t="shared" si="9"/>
        <v>0</v>
      </c>
      <c r="Q56" s="86">
        <f t="shared" si="9"/>
        <v>7.006704066270505</v>
      </c>
      <c r="R56" s="86">
        <f t="shared" si="9"/>
        <v>47.00821917198585</v>
      </c>
      <c r="S56" s="86">
        <f t="shared" si="9"/>
        <v>158.28674608287523</v>
      </c>
      <c r="T56" s="82">
        <f t="shared" si="11"/>
        <v>212.30166932113158</v>
      </c>
      <c r="U56" s="88">
        <f t="shared" si="10"/>
        <v>1351.97078976322</v>
      </c>
    </row>
    <row r="57" spans="2:21" ht="12.75" hidden="1">
      <c r="B57" s="75" t="s">
        <v>52</v>
      </c>
      <c r="C57" s="46">
        <f>'01 Energy'!C14*EF_ELEC/1000000</f>
        <v>11.436362125027001</v>
      </c>
      <c r="D57" s="47">
        <f>'01 Energy'!D14*EF_GAS/1000000</f>
        <v>5.50117021874702</v>
      </c>
      <c r="E57" s="47">
        <f>'01 Energy'!E14*EF_COAL_DOM/1000000</f>
        <v>0.0013937547881843653</v>
      </c>
      <c r="F57" s="47">
        <f>'01 Energy'!F14*EF_OIL_DOM/1000000</f>
        <v>0.08748937079787981</v>
      </c>
      <c r="G57" s="49">
        <f t="shared" si="7"/>
        <v>17.026415469360085</v>
      </c>
      <c r="H57" s="47">
        <f>'01 Energy'!H14*EF_ELEC/1000000</f>
        <v>849.8057982099704</v>
      </c>
      <c r="I57" s="47">
        <f>'01 Energy'!I14*EF_ELEC/1000000</f>
        <v>831.3866249693448</v>
      </c>
      <c r="J57" s="47">
        <f>'01 Energy'!J14*EF_GAS/1000000</f>
        <v>123.60454663507586</v>
      </c>
      <c r="K57" s="47">
        <f>'01 Energy'!K14*EF_COAL_WP/1000000</f>
        <v>0</v>
      </c>
      <c r="L57" s="47">
        <f>'01 Energy'!L14*EF_OIL_WP/1000000</f>
        <v>9.481219648338447</v>
      </c>
      <c r="M57" s="87">
        <f>'01 Energy'!M14*EF_WASTE/1000000</f>
        <v>0.0053473311213892</v>
      </c>
      <c r="N57" s="49">
        <f t="shared" si="8"/>
        <v>964.4777385838804</v>
      </c>
      <c r="O57" s="86">
        <f t="shared" si="9"/>
        <v>1.2773385548765992</v>
      </c>
      <c r="P57" s="86">
        <f t="shared" si="9"/>
        <v>2.032987017692793</v>
      </c>
      <c r="Q57" s="86">
        <f t="shared" si="9"/>
        <v>0</v>
      </c>
      <c r="R57" s="86">
        <f t="shared" si="9"/>
        <v>20.20680938661988</v>
      </c>
      <c r="S57" s="86">
        <f t="shared" si="9"/>
        <v>53.77687112750616</v>
      </c>
      <c r="T57" s="82">
        <f t="shared" si="11"/>
        <v>77.29400608669543</v>
      </c>
      <c r="U57" s="88">
        <f t="shared" si="10"/>
        <v>1058.798160139936</v>
      </c>
    </row>
    <row r="58" spans="2:21" ht="12.75" hidden="1">
      <c r="B58" s="75" t="s">
        <v>53</v>
      </c>
      <c r="C58" s="46">
        <f>'01 Energy'!C15*EF_ELEC/1000000</f>
        <v>249.719293517785</v>
      </c>
      <c r="D58" s="47">
        <f>'01 Energy'!D15*EF_GAS/1000000</f>
        <v>348.58731176557484</v>
      </c>
      <c r="E58" s="47">
        <f>'01 Energy'!E15*EF_COAL_DOM/1000000</f>
        <v>2.5013600080126497</v>
      </c>
      <c r="F58" s="47">
        <f>'01 Energy'!F15*EF_OIL_DOM/1000000</f>
        <v>2.170651366064669</v>
      </c>
      <c r="G58" s="49">
        <f t="shared" si="7"/>
        <v>602.9786166574372</v>
      </c>
      <c r="H58" s="47">
        <f>'01 Energy'!H15*EF_ELEC/1000000</f>
        <v>251.1966448493892</v>
      </c>
      <c r="I58" s="47">
        <f>'01 Energy'!I15*EF_ELEC/1000000</f>
        <v>226.68112795431236</v>
      </c>
      <c r="J58" s="47">
        <f>'01 Energy'!J15*EF_GAS/1000000</f>
        <v>70.9260989357149</v>
      </c>
      <c r="K58" s="47">
        <f>'01 Energy'!K15*EF_COAL_WP/1000000</f>
        <v>0.2100634278185772</v>
      </c>
      <c r="L58" s="47">
        <f>'01 Energy'!L15*EF_OIL_WP/1000000</f>
        <v>8.488791030714385</v>
      </c>
      <c r="M58" s="87">
        <f>'01 Energy'!M15*EF_WASTE/1000000</f>
        <v>8.784433786733397</v>
      </c>
      <c r="N58" s="49">
        <f t="shared" si="8"/>
        <v>315.09051513529363</v>
      </c>
      <c r="O58" s="86">
        <f t="shared" si="9"/>
        <v>0.282965013333536</v>
      </c>
      <c r="P58" s="86">
        <f t="shared" si="9"/>
        <v>0</v>
      </c>
      <c r="Q58" s="86">
        <f t="shared" si="9"/>
        <v>1.3594271940149496</v>
      </c>
      <c r="R58" s="86">
        <f t="shared" si="9"/>
        <v>26.894821523295022</v>
      </c>
      <c r="S58" s="86">
        <f t="shared" si="9"/>
        <v>240.49373370065666</v>
      </c>
      <c r="T58" s="82">
        <f t="shared" si="11"/>
        <v>269.03094743130015</v>
      </c>
      <c r="U58" s="88">
        <f t="shared" si="10"/>
        <v>1187.1000792240309</v>
      </c>
    </row>
    <row r="59" spans="2:21" ht="12.75" hidden="1">
      <c r="B59" s="75" t="s">
        <v>54</v>
      </c>
      <c r="C59" s="46">
        <f>'01 Energy'!C16*EF_ELEC/1000000</f>
        <v>200.243513117438</v>
      </c>
      <c r="D59" s="47">
        <f>'01 Energy'!D16*EF_GAS/1000000</f>
        <v>319.15834267206606</v>
      </c>
      <c r="E59" s="47">
        <f>'01 Energy'!E16*EF_COAL_DOM/1000000</f>
        <v>1.7003738140963005</v>
      </c>
      <c r="F59" s="47">
        <f>'01 Energy'!F16*EF_OIL_DOM/1000000</f>
        <v>1.6008309517619121</v>
      </c>
      <c r="G59" s="49">
        <f t="shared" si="7"/>
        <v>522.7030605553623</v>
      </c>
      <c r="H59" s="47">
        <f>'01 Energy'!H16*EF_ELEC/1000000</f>
        <v>365.9653023502458</v>
      </c>
      <c r="I59" s="47">
        <f>'01 Energy'!I16*EF_ELEC/1000000</f>
        <v>340.9648212063728</v>
      </c>
      <c r="J59" s="47">
        <f>'01 Energy'!J16*EF_GAS/1000000</f>
        <v>142.95029496820098</v>
      </c>
      <c r="K59" s="47">
        <f>'01 Energy'!K16*EF_COAL_WP/1000000</f>
        <v>0.034999019855922055</v>
      </c>
      <c r="L59" s="47">
        <f>'01 Energy'!L16*EF_OIL_WP/1000000</f>
        <v>23.565047899017788</v>
      </c>
      <c r="M59" s="87">
        <f>'01 Energy'!M16*EF_WASTE/1000000</f>
        <v>5.874216067006143</v>
      </c>
      <c r="N59" s="49">
        <f t="shared" si="8"/>
        <v>513.3893791604536</v>
      </c>
      <c r="O59" s="86">
        <f t="shared" si="9"/>
        <v>0.18163692620808083</v>
      </c>
      <c r="P59" s="86">
        <f t="shared" si="9"/>
        <v>0</v>
      </c>
      <c r="Q59" s="86">
        <f t="shared" si="9"/>
        <v>14.453970510133619</v>
      </c>
      <c r="R59" s="86">
        <f t="shared" si="9"/>
        <v>27.426853010633145</v>
      </c>
      <c r="S59" s="86">
        <f t="shared" si="9"/>
        <v>288.2390175892307</v>
      </c>
      <c r="T59" s="82">
        <f t="shared" si="11"/>
        <v>330.30147803620554</v>
      </c>
      <c r="U59" s="88">
        <f t="shared" si="10"/>
        <v>1366.3939177520215</v>
      </c>
    </row>
    <row r="60" spans="2:21" ht="12.75" hidden="1">
      <c r="B60" s="75" t="s">
        <v>55</v>
      </c>
      <c r="C60" s="46">
        <f>'01 Energy'!C17*EF_ELEC/1000000</f>
        <v>207.963674490194</v>
      </c>
      <c r="D60" s="47">
        <f>'01 Energy'!D17*EF_GAS/1000000</f>
        <v>295.17644620196154</v>
      </c>
      <c r="E60" s="47">
        <f>'01 Energy'!E17*EF_COAL_DOM/1000000</f>
        <v>2.031775851659313</v>
      </c>
      <c r="F60" s="47">
        <f>'01 Energy'!F17*EF_OIL_DOM/1000000</f>
        <v>1.549607764594979</v>
      </c>
      <c r="G60" s="49">
        <f t="shared" si="7"/>
        <v>506.72150430840975</v>
      </c>
      <c r="H60" s="47">
        <f>'01 Energy'!H17*EF_ELEC/1000000</f>
        <v>238.8451504357694</v>
      </c>
      <c r="I60" s="47">
        <f>'01 Energy'!I17*EF_ELEC/1000000</f>
        <v>221.23514664889197</v>
      </c>
      <c r="J60" s="47">
        <f>'01 Energy'!J17*EF_GAS/1000000</f>
        <v>100.89864010884912</v>
      </c>
      <c r="K60" s="47">
        <f>'01 Energy'!K17*EF_COAL_WP/1000000</f>
        <v>0.18636157988424149</v>
      </c>
      <c r="L60" s="47">
        <f>'01 Energy'!L17*EF_OIL_WP/1000000</f>
        <v>22.136645807755766</v>
      </c>
      <c r="M60" s="87">
        <f>'01 Energy'!M17*EF_WASTE/1000000</f>
        <v>13.998032129496462</v>
      </c>
      <c r="N60" s="49">
        <f t="shared" si="8"/>
        <v>358.4548262748775</v>
      </c>
      <c r="O60" s="86">
        <f t="shared" si="9"/>
        <v>0.32236233460341035</v>
      </c>
      <c r="P60" s="86">
        <f t="shared" si="9"/>
        <v>0</v>
      </c>
      <c r="Q60" s="86">
        <f t="shared" si="9"/>
        <v>0.6141982148196785</v>
      </c>
      <c r="R60" s="86">
        <f t="shared" si="9"/>
        <v>19.319107604365023</v>
      </c>
      <c r="S60" s="86">
        <f t="shared" si="9"/>
        <v>365.97231825713857</v>
      </c>
      <c r="T60" s="82">
        <f t="shared" si="11"/>
        <v>386.2279864109267</v>
      </c>
      <c r="U60" s="88">
        <f t="shared" si="10"/>
        <v>1251.404316994214</v>
      </c>
    </row>
    <row r="61" spans="2:21" ht="12.75" hidden="1">
      <c r="B61" s="75" t="s">
        <v>56</v>
      </c>
      <c r="C61" s="46">
        <f>'01 Energy'!C18*EF_ELEC/1000000</f>
        <v>156.185406147533</v>
      </c>
      <c r="D61" s="47">
        <f>'01 Energy'!D18*EF_GAS/1000000</f>
        <v>193.66621660478856</v>
      </c>
      <c r="E61" s="47">
        <f>'01 Energy'!E18*EF_COAL_DOM/1000000</f>
        <v>1.5161538329518416</v>
      </c>
      <c r="F61" s="47">
        <f>'01 Energy'!F18*EF_OIL_DOM/1000000</f>
        <v>1.160957317866063</v>
      </c>
      <c r="G61" s="49">
        <f t="shared" si="7"/>
        <v>352.5287339031394</v>
      </c>
      <c r="H61" s="47">
        <f>'01 Energy'!H18*EF_ELEC/1000000</f>
        <v>201.72253061125986</v>
      </c>
      <c r="I61" s="47">
        <f>'01 Energy'!I18*EF_ELEC/1000000</f>
        <v>188.76085520149962</v>
      </c>
      <c r="J61" s="47">
        <f>'01 Energy'!J18*EF_GAS/1000000</f>
        <v>172.15510146739172</v>
      </c>
      <c r="K61" s="47">
        <f>'01 Energy'!K18*EF_COAL_WP/1000000</f>
        <v>0.09834554469709278</v>
      </c>
      <c r="L61" s="47">
        <f>'01 Energy'!L18*EF_OIL_WP/1000000</f>
        <v>11.144858435361684</v>
      </c>
      <c r="M61" s="87">
        <f>'01 Energy'!M18*EF_WASTE/1000000</f>
        <v>5.454336261375688</v>
      </c>
      <c r="N61" s="49">
        <f t="shared" si="8"/>
        <v>377.61349691032586</v>
      </c>
      <c r="O61" s="86">
        <f aca="true" t="shared" si="12" ref="O61:S70">O18</f>
        <v>6.612406206068586</v>
      </c>
      <c r="P61" s="86">
        <f t="shared" si="12"/>
        <v>4.236300108494937</v>
      </c>
      <c r="Q61" s="86">
        <f t="shared" si="12"/>
        <v>0.626263084109868</v>
      </c>
      <c r="R61" s="86">
        <f t="shared" si="12"/>
        <v>14.219644981598893</v>
      </c>
      <c r="S61" s="86">
        <f t="shared" si="12"/>
        <v>221.35500214989654</v>
      </c>
      <c r="T61" s="82">
        <f t="shared" si="11"/>
        <v>247.0496165301688</v>
      </c>
      <c r="U61" s="88">
        <f t="shared" si="10"/>
        <v>977.1918473436341</v>
      </c>
    </row>
    <row r="62" spans="2:21" ht="12.75" hidden="1">
      <c r="B62" s="75" t="s">
        <v>57</v>
      </c>
      <c r="C62" s="46">
        <f>'01 Energy'!C19*EF_ELEC/1000000</f>
        <v>144.938936401994</v>
      </c>
      <c r="D62" s="47">
        <f>'01 Energy'!D19*EF_GAS/1000000</f>
        <v>186.46028428700586</v>
      </c>
      <c r="E62" s="47">
        <f>'01 Energy'!E19*EF_COAL_DOM/1000000</f>
        <v>0.5962025223446373</v>
      </c>
      <c r="F62" s="47">
        <f>'01 Energy'!F19*EF_OIL_DOM/1000000</f>
        <v>0.7725183129756434</v>
      </c>
      <c r="G62" s="49">
        <f t="shared" si="7"/>
        <v>332.7679415243202</v>
      </c>
      <c r="H62" s="47">
        <f>'01 Energy'!H19*EF_ELEC/1000000</f>
        <v>284.47013502757204</v>
      </c>
      <c r="I62" s="47">
        <f>'01 Energy'!I19*EF_ELEC/1000000</f>
        <v>274.64611475483315</v>
      </c>
      <c r="J62" s="47">
        <f>'01 Energy'!J19*EF_GAS/1000000</f>
        <v>59.61633976975015</v>
      </c>
      <c r="K62" s="47">
        <f>'01 Energy'!K19*EF_COAL_WP/1000000</f>
        <v>0.02704327497506883</v>
      </c>
      <c r="L62" s="47">
        <f>'01 Energy'!L19*EF_OIL_WP/1000000</f>
        <v>4.1897019261066415</v>
      </c>
      <c r="M62" s="87">
        <f>'01 Energy'!M19*EF_WASTE/1000000</f>
        <v>2.035025355552118</v>
      </c>
      <c r="N62" s="49">
        <f t="shared" si="8"/>
        <v>340.51422508121715</v>
      </c>
      <c r="O62" s="86">
        <f t="shared" si="12"/>
        <v>0.11634028604589602</v>
      </c>
      <c r="P62" s="86">
        <f t="shared" si="12"/>
        <v>0</v>
      </c>
      <c r="Q62" s="86">
        <f t="shared" si="12"/>
        <v>0.867219150860087</v>
      </c>
      <c r="R62" s="86">
        <f t="shared" si="12"/>
        <v>10.777470979190493</v>
      </c>
      <c r="S62" s="86">
        <f t="shared" si="12"/>
        <v>124.2997374196212</v>
      </c>
      <c r="T62" s="82">
        <f t="shared" si="11"/>
        <v>136.06076783571768</v>
      </c>
      <c r="U62" s="88">
        <f t="shared" si="10"/>
        <v>809.342934441255</v>
      </c>
    </row>
    <row r="63" spans="2:21" ht="12.75" hidden="1">
      <c r="B63" s="75" t="s">
        <v>58</v>
      </c>
      <c r="C63" s="46">
        <f>'01 Energy'!C20*EF_ELEC/1000000</f>
        <v>119.72906225956899</v>
      </c>
      <c r="D63" s="47">
        <f>'01 Energy'!D20*EF_GAS/1000000</f>
        <v>169.3130331020383</v>
      </c>
      <c r="E63" s="47">
        <f>'01 Energy'!E20*EF_COAL_DOM/1000000</f>
        <v>0.5782930329171027</v>
      </c>
      <c r="F63" s="47">
        <f>'01 Energy'!F20*EF_OIL_DOM/1000000</f>
        <v>0.9336450652670113</v>
      </c>
      <c r="G63" s="49">
        <f t="shared" si="7"/>
        <v>290.55403345979136</v>
      </c>
      <c r="H63" s="47">
        <f>'01 Energy'!H20*EF_ELEC/1000000</f>
        <v>272.6767140002735</v>
      </c>
      <c r="I63" s="47">
        <f>'01 Energy'!I20*EF_ELEC/1000000</f>
        <v>254.0273911102053</v>
      </c>
      <c r="J63" s="47">
        <f>'01 Energy'!J20*EF_GAS/1000000</f>
        <v>97.73520832744302</v>
      </c>
      <c r="K63" s="47">
        <f>'01 Energy'!K20*EF_COAL_WP/1000000</f>
        <v>0</v>
      </c>
      <c r="L63" s="47">
        <f>'01 Energy'!L20*EF_OIL_WP/1000000</f>
        <v>10.163154966520594</v>
      </c>
      <c r="M63" s="87">
        <f>'01 Energy'!M20*EF_WASTE/1000000</f>
        <v>2.128496596497713</v>
      </c>
      <c r="N63" s="49">
        <f t="shared" si="8"/>
        <v>364.0542510006666</v>
      </c>
      <c r="O63" s="86">
        <f t="shared" si="12"/>
        <v>15.09911274100794</v>
      </c>
      <c r="P63" s="86">
        <f t="shared" si="12"/>
        <v>0.08050976106473773</v>
      </c>
      <c r="Q63" s="86">
        <f t="shared" si="12"/>
        <v>2.8844800592592614</v>
      </c>
      <c r="R63" s="86">
        <f t="shared" si="12"/>
        <v>20.45929575155757</v>
      </c>
      <c r="S63" s="86">
        <f t="shared" si="12"/>
        <v>115.52788271990383</v>
      </c>
      <c r="T63" s="82">
        <f t="shared" si="11"/>
        <v>154.05128103279333</v>
      </c>
      <c r="U63" s="88">
        <f t="shared" si="10"/>
        <v>808.6595654932513</v>
      </c>
    </row>
    <row r="64" spans="2:21" ht="12.75" hidden="1">
      <c r="B64" s="75" t="s">
        <v>59</v>
      </c>
      <c r="C64" s="46">
        <f>'01 Energy'!C21*EF_ELEC/1000000</f>
        <v>152.282906378169</v>
      </c>
      <c r="D64" s="47">
        <f>'01 Energy'!D21*EF_GAS/1000000</f>
        <v>241.2427034610179</v>
      </c>
      <c r="E64" s="47">
        <f>'01 Energy'!E21*EF_COAL_DOM/1000000</f>
        <v>1.1597475450966006</v>
      </c>
      <c r="F64" s="47">
        <f>'01 Energy'!F21*EF_OIL_DOM/1000000</f>
        <v>0.7758236974190834</v>
      </c>
      <c r="G64" s="49">
        <f t="shared" si="7"/>
        <v>395.4611810817026</v>
      </c>
      <c r="H64" s="47">
        <f>'01 Energy'!H21*EF_ELEC/1000000</f>
        <v>163.46213936035056</v>
      </c>
      <c r="I64" s="47">
        <f>'01 Energy'!I21*EF_ELEC/1000000</f>
        <v>138.55139911435168</v>
      </c>
      <c r="J64" s="47">
        <f>'01 Energy'!J21*EF_GAS/1000000</f>
        <v>59.69465769182539</v>
      </c>
      <c r="K64" s="47">
        <f>'01 Energy'!K21*EF_COAL_WP/1000000</f>
        <v>1.4272466800271064</v>
      </c>
      <c r="L64" s="47">
        <f>'01 Energy'!L21*EF_OIL_WP/1000000</f>
        <v>6.596070743056626</v>
      </c>
      <c r="M64" s="87">
        <f>'01 Energy'!M21*EF_WASTE/1000000</f>
        <v>4.199725647378516</v>
      </c>
      <c r="N64" s="49">
        <f t="shared" si="8"/>
        <v>210.46909987663935</v>
      </c>
      <c r="O64" s="86">
        <f t="shared" si="12"/>
        <v>0</v>
      </c>
      <c r="P64" s="86">
        <f t="shared" si="12"/>
        <v>0</v>
      </c>
      <c r="Q64" s="86">
        <f t="shared" si="12"/>
        <v>2.4745900002099885</v>
      </c>
      <c r="R64" s="86">
        <f t="shared" si="12"/>
        <v>27.32840248878632</v>
      </c>
      <c r="S64" s="86">
        <f t="shared" si="12"/>
        <v>136.99339016531744</v>
      </c>
      <c r="T64" s="82">
        <f t="shared" si="11"/>
        <v>166.79638265431373</v>
      </c>
      <c r="U64" s="88">
        <f t="shared" si="10"/>
        <v>772.7266636126556</v>
      </c>
    </row>
    <row r="65" spans="2:21" ht="12.75" hidden="1">
      <c r="B65" s="75" t="s">
        <v>60</v>
      </c>
      <c r="C65" s="46">
        <f>'01 Energy'!C22*EF_ELEC/1000000</f>
        <v>148.068094493543</v>
      </c>
      <c r="D65" s="47">
        <f>'01 Energy'!D22*EF_GAS/1000000</f>
        <v>270.8300964268496</v>
      </c>
      <c r="E65" s="47">
        <f>'01 Energy'!E22*EF_COAL_DOM/1000000</f>
        <v>1.128559853617053</v>
      </c>
      <c r="F65" s="47">
        <f>'01 Energy'!F22*EF_OIL_DOM/1000000</f>
        <v>1.3295080943052344</v>
      </c>
      <c r="G65" s="49">
        <f t="shared" si="7"/>
        <v>421.3562588683149</v>
      </c>
      <c r="H65" s="47">
        <f>'01 Energy'!H22*EF_ELEC/1000000</f>
        <v>133.79722445189</v>
      </c>
      <c r="I65" s="47">
        <f>'01 Energy'!I22*EF_ELEC/1000000</f>
        <v>115.2186896871514</v>
      </c>
      <c r="J65" s="47">
        <f>'01 Energy'!J22*EF_GAS/1000000</f>
        <v>69.93378774315747</v>
      </c>
      <c r="K65" s="47">
        <f>'01 Energy'!K22*EF_COAL_WP/1000000</f>
        <v>0.16368122755622733</v>
      </c>
      <c r="L65" s="47">
        <f>'01 Energy'!L22*EF_OIL_WP/1000000</f>
        <v>5.569004594173329</v>
      </c>
      <c r="M65" s="87">
        <f>'01 Energy'!M22*EF_WASTE/1000000</f>
        <v>4.0790783436656906</v>
      </c>
      <c r="N65" s="49">
        <f t="shared" si="8"/>
        <v>194.9642415957041</v>
      </c>
      <c r="O65" s="86">
        <f t="shared" si="12"/>
        <v>0.23930013649122436</v>
      </c>
      <c r="P65" s="86">
        <f t="shared" si="12"/>
        <v>0</v>
      </c>
      <c r="Q65" s="86">
        <f t="shared" si="12"/>
        <v>3.7267869092023096</v>
      </c>
      <c r="R65" s="86">
        <f t="shared" si="12"/>
        <v>20.38163742581816</v>
      </c>
      <c r="S65" s="86">
        <f t="shared" si="12"/>
        <v>142.08074025364692</v>
      </c>
      <c r="T65" s="82">
        <f t="shared" si="11"/>
        <v>166.42846472515862</v>
      </c>
      <c r="U65" s="88">
        <f t="shared" si="10"/>
        <v>782.7489651891776</v>
      </c>
    </row>
    <row r="66" spans="2:21" ht="12.75" hidden="1">
      <c r="B66" s="75" t="s">
        <v>61</v>
      </c>
      <c r="C66" s="46">
        <f>'01 Energy'!C23*EF_ELEC/1000000</f>
        <v>171.56924255501102</v>
      </c>
      <c r="D66" s="47">
        <f>'01 Energy'!D23*EF_GAS/1000000</f>
        <v>255.25077143881694</v>
      </c>
      <c r="E66" s="47">
        <f>'01 Energy'!E23*EF_COAL_DOM/1000000</f>
        <v>1.9127863933952287</v>
      </c>
      <c r="F66" s="47">
        <f>'01 Energy'!F23*EF_OIL_DOM/1000000</f>
        <v>1.8785088450938017</v>
      </c>
      <c r="G66" s="49">
        <f t="shared" si="7"/>
        <v>430.61130923231696</v>
      </c>
      <c r="H66" s="47">
        <f>'01 Energy'!H23*EF_ELEC/1000000</f>
        <v>166.4026495902316</v>
      </c>
      <c r="I66" s="47">
        <f>'01 Energy'!I23*EF_ELEC/1000000</f>
        <v>147.77064874153257</v>
      </c>
      <c r="J66" s="47">
        <f>'01 Energy'!J23*EF_GAS/1000000</f>
        <v>41.717478079306794</v>
      </c>
      <c r="K66" s="47">
        <f>'01 Energy'!K23*EF_COAL_WP/1000000</f>
        <v>0.20762882707426364</v>
      </c>
      <c r="L66" s="47">
        <f>'01 Energy'!L23*EF_OIL_WP/1000000</f>
        <v>12.739931270038383</v>
      </c>
      <c r="M66" s="87">
        <f>'01 Energy'!M23*EF_WASTE/1000000</f>
        <v>6.136841569287227</v>
      </c>
      <c r="N66" s="49">
        <f t="shared" si="8"/>
        <v>208.57252848723923</v>
      </c>
      <c r="O66" s="86">
        <f t="shared" si="12"/>
        <v>2.9294376968717653</v>
      </c>
      <c r="P66" s="86">
        <f t="shared" si="12"/>
        <v>0.43816638348248654</v>
      </c>
      <c r="Q66" s="86">
        <f t="shared" si="12"/>
        <v>2.0764920643560427</v>
      </c>
      <c r="R66" s="86">
        <f t="shared" si="12"/>
        <v>20.440292553989426</v>
      </c>
      <c r="S66" s="86">
        <f t="shared" si="12"/>
        <v>354.14993573937915</v>
      </c>
      <c r="T66" s="82">
        <f t="shared" si="11"/>
        <v>380.03432443807884</v>
      </c>
      <c r="U66" s="88">
        <f t="shared" si="10"/>
        <v>1019.2181621576351</v>
      </c>
    </row>
    <row r="67" spans="2:21" ht="12.75" hidden="1">
      <c r="B67" s="75" t="s">
        <v>62</v>
      </c>
      <c r="C67" s="46">
        <f>'01 Energy'!C24*EF_ELEC/1000000</f>
        <v>179.47717747877397</v>
      </c>
      <c r="D67" s="47">
        <f>'01 Energy'!D24*EF_GAS/1000000</f>
        <v>274.10977085417704</v>
      </c>
      <c r="E67" s="47">
        <f>'01 Energy'!E24*EF_COAL_DOM/1000000</f>
        <v>1.580888141424143</v>
      </c>
      <c r="F67" s="47">
        <f>'01 Energy'!F24*EF_OIL_DOM/1000000</f>
        <v>2.2600078937341572</v>
      </c>
      <c r="G67" s="49">
        <f t="shared" si="7"/>
        <v>457.42784436810933</v>
      </c>
      <c r="H67" s="47">
        <f>'01 Energy'!H24*EF_ELEC/1000000</f>
        <v>483.6556998337444</v>
      </c>
      <c r="I67" s="47">
        <f>'01 Energy'!I24*EF_ELEC/1000000</f>
        <v>462.29543901823604</v>
      </c>
      <c r="J67" s="47">
        <f>'01 Energy'!J24*EF_GAS/1000000</f>
        <v>156.56501034336858</v>
      </c>
      <c r="K67" s="47">
        <f>'01 Energy'!K24*EF_COAL_WP/1000000</f>
        <v>0.5087126499706631</v>
      </c>
      <c r="L67" s="47">
        <f>'01 Energy'!L24*EF_OIL_WP/1000000</f>
        <v>116.95402088838729</v>
      </c>
      <c r="M67" s="87">
        <f>'01 Energy'!M24*EF_WASTE/1000000</f>
        <v>46.56856529779592</v>
      </c>
      <c r="N67" s="49">
        <f t="shared" si="8"/>
        <v>782.8917481977585</v>
      </c>
      <c r="O67" s="86">
        <f t="shared" si="12"/>
        <v>674.7452069495783</v>
      </c>
      <c r="P67" s="86">
        <f t="shared" si="12"/>
        <v>0</v>
      </c>
      <c r="Q67" s="86">
        <f t="shared" si="12"/>
        <v>11.484646119881472</v>
      </c>
      <c r="R67" s="86">
        <f t="shared" si="12"/>
        <v>23.433338353942403</v>
      </c>
      <c r="S67" s="86">
        <f t="shared" si="12"/>
        <v>422.9905298206945</v>
      </c>
      <c r="T67" s="82">
        <f t="shared" si="11"/>
        <v>1132.6537212440967</v>
      </c>
      <c r="U67" s="88">
        <f t="shared" si="10"/>
        <v>2372.9733138099646</v>
      </c>
    </row>
    <row r="68" spans="2:21" ht="12.75" hidden="1">
      <c r="B68" s="75" t="s">
        <v>63</v>
      </c>
      <c r="C68" s="46">
        <f>'01 Energy'!C25*EF_ELEC/1000000</f>
        <v>159.56791170824</v>
      </c>
      <c r="D68" s="47">
        <f>'01 Energy'!D25*EF_GAS/1000000</f>
        <v>199.8521326004528</v>
      </c>
      <c r="E68" s="47">
        <f>'01 Energy'!E25*EF_COAL_DOM/1000000</f>
        <v>1.3265315253715133</v>
      </c>
      <c r="F68" s="47">
        <f>'01 Energy'!F25*EF_OIL_DOM/1000000</f>
        <v>1.756576649192392</v>
      </c>
      <c r="G68" s="49">
        <f t="shared" si="7"/>
        <v>362.5031524832567</v>
      </c>
      <c r="H68" s="47">
        <f>'01 Energy'!H25*EF_ELEC/1000000</f>
        <v>417.3390491464159</v>
      </c>
      <c r="I68" s="47">
        <f>'01 Energy'!I25*EF_ELEC/1000000</f>
        <v>399.9495379217737</v>
      </c>
      <c r="J68" s="47">
        <f>'01 Energy'!J25*EF_GAS/1000000</f>
        <v>106.48031943025211</v>
      </c>
      <c r="K68" s="47">
        <f>'01 Energy'!K25*EF_COAL_WP/1000000</f>
        <v>0.05108174161957446</v>
      </c>
      <c r="L68" s="47">
        <f>'01 Energy'!L25*EF_OIL_WP/1000000</f>
        <v>18.892123567393853</v>
      </c>
      <c r="M68" s="87">
        <f>'01 Energy'!M25*EF_WASTE/1000000</f>
        <v>8.515404055431757</v>
      </c>
      <c r="N68" s="49">
        <f t="shared" si="8"/>
        <v>533.8884667164709</v>
      </c>
      <c r="O68" s="86">
        <f t="shared" si="12"/>
        <v>105.48944574399415</v>
      </c>
      <c r="P68" s="86">
        <f t="shared" si="12"/>
        <v>0.09825246436120093</v>
      </c>
      <c r="Q68" s="86">
        <f t="shared" si="12"/>
        <v>0.3924462608093811</v>
      </c>
      <c r="R68" s="86">
        <f t="shared" si="12"/>
        <v>19.077215575985147</v>
      </c>
      <c r="S68" s="86">
        <f t="shared" si="12"/>
        <v>297.46864997429435</v>
      </c>
      <c r="T68" s="82">
        <f t="shared" si="11"/>
        <v>422.52601001944424</v>
      </c>
      <c r="U68" s="88">
        <f t="shared" si="10"/>
        <v>1318.9176292191719</v>
      </c>
    </row>
    <row r="69" spans="2:21" ht="12.75" hidden="1">
      <c r="B69" s="75" t="s">
        <v>64</v>
      </c>
      <c r="C69" s="46">
        <f>'01 Energy'!C26*EF_ELEC/1000000</f>
        <v>133.347328816317</v>
      </c>
      <c r="D69" s="47">
        <f>'01 Energy'!D26*EF_GAS/1000000</f>
        <v>172.86874082838565</v>
      </c>
      <c r="E69" s="47">
        <f>'01 Energy'!E26*EF_COAL_DOM/1000000</f>
        <v>0.42930043424827985</v>
      </c>
      <c r="F69" s="47">
        <f>'01 Energy'!F26*EF_OIL_DOM/1000000</f>
        <v>0.8096240234663132</v>
      </c>
      <c r="G69" s="49">
        <f t="shared" si="7"/>
        <v>307.45499410241723</v>
      </c>
      <c r="H69" s="47">
        <f>'01 Energy'!H26*EF_ELEC/1000000</f>
        <v>342.8435245028009</v>
      </c>
      <c r="I69" s="47">
        <f>'01 Energy'!I26*EF_ELEC/1000000</f>
        <v>320.4553993415699</v>
      </c>
      <c r="J69" s="47">
        <f>'01 Energy'!J26*EF_GAS/1000000</f>
        <v>118.507899179089</v>
      </c>
      <c r="K69" s="47">
        <f>'01 Energy'!K26*EF_COAL_WP/1000000</f>
        <v>0.015024041652816017</v>
      </c>
      <c r="L69" s="47">
        <f>'01 Energy'!L26*EF_OIL_WP/1000000</f>
        <v>8.733431341278926</v>
      </c>
      <c r="M69" s="87">
        <f>'01 Energy'!M26*EF_WASTE/1000000</f>
        <v>1.4982536605394374</v>
      </c>
      <c r="N69" s="49">
        <f t="shared" si="8"/>
        <v>449.21000756413</v>
      </c>
      <c r="O69" s="86">
        <f t="shared" si="12"/>
        <v>0</v>
      </c>
      <c r="P69" s="86">
        <f t="shared" si="12"/>
        <v>0</v>
      </c>
      <c r="Q69" s="86">
        <f t="shared" si="12"/>
        <v>1.820358665113667</v>
      </c>
      <c r="R69" s="86">
        <f t="shared" si="12"/>
        <v>24.56096002501238</v>
      </c>
      <c r="S69" s="86">
        <f t="shared" si="12"/>
        <v>102.28281516447424</v>
      </c>
      <c r="T69" s="82">
        <f t="shared" si="11"/>
        <v>128.6641338546003</v>
      </c>
      <c r="U69" s="88">
        <f t="shared" si="10"/>
        <v>885.3291355211476</v>
      </c>
    </row>
    <row r="70" spans="2:21" ht="12.75" hidden="1">
      <c r="B70" s="75" t="s">
        <v>65</v>
      </c>
      <c r="C70" s="46">
        <f>'01 Energy'!C27*EF_ELEC/1000000</f>
        <v>156.67381439970399</v>
      </c>
      <c r="D70" s="47">
        <f>'01 Energy'!D27*EF_GAS/1000000</f>
        <v>169.08038577380083</v>
      </c>
      <c r="E70" s="47">
        <f>'01 Energy'!E27*EF_COAL_DOM/1000000</f>
        <v>0.35032908983482636</v>
      </c>
      <c r="F70" s="47">
        <f>'01 Energy'!F27*EF_OIL_DOM/1000000</f>
        <v>2.065866873788811</v>
      </c>
      <c r="G70" s="49">
        <f t="shared" si="7"/>
        <v>328.1703961371285</v>
      </c>
      <c r="H70" s="47">
        <f>'01 Energy'!H27*EF_ELEC/1000000</f>
        <v>524.9794127771955</v>
      </c>
      <c r="I70" s="47">
        <f>'01 Energy'!I27*EF_ELEC/1000000</f>
        <v>501.6316434989042</v>
      </c>
      <c r="J70" s="47">
        <f>'01 Energy'!J27*EF_GAS/1000000</f>
        <v>176.48356196344358</v>
      </c>
      <c r="K70" s="47">
        <f>'01 Energy'!K27*EF_COAL_WP/1000000</f>
        <v>0.009014424991689609</v>
      </c>
      <c r="L70" s="47">
        <f>'01 Energy'!L27*EF_OIL_WP/1000000</f>
        <v>1.9100545143212164</v>
      </c>
      <c r="M70" s="87">
        <f>'01 Energy'!M27*EF_WASTE/1000000</f>
        <v>1.194517157763634</v>
      </c>
      <c r="N70" s="49">
        <f t="shared" si="8"/>
        <v>681.2287915594244</v>
      </c>
      <c r="O70" s="86">
        <f t="shared" si="12"/>
        <v>1.909301506780963</v>
      </c>
      <c r="P70" s="86">
        <f t="shared" si="12"/>
        <v>0.015149973977348866</v>
      </c>
      <c r="Q70" s="86">
        <f t="shared" si="12"/>
        <v>2.16433385353989</v>
      </c>
      <c r="R70" s="86">
        <f t="shared" si="12"/>
        <v>25.61374048910288</v>
      </c>
      <c r="S70" s="86">
        <f t="shared" si="12"/>
        <v>121.17593675992848</v>
      </c>
      <c r="T70" s="82">
        <f t="shared" si="11"/>
        <v>150.87846258332956</v>
      </c>
      <c r="U70" s="88">
        <f t="shared" si="10"/>
        <v>1160.2776502798824</v>
      </c>
    </row>
    <row r="71" spans="2:21" ht="12.75" hidden="1">
      <c r="B71" s="75" t="s">
        <v>99</v>
      </c>
      <c r="C71" s="46">
        <f>'01 Energy'!C28*EF_ELEC/1000000</f>
        <v>112.152896196789</v>
      </c>
      <c r="D71" s="47">
        <f>'01 Energy'!D28*EF_GAS/1000000</f>
        <v>153.6348119881938</v>
      </c>
      <c r="E71" s="47">
        <f>'01 Energy'!E28*EF_COAL_DOM/1000000</f>
        <v>0.9170931241409135</v>
      </c>
      <c r="F71" s="47">
        <f>'01 Energy'!F28*EF_OIL_DOM/1000000</f>
        <v>0.8312287613325521</v>
      </c>
      <c r="G71" s="49">
        <f t="shared" si="7"/>
        <v>267.5360300704563</v>
      </c>
      <c r="H71" s="47">
        <f>'01 Energy'!H28*EF_ELEC/1000000</f>
        <v>147.3623246227672</v>
      </c>
      <c r="I71" s="47">
        <f>'01 Energy'!I28*EF_ELEC/1000000</f>
        <v>140.2887846667986</v>
      </c>
      <c r="J71" s="47">
        <f>'01 Energy'!J28*EF_GAS/1000000</f>
        <v>40.838132968581284</v>
      </c>
      <c r="K71" s="47">
        <f>'01 Energy'!K28*EF_COAL_WP/1000000</f>
        <v>0.006009616661126407</v>
      </c>
      <c r="L71" s="47">
        <f>'01 Energy'!L28*EF_OIL_WP/1000000</f>
        <v>9.796809284854438</v>
      </c>
      <c r="M71" s="87">
        <f>'01 Energy'!M28*EF_WASTE/1000000</f>
        <v>3.160765854540179</v>
      </c>
      <c r="N71" s="49">
        <f t="shared" si="8"/>
        <v>194.09050239143562</v>
      </c>
      <c r="O71" s="86">
        <f aca="true" t="shared" si="13" ref="O71:S80">O28</f>
        <v>0</v>
      </c>
      <c r="P71" s="86">
        <f t="shared" si="13"/>
        <v>0.03629690413702491</v>
      </c>
      <c r="Q71" s="86">
        <f t="shared" si="13"/>
        <v>0.575971582112088</v>
      </c>
      <c r="R71" s="86">
        <f t="shared" si="13"/>
        <v>7.760048277500356</v>
      </c>
      <c r="S71" s="86">
        <f t="shared" si="13"/>
        <v>162.87531204028664</v>
      </c>
      <c r="T71" s="82">
        <f t="shared" si="11"/>
        <v>171.2476288040361</v>
      </c>
      <c r="U71" s="88">
        <f t="shared" si="10"/>
        <v>632.874161265928</v>
      </c>
    </row>
    <row r="72" spans="2:21" ht="12.75" hidden="1">
      <c r="B72" s="75" t="s">
        <v>67</v>
      </c>
      <c r="C72" s="46">
        <f>'01 Energy'!C29*EF_ELEC/1000000</f>
        <v>184.158963506847</v>
      </c>
      <c r="D72" s="47">
        <f>'01 Energy'!D29*EF_GAS/1000000</f>
        <v>237.8839354584006</v>
      </c>
      <c r="E72" s="47">
        <f>'01 Energy'!E29*EF_COAL_DOM/1000000</f>
        <v>1.045958150959775</v>
      </c>
      <c r="F72" s="47">
        <f>'01 Energy'!F29*EF_OIL_DOM/1000000</f>
        <v>1.5332997431737245</v>
      </c>
      <c r="G72" s="49">
        <f t="shared" si="7"/>
        <v>424.62215685938105</v>
      </c>
      <c r="H72" s="47">
        <f>'01 Energy'!H29*EF_ELEC/1000000</f>
        <v>298.77442056521886</v>
      </c>
      <c r="I72" s="47">
        <f>'01 Energy'!I29*EF_ELEC/1000000</f>
        <v>253.73100648429585</v>
      </c>
      <c r="J72" s="47">
        <f>'01 Energy'!J29*EF_GAS/1000000</f>
        <v>132.99964499734625</v>
      </c>
      <c r="K72" s="47">
        <f>'01 Energy'!K29*EF_COAL_WP/1000000</f>
        <v>0</v>
      </c>
      <c r="L72" s="47">
        <f>'01 Energy'!L29*EF_OIL_WP/1000000</f>
        <v>2.6881639459937996</v>
      </c>
      <c r="M72" s="87">
        <f>'01 Energy'!M29*EF_WASTE/1000000</f>
        <v>3.7495698587586053</v>
      </c>
      <c r="N72" s="49">
        <f t="shared" si="8"/>
        <v>393.1683852863945</v>
      </c>
      <c r="O72" s="86">
        <f t="shared" si="13"/>
        <v>0</v>
      </c>
      <c r="P72" s="86">
        <f t="shared" si="13"/>
        <v>1.181241393519847</v>
      </c>
      <c r="Q72" s="86">
        <f t="shared" si="13"/>
        <v>0.9589840262259857</v>
      </c>
      <c r="R72" s="86">
        <f t="shared" si="13"/>
        <v>49.41501285455559</v>
      </c>
      <c r="S72" s="86">
        <f t="shared" si="13"/>
        <v>168.44430190400504</v>
      </c>
      <c r="T72" s="82">
        <f t="shared" si="11"/>
        <v>219.99954017830646</v>
      </c>
      <c r="U72" s="88">
        <f t="shared" si="10"/>
        <v>1037.790082324082</v>
      </c>
    </row>
    <row r="73" spans="2:21" ht="12.75" hidden="1">
      <c r="B73" s="75" t="s">
        <v>68</v>
      </c>
      <c r="C73" s="46">
        <f>'01 Energy'!C30*EF_ELEC/1000000</f>
        <v>173.16163883748098</v>
      </c>
      <c r="D73" s="47">
        <f>'01 Energy'!D30*EF_GAS/1000000</f>
        <v>226.51923539865544</v>
      </c>
      <c r="E73" s="47">
        <f>'01 Energy'!E30*EF_COAL_DOM/1000000</f>
        <v>1.634279316793636</v>
      </c>
      <c r="F73" s="47">
        <f>'01 Energy'!F30*EF_OIL_DOM/1000000</f>
        <v>1.012047949547032</v>
      </c>
      <c r="G73" s="49">
        <f t="shared" si="7"/>
        <v>402.3272015024771</v>
      </c>
      <c r="H73" s="47">
        <f>'01 Energy'!H30*EF_ELEC/1000000</f>
        <v>141.26746724609518</v>
      </c>
      <c r="I73" s="47">
        <f>'01 Energy'!I30*EF_ELEC/1000000</f>
        <v>120.88509299776828</v>
      </c>
      <c r="J73" s="47">
        <f>'01 Energy'!J30*EF_GAS/1000000</f>
        <v>45.61097878008344</v>
      </c>
      <c r="K73" s="47">
        <f>'01 Energy'!K30*EF_COAL_WP/1000000</f>
        <v>0</v>
      </c>
      <c r="L73" s="47">
        <f>'01 Energy'!L30*EF_OIL_WP/1000000</f>
        <v>2.424168975632605</v>
      </c>
      <c r="M73" s="87">
        <f>'01 Energy'!M30*EF_WASTE/1000000</f>
        <v>5.8792824944402975</v>
      </c>
      <c r="N73" s="49">
        <f t="shared" si="8"/>
        <v>174.79952324792464</v>
      </c>
      <c r="O73" s="86">
        <f t="shared" si="13"/>
        <v>0.00939393614035185</v>
      </c>
      <c r="P73" s="86">
        <f t="shared" si="13"/>
        <v>0.0015888499151990485</v>
      </c>
      <c r="Q73" s="86">
        <f t="shared" si="13"/>
        <v>1.4080461977603316</v>
      </c>
      <c r="R73" s="86">
        <f t="shared" si="13"/>
        <v>22.360544955094973</v>
      </c>
      <c r="S73" s="86">
        <f t="shared" si="13"/>
        <v>156.61578967011644</v>
      </c>
      <c r="T73" s="82">
        <f t="shared" si="11"/>
        <v>180.3953636090273</v>
      </c>
      <c r="U73" s="88">
        <f t="shared" si="10"/>
        <v>757.5220883594291</v>
      </c>
    </row>
    <row r="74" spans="2:21" ht="12.75" hidden="1">
      <c r="B74" s="75" t="s">
        <v>69</v>
      </c>
      <c r="C74" s="46">
        <f>'01 Energy'!C31*EF_ELEC/1000000</f>
        <v>133.056611320262</v>
      </c>
      <c r="D74" s="47">
        <f>'01 Energy'!D31*EF_GAS/1000000</f>
        <v>182.76893906483377</v>
      </c>
      <c r="E74" s="47">
        <f>'01 Energy'!E31*EF_COAL_DOM/1000000</f>
        <v>1.50192864600776</v>
      </c>
      <c r="F74" s="47">
        <f>'01 Energy'!F31*EF_OIL_DOM/1000000</f>
        <v>1.0902438574645241</v>
      </c>
      <c r="G74" s="49">
        <f t="shared" si="7"/>
        <v>318.41772288856805</v>
      </c>
      <c r="H74" s="47">
        <f>'01 Energy'!H31*EF_ELEC/1000000</f>
        <v>159.04264875669352</v>
      </c>
      <c r="I74" s="47">
        <f>'01 Energy'!I31*EF_ELEC/1000000</f>
        <v>137.50937037959983</v>
      </c>
      <c r="J74" s="47">
        <f>'01 Energy'!J31*EF_GAS/1000000</f>
        <v>54.50032261593658</v>
      </c>
      <c r="K74" s="47">
        <f>'01 Energy'!K31*EF_COAL_WP/1000000</f>
        <v>0.007955744880853217</v>
      </c>
      <c r="L74" s="47">
        <f>'01 Energy'!L31*EF_OIL_WP/1000000</f>
        <v>7.225754741173423</v>
      </c>
      <c r="M74" s="87">
        <f>'01 Energy'!M31*EF_WASTE/1000000</f>
        <v>5.536701797435997</v>
      </c>
      <c r="N74" s="49">
        <f t="shared" si="8"/>
        <v>204.78010527902669</v>
      </c>
      <c r="O74" s="86">
        <f t="shared" si="13"/>
        <v>0</v>
      </c>
      <c r="P74" s="86">
        <f t="shared" si="13"/>
        <v>0</v>
      </c>
      <c r="Q74" s="86">
        <f t="shared" si="13"/>
        <v>0.7438109756223127</v>
      </c>
      <c r="R74" s="86">
        <f t="shared" si="13"/>
        <v>23.62314779011091</v>
      </c>
      <c r="S74" s="86">
        <f t="shared" si="13"/>
        <v>133.91059679840512</v>
      </c>
      <c r="T74" s="82">
        <f t="shared" si="11"/>
        <v>158.27755556413834</v>
      </c>
      <c r="U74" s="88">
        <f t="shared" si="10"/>
        <v>681.475383731733</v>
      </c>
    </row>
    <row r="75" spans="2:21" ht="12.75" hidden="1">
      <c r="B75" s="75" t="s">
        <v>70</v>
      </c>
      <c r="C75" s="46">
        <f>'01 Energy'!C32*EF_ELEC/1000000</f>
        <v>158.00397046534798</v>
      </c>
      <c r="D75" s="47">
        <f>'01 Energy'!D32*EF_GAS/1000000</f>
        <v>206.78754851976672</v>
      </c>
      <c r="E75" s="47">
        <f>'01 Energy'!E32*EF_COAL_DOM/1000000</f>
        <v>1.6854796250193689</v>
      </c>
      <c r="F75" s="47">
        <f>'01 Energy'!F32*EF_OIL_DOM/1000000</f>
        <v>0.46897811840660747</v>
      </c>
      <c r="G75" s="49">
        <f t="shared" si="7"/>
        <v>366.94597672854064</v>
      </c>
      <c r="H75" s="47">
        <f>'01 Energy'!H32*EF_ELEC/1000000</f>
        <v>443.3688673301103</v>
      </c>
      <c r="I75" s="47">
        <f>'01 Energy'!I32*EF_ELEC/1000000</f>
        <v>401.8253734656682</v>
      </c>
      <c r="J75" s="47">
        <f>'01 Energy'!J32*EF_GAS/1000000</f>
        <v>176.95834204501202</v>
      </c>
      <c r="K75" s="47">
        <f>'01 Energy'!K32*EF_COAL_WP/1000000</f>
        <v>0.7160170392767896</v>
      </c>
      <c r="L75" s="47">
        <f>'01 Energy'!L32*EF_OIL_WP/1000000</f>
        <v>31.501693070533737</v>
      </c>
      <c r="M75" s="87">
        <f>'01 Energy'!M32*EF_WASTE/1000000</f>
        <v>6.097643326240238</v>
      </c>
      <c r="N75" s="49">
        <f t="shared" si="8"/>
        <v>617.099068946731</v>
      </c>
      <c r="O75" s="86">
        <f t="shared" si="13"/>
        <v>37.94085385762103</v>
      </c>
      <c r="P75" s="86">
        <f t="shared" si="13"/>
        <v>1.4633248835998274</v>
      </c>
      <c r="Q75" s="86">
        <f t="shared" si="13"/>
        <v>2.4764570453984005</v>
      </c>
      <c r="R75" s="86">
        <f t="shared" si="13"/>
        <v>45.57541485746296</v>
      </c>
      <c r="S75" s="86">
        <f t="shared" si="13"/>
        <v>182.08206010294217</v>
      </c>
      <c r="T75" s="82">
        <f t="shared" si="11"/>
        <v>269.53811074702435</v>
      </c>
      <c r="U75" s="88">
        <f t="shared" si="10"/>
        <v>1253.583156422296</v>
      </c>
    </row>
    <row r="76" spans="2:21" ht="12.75" hidden="1">
      <c r="B76" s="75" t="s">
        <v>71</v>
      </c>
      <c r="C76" s="46">
        <f>'01 Energy'!C33*EF_ELEC/1000000</f>
        <v>170.271891981485</v>
      </c>
      <c r="D76" s="47">
        <f>'01 Energy'!D33*EF_GAS/1000000</f>
        <v>273.73943865687545</v>
      </c>
      <c r="E76" s="47">
        <f>'01 Energy'!E33*EF_COAL_DOM/1000000</f>
        <v>1.6327162607644956</v>
      </c>
      <c r="F76" s="47">
        <f>'01 Energy'!F33*EF_OIL_DOM/1000000</f>
        <v>1.1795632178656907</v>
      </c>
      <c r="G76" s="49">
        <f t="shared" si="7"/>
        <v>446.8236101169906</v>
      </c>
      <c r="H76" s="47">
        <f>'01 Energy'!H33*EF_ELEC/1000000</f>
        <v>134.51218153909957</v>
      </c>
      <c r="I76" s="47">
        <f>'01 Energy'!I33*EF_ELEC/1000000</f>
        <v>116.35562572878324</v>
      </c>
      <c r="J76" s="47">
        <f>'01 Energy'!J33*EF_GAS/1000000</f>
        <v>44.400739030052954</v>
      </c>
      <c r="K76" s="47">
        <f>'01 Energy'!K33*EF_COAL_WP/1000000</f>
        <v>0.0030048083305632034</v>
      </c>
      <c r="L76" s="47">
        <f>'01 Energy'!L33*EF_OIL_WP/1000000</f>
        <v>6.146376974704871</v>
      </c>
      <c r="M76" s="87">
        <f>'01 Energy'!M33*EF_WASTE/1000000</f>
        <v>5.875673392777369</v>
      </c>
      <c r="N76" s="49">
        <f t="shared" si="8"/>
        <v>172.781419934649</v>
      </c>
      <c r="O76" s="86">
        <f t="shared" si="13"/>
        <v>0.8452853805089114</v>
      </c>
      <c r="P76" s="86">
        <f t="shared" si="13"/>
        <v>0</v>
      </c>
      <c r="Q76" s="86">
        <f t="shared" si="13"/>
        <v>0.7354883484533605</v>
      </c>
      <c r="R76" s="86">
        <f t="shared" si="13"/>
        <v>19.91870414505784</v>
      </c>
      <c r="S76" s="86">
        <f t="shared" si="13"/>
        <v>259.5350872621517</v>
      </c>
      <c r="T76" s="82">
        <f t="shared" si="11"/>
        <v>281.0345651361718</v>
      </c>
      <c r="U76" s="88">
        <f t="shared" si="10"/>
        <v>900.6395951878114</v>
      </c>
    </row>
    <row r="77" spans="2:21" ht="12.75" hidden="1">
      <c r="B77" s="75" t="s">
        <v>72</v>
      </c>
      <c r="C77" s="46">
        <f>'01 Energy'!C34*EF_ELEC/1000000</f>
        <v>142.959673403764</v>
      </c>
      <c r="D77" s="47">
        <f>'01 Energy'!D34*EF_GAS/1000000</f>
        <v>206.79640764100714</v>
      </c>
      <c r="E77" s="47">
        <f>'01 Energy'!E34*EF_COAL_DOM/1000000</f>
        <v>1.149341194598145</v>
      </c>
      <c r="F77" s="47">
        <f>'01 Energy'!F34*EF_OIL_DOM/1000000</f>
        <v>1.599447874178461</v>
      </c>
      <c r="G77" s="49">
        <f t="shared" si="7"/>
        <v>352.5048701135477</v>
      </c>
      <c r="H77" s="47">
        <f>'01 Energy'!H34*EF_ELEC/1000000</f>
        <v>168.87162756472858</v>
      </c>
      <c r="I77" s="47">
        <f>'01 Energy'!I34*EF_ELEC/1000000</f>
        <v>159.6922674087182</v>
      </c>
      <c r="J77" s="47">
        <f>'01 Energy'!J34*EF_GAS/1000000</f>
        <v>60.003071829732136</v>
      </c>
      <c r="K77" s="47">
        <f>'01 Energy'!K34*EF_COAL_WP/1000000</f>
        <v>0</v>
      </c>
      <c r="L77" s="47">
        <f>'01 Energy'!L34*EF_OIL_WP/1000000</f>
        <v>5.9960399216442575</v>
      </c>
      <c r="M77" s="87">
        <f>'01 Energy'!M34*EF_WASTE/1000000</f>
        <v>3.9923149207003554</v>
      </c>
      <c r="N77" s="49">
        <f t="shared" si="8"/>
        <v>229.68369408079496</v>
      </c>
      <c r="O77" s="86">
        <f t="shared" si="13"/>
        <v>44.674448094551984</v>
      </c>
      <c r="P77" s="86">
        <f t="shared" si="13"/>
        <v>0.24115537637478485</v>
      </c>
      <c r="Q77" s="86">
        <f t="shared" si="13"/>
        <v>0.13672935096813663</v>
      </c>
      <c r="R77" s="86">
        <f t="shared" si="13"/>
        <v>10.070244659761658</v>
      </c>
      <c r="S77" s="86">
        <f t="shared" si="13"/>
        <v>168.07909172289845</v>
      </c>
      <c r="T77" s="82">
        <f t="shared" si="11"/>
        <v>223.201669204555</v>
      </c>
      <c r="U77" s="88">
        <f t="shared" si="10"/>
        <v>805.3902333988976</v>
      </c>
    </row>
    <row r="78" spans="2:21" ht="12.75" hidden="1">
      <c r="B78" s="75" t="s">
        <v>74</v>
      </c>
      <c r="C78" s="46">
        <f>'01 Energy'!C35*EF_ELEC/1000000</f>
        <v>185.615152166192</v>
      </c>
      <c r="D78" s="47">
        <f>'01 Energy'!D35*EF_GAS/1000000</f>
        <v>177.6769841303364</v>
      </c>
      <c r="E78" s="47">
        <f>'01 Energy'!E35*EF_COAL_DOM/1000000</f>
        <v>0.8262883107250111</v>
      </c>
      <c r="F78" s="47">
        <f>'01 Energy'!F35*EF_OIL_DOM/1000000</f>
        <v>2.1165513064091246</v>
      </c>
      <c r="G78" s="49">
        <f t="shared" si="7"/>
        <v>366.23497591366254</v>
      </c>
      <c r="H78" s="47">
        <f>'01 Energy'!H35*EF_ELEC/1000000</f>
        <v>422.09110797055234</v>
      </c>
      <c r="I78" s="47">
        <f>'01 Energy'!I35*EF_ELEC/1000000</f>
        <v>394.19558397006784</v>
      </c>
      <c r="J78" s="47">
        <f>'01 Energy'!J35*EF_GAS/1000000</f>
        <v>144.06472211843135</v>
      </c>
      <c r="K78" s="47">
        <f>'01 Energy'!K35*EF_COAL_WP/1000000</f>
        <v>0.3201659561367827</v>
      </c>
      <c r="L78" s="47">
        <f>'01 Energy'!L35*EF_OIL_WP/1000000</f>
        <v>5.069325902492363</v>
      </c>
      <c r="M78" s="87">
        <f>'01 Energy'!M35*EF_WASTE/1000000</f>
        <v>2.963753625613326</v>
      </c>
      <c r="N78" s="49">
        <f t="shared" si="8"/>
        <v>546.6135515727416</v>
      </c>
      <c r="O78" s="86">
        <f t="shared" si="13"/>
        <v>1.271480520291247</v>
      </c>
      <c r="P78" s="86">
        <f t="shared" si="13"/>
        <v>2.4034349738972924</v>
      </c>
      <c r="Q78" s="86">
        <f t="shared" si="13"/>
        <v>0.709204208722781</v>
      </c>
      <c r="R78" s="86">
        <f t="shared" si="13"/>
        <v>30.60286848132842</v>
      </c>
      <c r="S78" s="86">
        <f t="shared" si="13"/>
        <v>165.0374235650445</v>
      </c>
      <c r="T78" s="82">
        <f t="shared" si="11"/>
        <v>200.02441174928424</v>
      </c>
      <c r="U78" s="88">
        <f t="shared" si="10"/>
        <v>1112.8729392356884</v>
      </c>
    </row>
    <row r="79" spans="2:21" ht="12.75" hidden="1">
      <c r="B79" s="75" t="s">
        <v>75</v>
      </c>
      <c r="C79" s="46">
        <f>'01 Energy'!C36*EF_ELEC/1000000</f>
        <v>138.417510689745</v>
      </c>
      <c r="D79" s="47">
        <f>'01 Energy'!D36*EF_GAS/1000000</f>
        <v>178.7382468575494</v>
      </c>
      <c r="E79" s="47">
        <f>'01 Energy'!E36*EF_COAL_DOM/1000000</f>
        <v>1.3123286288761125</v>
      </c>
      <c r="F79" s="47">
        <f>'01 Energy'!F36*EF_OIL_DOM/1000000</f>
        <v>1.2622738198246208</v>
      </c>
      <c r="G79" s="49">
        <f t="shared" si="7"/>
        <v>319.7303599959951</v>
      </c>
      <c r="H79" s="47">
        <f>'01 Energy'!H36*EF_ELEC/1000000</f>
        <v>144.1572995132765</v>
      </c>
      <c r="I79" s="47">
        <f>'01 Energy'!I36*EF_ELEC/1000000</f>
        <v>139.99542814148998</v>
      </c>
      <c r="J79" s="47">
        <f>'01 Energy'!J36*EF_GAS/1000000</f>
        <v>36.926006732531185</v>
      </c>
      <c r="K79" s="47">
        <f>'01 Energy'!K36*EF_COAL_WP/1000000</f>
        <v>1.204239386272871</v>
      </c>
      <c r="L79" s="47">
        <f>'01 Energy'!L36*EF_OIL_WP/1000000</f>
        <v>7.290749435419362</v>
      </c>
      <c r="M79" s="87">
        <f>'01 Energy'!M36*EF_WASTE/1000000</f>
        <v>4.473432776215057</v>
      </c>
      <c r="N79" s="49">
        <f t="shared" si="8"/>
        <v>189.88985647192845</v>
      </c>
      <c r="O79" s="86">
        <f t="shared" si="13"/>
        <v>0.04417897279659739</v>
      </c>
      <c r="P79" s="86">
        <f t="shared" si="13"/>
        <v>0</v>
      </c>
      <c r="Q79" s="86">
        <f t="shared" si="13"/>
        <v>0</v>
      </c>
      <c r="R79" s="86">
        <f t="shared" si="13"/>
        <v>4.565793502383288</v>
      </c>
      <c r="S79" s="86">
        <f t="shared" si="13"/>
        <v>114.91147952274234</v>
      </c>
      <c r="T79" s="82">
        <f t="shared" si="11"/>
        <v>119.52145199792223</v>
      </c>
      <c r="U79" s="88">
        <f t="shared" si="10"/>
        <v>629.1416684658458</v>
      </c>
    </row>
    <row r="80" spans="2:21" ht="12.75" hidden="1">
      <c r="B80" s="75" t="s">
        <v>76</v>
      </c>
      <c r="C80" s="46">
        <f>'01 Energy'!C37*EF_ELEC/1000000</f>
        <v>168.319597693303</v>
      </c>
      <c r="D80" s="47">
        <f>'01 Energy'!D37*EF_GAS/1000000</f>
        <v>131.86903762184383</v>
      </c>
      <c r="E80" s="47">
        <f>'01 Energy'!E37*EF_COAL_DOM/1000000</f>
        <v>0.40876702564095</v>
      </c>
      <c r="F80" s="47">
        <f>'01 Energy'!F37*EF_OIL_DOM/1000000</f>
        <v>1.1571843979357026</v>
      </c>
      <c r="G80" s="49">
        <f t="shared" si="7"/>
        <v>301.75458673872345</v>
      </c>
      <c r="H80" s="47">
        <f>'01 Energy'!H37*EF_ELEC/1000000</f>
        <v>1035.8353415468737</v>
      </c>
      <c r="I80" s="47">
        <f>'01 Energy'!I37*EF_ELEC/1000000</f>
        <v>996.8677813132555</v>
      </c>
      <c r="J80" s="47">
        <f>'01 Energy'!J37*EF_GAS/1000000</f>
        <v>118.883448446551</v>
      </c>
      <c r="K80" s="47">
        <f>'01 Energy'!K37*EF_COAL_WP/1000000</f>
        <v>0.07765435038704231</v>
      </c>
      <c r="L80" s="47">
        <f>'01 Energy'!L37*EF_OIL_WP/1000000</f>
        <v>7.790291690163598</v>
      </c>
      <c r="M80" s="87">
        <f>'01 Energy'!M37*EF_WASTE/1000000</f>
        <v>6.010833050678617</v>
      </c>
      <c r="N80" s="49">
        <f t="shared" si="8"/>
        <v>1129.6300088510357</v>
      </c>
      <c r="O80" s="86">
        <f t="shared" si="13"/>
        <v>12.663282574598078</v>
      </c>
      <c r="P80" s="86">
        <f t="shared" si="13"/>
        <v>6.196435750582631</v>
      </c>
      <c r="Q80" s="86">
        <f t="shared" si="13"/>
        <v>0.0019191339806967887</v>
      </c>
      <c r="R80" s="86">
        <f t="shared" si="13"/>
        <v>42.74947912241968</v>
      </c>
      <c r="S80" s="86">
        <f t="shared" si="13"/>
        <v>161.30048965360635</v>
      </c>
      <c r="T80" s="82">
        <f t="shared" si="11"/>
        <v>222.91160623518743</v>
      </c>
      <c r="U80" s="88">
        <f t="shared" si="10"/>
        <v>1654.2962018249466</v>
      </c>
    </row>
    <row r="81" spans="2:21" ht="12.75" hidden="1">
      <c r="B81" s="75" t="s">
        <v>77</v>
      </c>
      <c r="C81" s="46">
        <f>'01 Energy'!C38*EF_ELEC/1000000</f>
        <v>148.315513559822</v>
      </c>
      <c r="D81" s="47">
        <f>'01 Energy'!D38*EF_GAS/1000000</f>
        <v>229.31117836126717</v>
      </c>
      <c r="E81" s="47">
        <f>'01 Energy'!E38*EF_COAL_DOM/1000000</f>
        <v>1.7697569519218974</v>
      </c>
      <c r="F81" s="47">
        <f>'01 Energy'!F38*EF_OIL_DOM/1000000</f>
        <v>0.7353812715509361</v>
      </c>
      <c r="G81" s="49">
        <f t="shared" si="7"/>
        <v>380.131830144562</v>
      </c>
      <c r="H81" s="47">
        <f>'01 Energy'!H38*EF_ELEC/1000000</f>
        <v>167.98409161872982</v>
      </c>
      <c r="I81" s="47">
        <f>'01 Energy'!I38*EF_ELEC/1000000</f>
        <v>155.21858407564778</v>
      </c>
      <c r="J81" s="47">
        <f>'01 Energy'!J38*EF_GAS/1000000</f>
        <v>56.45299235958417</v>
      </c>
      <c r="K81" s="47">
        <f>'01 Energy'!K38*EF_COAL_WP/1000000</f>
        <v>0</v>
      </c>
      <c r="L81" s="47">
        <f>'01 Energy'!L38*EF_OIL_WP/1000000</f>
        <v>8.483531927158808</v>
      </c>
      <c r="M81" s="87">
        <f>'01 Energy'!M38*EF_WASTE/1000000</f>
        <v>6.359000713675355</v>
      </c>
      <c r="N81" s="49">
        <f t="shared" si="8"/>
        <v>226.51410907606612</v>
      </c>
      <c r="O81" s="86">
        <f aca="true" t="shared" si="14" ref="O81:S83">O38</f>
        <v>0.5860370930634885</v>
      </c>
      <c r="P81" s="86">
        <f t="shared" si="14"/>
        <v>0</v>
      </c>
      <c r="Q81" s="86">
        <f t="shared" si="14"/>
        <v>2.1011465460772385</v>
      </c>
      <c r="R81" s="86">
        <f t="shared" si="14"/>
        <v>14.004438433619713</v>
      </c>
      <c r="S81" s="86">
        <f t="shared" si="14"/>
        <v>181.0992803252253</v>
      </c>
      <c r="T81" s="82">
        <f t="shared" si="11"/>
        <v>197.79090239798575</v>
      </c>
      <c r="U81" s="88">
        <f t="shared" si="10"/>
        <v>804.4368416186139</v>
      </c>
    </row>
    <row r="82" spans="2:21" ht="12.75" hidden="1">
      <c r="B82" s="75" t="s">
        <v>78</v>
      </c>
      <c r="C82" s="46">
        <f>'01 Energy'!C39*EF_ELEC/1000000</f>
        <v>207.47933048304702</v>
      </c>
      <c r="D82" s="47">
        <f>'01 Energy'!D39*EF_GAS/1000000</f>
        <v>261.73315904822454</v>
      </c>
      <c r="E82" s="47">
        <f>'01 Energy'!E39*EF_COAL_DOM/1000000</f>
        <v>1.2680093301931044</v>
      </c>
      <c r="F82" s="47">
        <f>'01 Energy'!F39*EF_OIL_DOM/1000000</f>
        <v>1.4172791817220238</v>
      </c>
      <c r="G82" s="49">
        <f t="shared" si="7"/>
        <v>471.8977780431867</v>
      </c>
      <c r="H82" s="47">
        <f>'01 Energy'!H39*EF_ELEC/1000000</f>
        <v>225.48317669841373</v>
      </c>
      <c r="I82" s="47">
        <f>'01 Energy'!I39*EF_ELEC/1000000</f>
        <v>186.02362469903358</v>
      </c>
      <c r="J82" s="47">
        <f>'01 Energy'!J39*EF_GAS/1000000</f>
        <v>102.94126700630832</v>
      </c>
      <c r="K82" s="47">
        <f>'01 Energy'!K39*EF_COAL_WP/1000000</f>
        <v>0</v>
      </c>
      <c r="L82" s="47">
        <f>'01 Energy'!L39*EF_OIL_WP/1000000</f>
        <v>5.02833032320416</v>
      </c>
      <c r="M82" s="87">
        <f>'01 Energy'!M39*EF_WASTE/1000000</f>
        <v>4.67754364444541</v>
      </c>
      <c r="N82" s="49">
        <f t="shared" si="8"/>
        <v>298.6707656729914</v>
      </c>
      <c r="O82" s="86">
        <f t="shared" si="14"/>
        <v>13.489907897858256</v>
      </c>
      <c r="P82" s="86">
        <f t="shared" si="14"/>
        <v>0.10973551340451604</v>
      </c>
      <c r="Q82" s="86">
        <f t="shared" si="14"/>
        <v>1.4562417239606908</v>
      </c>
      <c r="R82" s="86">
        <f t="shared" si="14"/>
        <v>43.28922016837532</v>
      </c>
      <c r="S82" s="86">
        <f t="shared" si="14"/>
        <v>172.62371797021996</v>
      </c>
      <c r="T82" s="82">
        <f t="shared" si="11"/>
        <v>230.96882327381874</v>
      </c>
      <c r="U82" s="88">
        <f t="shared" si="10"/>
        <v>1001.5373669899968</v>
      </c>
    </row>
    <row r="83" spans="2:21" ht="12.75" hidden="1">
      <c r="B83" s="75" t="s">
        <v>79</v>
      </c>
      <c r="C83" s="46">
        <f>'01 Energy'!C40*EF_ELEC/1000000</f>
        <v>203.26909066928798</v>
      </c>
      <c r="D83" s="47">
        <f>'01 Energy'!D40*EF_GAS/1000000</f>
        <v>178.740809139247</v>
      </c>
      <c r="E83" s="47">
        <f>'01 Energy'!E40*EF_COAL_DOM/1000000</f>
        <v>0.3723956596989367</v>
      </c>
      <c r="F83" s="47">
        <f>'01 Energy'!F40*EF_OIL_DOM/1000000</f>
        <v>3.016866482349274</v>
      </c>
      <c r="G83" s="49">
        <f t="shared" si="7"/>
        <v>385.3991619505832</v>
      </c>
      <c r="H83" s="47">
        <f>'01 Energy'!H40*EF_ELEC/1000000</f>
        <v>1430.298273183061</v>
      </c>
      <c r="I83" s="47">
        <f>'01 Energy'!I40*EF_ELEC/1000000</f>
        <v>1367.3874501208911</v>
      </c>
      <c r="J83" s="47">
        <f>'01 Energy'!J40*EF_GAS/1000000</f>
        <v>408.0583925127183</v>
      </c>
      <c r="K83" s="47">
        <f>'01 Energy'!K40*EF_COAL_WP/1000000</f>
        <v>0.6323761673927122</v>
      </c>
      <c r="L83" s="47">
        <f>'01 Energy'!L40*EF_OIL_WP/1000000</f>
        <v>56.56420087642784</v>
      </c>
      <c r="M83" s="87">
        <f>'01 Energy'!M40*EF_WASTE/1000000</f>
        <v>1.2123188284147028</v>
      </c>
      <c r="N83" s="49">
        <f t="shared" si="8"/>
        <v>1833.8547385058446</v>
      </c>
      <c r="O83" s="86">
        <f t="shared" si="14"/>
        <v>0</v>
      </c>
      <c r="P83" s="86">
        <f t="shared" si="14"/>
        <v>1.7404499974328698</v>
      </c>
      <c r="Q83" s="86">
        <f t="shared" si="14"/>
        <v>2.974162546482167</v>
      </c>
      <c r="R83" s="86">
        <f t="shared" si="14"/>
        <v>69.01650760137245</v>
      </c>
      <c r="S83" s="86">
        <f t="shared" si="14"/>
        <v>261.6420080802897</v>
      </c>
      <c r="T83" s="82">
        <f t="shared" si="11"/>
        <v>335.3731282255772</v>
      </c>
      <c r="U83" s="88">
        <f t="shared" si="10"/>
        <v>2554.627028682005</v>
      </c>
    </row>
    <row r="84" spans="2:21" ht="12.75" hidden="1">
      <c r="B84" s="103" t="s">
        <v>9</v>
      </c>
      <c r="C84" s="104">
        <f>'01 Energy'!C43*'04 Emissions Factors'!F6</f>
        <v>5408.1164930575505</v>
      </c>
      <c r="D84" s="105">
        <f>'01 Energy'!D43*'04 Emissions Factors'!F8</f>
        <v>7338.620053566708</v>
      </c>
      <c r="E84" s="106">
        <f>SUM(E51:E83)</f>
        <v>40.70142767433362</v>
      </c>
      <c r="F84" s="105">
        <f>'01 Energy'!F43*'04 Emissions Factors'!F10</f>
        <v>47.888047781850176</v>
      </c>
      <c r="G84" s="107">
        <f t="shared" si="7"/>
        <v>12835.326022080442</v>
      </c>
      <c r="H84" s="104">
        <f>'01 Energy'!H43*'04 Emissions Factors'!F11</f>
        <v>11366.824686345239</v>
      </c>
      <c r="I84" s="105">
        <f aca="true" t="shared" si="15" ref="I84:N84">SUM(I51:I83)</f>
        <v>10581.754127487453</v>
      </c>
      <c r="J84" s="105">
        <f t="shared" si="15"/>
        <v>3615.9574893536733</v>
      </c>
      <c r="K84" s="105">
        <f t="shared" si="15"/>
        <v>10.115080705474414</v>
      </c>
      <c r="L84" s="106">
        <f t="shared" si="15"/>
        <v>556.5062779360503</v>
      </c>
      <c r="M84" s="106">
        <f t="shared" si="15"/>
        <v>207.93734126400307</v>
      </c>
      <c r="N84" s="107">
        <f t="shared" si="15"/>
        <v>14972.270316746657</v>
      </c>
      <c r="O84" s="107">
        <f aca="true" t="shared" si="16" ref="O84:T84">SUM(O51:O83)</f>
        <v>930.932363127207</v>
      </c>
      <c r="P84" s="106">
        <f t="shared" si="16"/>
        <v>31.20512106677382</v>
      </c>
      <c r="Q84" s="106">
        <f t="shared" si="16"/>
        <v>83.94980818727448</v>
      </c>
      <c r="R84" s="106">
        <f t="shared" si="16"/>
        <v>861.2640171545302</v>
      </c>
      <c r="S84" s="106">
        <f t="shared" si="16"/>
        <v>6620.218824814175</v>
      </c>
      <c r="T84" s="108">
        <f t="shared" si="16"/>
        <v>8527.57013434996</v>
      </c>
      <c r="U84" s="109">
        <f t="shared" si="10"/>
        <v>36335.16647317706</v>
      </c>
    </row>
    <row r="85" spans="2:21" ht="13.5" hidden="1" thickBot="1">
      <c r="B85" s="79" t="s">
        <v>10</v>
      </c>
      <c r="C85" s="76">
        <f aca="true" t="shared" si="17" ref="C85:N85">C84/1000</f>
        <v>5.408116493057551</v>
      </c>
      <c r="D85" s="77">
        <f t="shared" si="17"/>
        <v>7.338620053566707</v>
      </c>
      <c r="E85" s="81">
        <f t="shared" si="17"/>
        <v>0.04070142767433362</v>
      </c>
      <c r="F85" s="77">
        <f t="shared" si="17"/>
        <v>0.04788804778185018</v>
      </c>
      <c r="G85" s="80">
        <f t="shared" si="17"/>
        <v>12.835326022080443</v>
      </c>
      <c r="H85" s="76">
        <f t="shared" si="17"/>
        <v>11.366824686345238</v>
      </c>
      <c r="I85" s="77">
        <f t="shared" si="17"/>
        <v>10.581754127487454</v>
      </c>
      <c r="J85" s="77">
        <f t="shared" si="17"/>
        <v>3.6159574893536734</v>
      </c>
      <c r="K85" s="77">
        <f t="shared" si="17"/>
        <v>0.010115080705474414</v>
      </c>
      <c r="L85" s="89">
        <f t="shared" si="17"/>
        <v>0.5565062779360503</v>
      </c>
      <c r="M85" s="89">
        <f t="shared" si="17"/>
        <v>0.20793734126400307</v>
      </c>
      <c r="N85" s="76">
        <f t="shared" si="17"/>
        <v>14.972270316746657</v>
      </c>
      <c r="O85" s="84">
        <f aca="true" t="shared" si="18" ref="O85:U85">O84/1000</f>
        <v>0.9309323631272071</v>
      </c>
      <c r="P85" s="85">
        <f t="shared" si="18"/>
        <v>0.03120512106677382</v>
      </c>
      <c r="Q85" s="85">
        <f t="shared" si="18"/>
        <v>0.08394980818727449</v>
      </c>
      <c r="R85" s="85">
        <f t="shared" si="18"/>
        <v>0.8612640171545302</v>
      </c>
      <c r="S85" s="85">
        <f t="shared" si="18"/>
        <v>6.620218824814175</v>
      </c>
      <c r="T85" s="76">
        <f t="shared" si="18"/>
        <v>8.527570134349961</v>
      </c>
      <c r="U85" s="78">
        <f t="shared" si="18"/>
        <v>36.33516647317706</v>
      </c>
    </row>
    <row r="86" spans="9:18" ht="12.75" hidden="1">
      <c r="I86" s="111"/>
      <c r="R86" s="110"/>
    </row>
    <row r="87" ht="12.75" hidden="1"/>
    <row r="88" ht="12.75" hidden="1"/>
  </sheetData>
  <sheetProtection/>
  <mergeCells count="9">
    <mergeCell ref="B4:B5"/>
    <mergeCell ref="C4:T4"/>
    <mergeCell ref="C5:G5"/>
    <mergeCell ref="H48:N48"/>
    <mergeCell ref="O48:T48"/>
    <mergeCell ref="C47:T47"/>
    <mergeCell ref="C48:G48"/>
    <mergeCell ref="O5:T5"/>
    <mergeCell ref="H5:N5"/>
  </mergeCells>
  <printOptions/>
  <pageMargins left="0.25" right="0.25" top="0.75" bottom="0.75" header="0.3" footer="0.3"/>
  <pageSetup fitToHeight="1" fitToWidth="1" horizontalDpi="600" verticalDpi="600" orientation="landscape" paperSize="8" scale="88" r:id="rId3"/>
  <rowBreaks count="1" manualBreakCount="1">
    <brk id="44" max="23" man="1"/>
  </rowBreaks>
  <legacyDrawing r:id="rId2"/>
</worksheet>
</file>

<file path=xl/worksheets/sheet4.xml><?xml version="1.0" encoding="utf-8"?>
<worksheet xmlns="http://schemas.openxmlformats.org/spreadsheetml/2006/main" xmlns:r="http://schemas.openxmlformats.org/officeDocument/2006/relationships">
  <dimension ref="B2:L52"/>
  <sheetViews>
    <sheetView zoomScalePageLayoutView="0" workbookViewId="0" topLeftCell="A1">
      <selection activeCell="N44" sqref="N44"/>
    </sheetView>
  </sheetViews>
  <sheetFormatPr defaultColWidth="9.140625" defaultRowHeight="12.75"/>
  <cols>
    <col min="1" max="1" width="2.140625" style="31" customWidth="1"/>
    <col min="2" max="3" width="25.7109375" style="31" customWidth="1"/>
    <col min="4" max="4" width="20.7109375" style="31" customWidth="1"/>
    <col min="5" max="8" width="15.7109375" style="31" customWidth="1"/>
    <col min="9" max="11" width="15.7109375" style="31" hidden="1" customWidth="1"/>
    <col min="12" max="12" width="15.7109375" style="31" customWidth="1"/>
    <col min="13" max="13" width="2.140625" style="31" customWidth="1"/>
    <col min="14" max="16384" width="9.140625" style="31" customWidth="1"/>
  </cols>
  <sheetData>
    <row r="2" ht="18.75" customHeight="1">
      <c r="B2" s="32" t="s">
        <v>100</v>
      </c>
    </row>
    <row r="3" ht="13.5" thickBot="1"/>
    <row r="4" spans="2:12" ht="12" customHeight="1">
      <c r="B4" s="33" t="s">
        <v>11</v>
      </c>
      <c r="C4" s="34" t="s">
        <v>12</v>
      </c>
      <c r="D4" s="34" t="s">
        <v>96</v>
      </c>
      <c r="E4" s="34" t="s">
        <v>101</v>
      </c>
      <c r="F4" s="34" t="s">
        <v>102</v>
      </c>
      <c r="G4" s="34" t="s">
        <v>103</v>
      </c>
      <c r="H4" s="34" t="s">
        <v>104</v>
      </c>
      <c r="I4" s="34" t="s">
        <v>105</v>
      </c>
      <c r="J4" s="34" t="s">
        <v>106</v>
      </c>
      <c r="K4" s="34" t="s">
        <v>107</v>
      </c>
      <c r="L4" s="35" t="s">
        <v>108</v>
      </c>
    </row>
    <row r="5" spans="2:12" ht="12.75">
      <c r="B5" s="36"/>
      <c r="C5" s="37"/>
      <c r="D5" s="37"/>
      <c r="E5" s="38"/>
      <c r="F5" s="38"/>
      <c r="G5" s="37"/>
      <c r="H5" s="37"/>
      <c r="I5" s="37"/>
      <c r="J5" s="37"/>
      <c r="K5" s="37"/>
      <c r="L5" s="39"/>
    </row>
    <row r="6" spans="2:12" ht="12.75">
      <c r="B6" s="40" t="s">
        <v>109</v>
      </c>
      <c r="C6" s="41" t="s">
        <v>18</v>
      </c>
      <c r="D6" s="41" t="s">
        <v>50</v>
      </c>
      <c r="E6" s="42"/>
      <c r="F6" s="42"/>
      <c r="G6" s="41"/>
      <c r="H6" s="41"/>
      <c r="I6" s="41"/>
      <c r="J6" s="41"/>
      <c r="K6" s="41"/>
      <c r="L6" s="43">
        <f>SUM(F6:K6)</f>
        <v>0</v>
      </c>
    </row>
    <row r="7" spans="2:12" ht="12.75">
      <c r="B7" s="40"/>
      <c r="C7" s="41"/>
      <c r="D7" s="41"/>
      <c r="E7" s="42"/>
      <c r="F7" s="42"/>
      <c r="G7" s="41"/>
      <c r="H7" s="41"/>
      <c r="I7" s="41"/>
      <c r="J7" s="41"/>
      <c r="K7" s="41"/>
      <c r="L7" s="43"/>
    </row>
    <row r="8" spans="2:12" ht="12.75">
      <c r="B8" s="40"/>
      <c r="C8" s="41"/>
      <c r="D8" s="41"/>
      <c r="E8" s="42"/>
      <c r="F8" s="42"/>
      <c r="G8" s="41"/>
      <c r="H8" s="41"/>
      <c r="I8" s="41"/>
      <c r="J8" s="41"/>
      <c r="K8" s="41"/>
      <c r="L8" s="43"/>
    </row>
    <row r="9" spans="2:12" ht="12.75">
      <c r="B9" s="40"/>
      <c r="C9" s="41"/>
      <c r="D9" s="41"/>
      <c r="E9" s="42"/>
      <c r="F9" s="42"/>
      <c r="G9" s="41"/>
      <c r="H9" s="41"/>
      <c r="I9" s="41"/>
      <c r="J9" s="41"/>
      <c r="K9" s="41"/>
      <c r="L9" s="43"/>
    </row>
    <row r="10" spans="2:12" ht="12.75">
      <c r="B10" s="40"/>
      <c r="C10" s="41"/>
      <c r="D10" s="41"/>
      <c r="E10" s="42"/>
      <c r="F10" s="42"/>
      <c r="G10" s="41"/>
      <c r="H10" s="41"/>
      <c r="I10" s="41"/>
      <c r="J10" s="41"/>
      <c r="K10" s="41"/>
      <c r="L10" s="43"/>
    </row>
    <row r="11" spans="2:12" ht="12.75">
      <c r="B11" s="40"/>
      <c r="C11" s="44"/>
      <c r="D11" s="41"/>
      <c r="E11" s="42"/>
      <c r="F11" s="42"/>
      <c r="G11" s="41"/>
      <c r="H11" s="41"/>
      <c r="I11" s="41"/>
      <c r="J11" s="41"/>
      <c r="K11" s="41"/>
      <c r="L11" s="43"/>
    </row>
    <row r="12" spans="2:12" ht="12.75">
      <c r="B12" s="40"/>
      <c r="C12" s="41"/>
      <c r="D12" s="41"/>
      <c r="E12" s="42"/>
      <c r="F12" s="42"/>
      <c r="G12" s="41"/>
      <c r="H12" s="41"/>
      <c r="I12" s="41"/>
      <c r="J12" s="41"/>
      <c r="K12" s="41"/>
      <c r="L12" s="43"/>
    </row>
    <row r="13" spans="2:12" ht="12.75">
      <c r="B13" s="40"/>
      <c r="C13" s="41"/>
      <c r="D13" s="41"/>
      <c r="E13" s="42"/>
      <c r="F13" s="42"/>
      <c r="G13" s="41"/>
      <c r="H13" s="41"/>
      <c r="I13" s="41"/>
      <c r="J13" s="41"/>
      <c r="K13" s="41"/>
      <c r="L13" s="43"/>
    </row>
    <row r="14" spans="2:12" ht="12.75">
      <c r="B14" s="40"/>
      <c r="C14" s="41"/>
      <c r="D14" s="41"/>
      <c r="E14" s="42"/>
      <c r="F14" s="42"/>
      <c r="G14" s="41"/>
      <c r="H14" s="41"/>
      <c r="I14" s="41"/>
      <c r="J14" s="41"/>
      <c r="K14" s="41"/>
      <c r="L14" s="43"/>
    </row>
    <row r="15" spans="2:12" ht="12.75">
      <c r="B15" s="40"/>
      <c r="C15" s="41"/>
      <c r="D15" s="41"/>
      <c r="E15" s="42"/>
      <c r="F15" s="42"/>
      <c r="G15" s="41"/>
      <c r="H15" s="41"/>
      <c r="I15" s="41"/>
      <c r="J15" s="41"/>
      <c r="K15" s="41"/>
      <c r="L15" s="43"/>
    </row>
    <row r="16" spans="2:12" ht="12.75">
      <c r="B16" s="40"/>
      <c r="C16" s="41"/>
      <c r="D16" s="41"/>
      <c r="E16" s="42"/>
      <c r="F16" s="42"/>
      <c r="G16" s="41"/>
      <c r="H16" s="41"/>
      <c r="I16" s="41"/>
      <c r="J16" s="41"/>
      <c r="K16" s="41"/>
      <c r="L16" s="43"/>
    </row>
    <row r="17" spans="2:12" ht="12.75">
      <c r="B17" s="40"/>
      <c r="C17" s="41"/>
      <c r="D17" s="41"/>
      <c r="E17" s="42"/>
      <c r="F17" s="42"/>
      <c r="G17" s="41"/>
      <c r="H17" s="41"/>
      <c r="I17" s="41"/>
      <c r="J17" s="41"/>
      <c r="K17" s="41"/>
      <c r="L17" s="43"/>
    </row>
    <row r="18" spans="2:12" ht="12.75">
      <c r="B18" s="40"/>
      <c r="C18" s="41"/>
      <c r="D18" s="41"/>
      <c r="E18" s="42"/>
      <c r="F18" s="42"/>
      <c r="G18" s="41"/>
      <c r="H18" s="41"/>
      <c r="I18" s="41"/>
      <c r="J18" s="41"/>
      <c r="K18" s="41"/>
      <c r="L18" s="43"/>
    </row>
    <row r="19" spans="2:12" ht="12.75">
      <c r="B19" s="40"/>
      <c r="C19" s="41"/>
      <c r="D19" s="41"/>
      <c r="E19" s="42"/>
      <c r="F19" s="42"/>
      <c r="G19" s="41"/>
      <c r="H19" s="41"/>
      <c r="I19" s="41"/>
      <c r="J19" s="41"/>
      <c r="K19" s="41"/>
      <c r="L19" s="43"/>
    </row>
    <row r="20" spans="2:12" ht="12.75">
      <c r="B20" s="40"/>
      <c r="C20" s="41"/>
      <c r="D20" s="41"/>
      <c r="E20" s="42"/>
      <c r="F20" s="42"/>
      <c r="G20" s="41"/>
      <c r="H20" s="41"/>
      <c r="I20" s="41"/>
      <c r="J20" s="41"/>
      <c r="K20" s="41"/>
      <c r="L20" s="43"/>
    </row>
    <row r="21" spans="2:12" ht="12.75">
      <c r="B21" s="40"/>
      <c r="C21" s="41"/>
      <c r="D21" s="41"/>
      <c r="E21" s="42"/>
      <c r="F21" s="42"/>
      <c r="G21" s="41"/>
      <c r="H21" s="41"/>
      <c r="I21" s="41"/>
      <c r="J21" s="41"/>
      <c r="K21" s="41"/>
      <c r="L21" s="43"/>
    </row>
    <row r="22" spans="2:12" ht="12.75">
      <c r="B22" s="40"/>
      <c r="C22" s="41"/>
      <c r="D22" s="41"/>
      <c r="E22" s="42"/>
      <c r="F22" s="42"/>
      <c r="G22" s="41"/>
      <c r="H22" s="41"/>
      <c r="I22" s="41"/>
      <c r="J22" s="41"/>
      <c r="K22" s="41"/>
      <c r="L22" s="43"/>
    </row>
    <row r="23" spans="2:12" ht="12.75">
      <c r="B23" s="40"/>
      <c r="C23" s="41"/>
      <c r="D23" s="41"/>
      <c r="E23" s="42"/>
      <c r="F23" s="42"/>
      <c r="G23" s="41"/>
      <c r="H23" s="41"/>
      <c r="I23" s="41"/>
      <c r="J23" s="41"/>
      <c r="K23" s="41"/>
      <c r="L23" s="43"/>
    </row>
    <row r="24" spans="2:12" ht="12.75">
      <c r="B24" s="40"/>
      <c r="C24" s="41"/>
      <c r="D24" s="41"/>
      <c r="E24" s="42"/>
      <c r="F24" s="42"/>
      <c r="G24" s="41"/>
      <c r="H24" s="41"/>
      <c r="I24" s="41"/>
      <c r="J24" s="41"/>
      <c r="K24" s="41"/>
      <c r="L24" s="43"/>
    </row>
    <row r="25" spans="2:12" ht="12.75">
      <c r="B25" s="40"/>
      <c r="C25" s="41"/>
      <c r="D25" s="41"/>
      <c r="E25" s="42"/>
      <c r="F25" s="42"/>
      <c r="G25" s="41"/>
      <c r="H25" s="41"/>
      <c r="I25" s="41"/>
      <c r="J25" s="41"/>
      <c r="K25" s="41"/>
      <c r="L25" s="43"/>
    </row>
    <row r="26" spans="2:12" ht="12.75">
      <c r="B26" s="40"/>
      <c r="C26" s="41"/>
      <c r="D26" s="41"/>
      <c r="E26" s="42"/>
      <c r="F26" s="42"/>
      <c r="G26" s="41"/>
      <c r="H26" s="41"/>
      <c r="I26" s="41"/>
      <c r="J26" s="41"/>
      <c r="K26" s="41"/>
      <c r="L26" s="43"/>
    </row>
    <row r="27" spans="2:12" ht="12.75">
      <c r="B27" s="40"/>
      <c r="C27" s="41"/>
      <c r="D27" s="41"/>
      <c r="E27" s="42"/>
      <c r="F27" s="42"/>
      <c r="G27" s="41"/>
      <c r="H27" s="41"/>
      <c r="I27" s="41"/>
      <c r="J27" s="41"/>
      <c r="K27" s="41"/>
      <c r="L27" s="43"/>
    </row>
    <row r="28" spans="2:12" ht="12.75">
      <c r="B28" s="40"/>
      <c r="C28" s="41"/>
      <c r="D28" s="41"/>
      <c r="E28" s="42"/>
      <c r="F28" s="42"/>
      <c r="G28" s="41"/>
      <c r="H28" s="41"/>
      <c r="I28" s="41"/>
      <c r="J28" s="41"/>
      <c r="K28" s="41"/>
      <c r="L28" s="43"/>
    </row>
    <row r="29" spans="2:12" ht="12.75">
      <c r="B29" s="40"/>
      <c r="C29" s="41"/>
      <c r="D29" s="41"/>
      <c r="E29" s="42"/>
      <c r="F29" s="42"/>
      <c r="G29" s="41"/>
      <c r="H29" s="41"/>
      <c r="I29" s="41"/>
      <c r="J29" s="41"/>
      <c r="K29" s="41"/>
      <c r="L29" s="43"/>
    </row>
    <row r="30" spans="2:12" ht="12.75">
      <c r="B30" s="40"/>
      <c r="C30" s="41"/>
      <c r="D30" s="41"/>
      <c r="E30" s="42"/>
      <c r="F30" s="42"/>
      <c r="G30" s="41"/>
      <c r="H30" s="41"/>
      <c r="I30" s="41"/>
      <c r="J30" s="41"/>
      <c r="K30" s="41"/>
      <c r="L30" s="43"/>
    </row>
    <row r="31" spans="2:12" ht="12.75">
      <c r="B31" s="40"/>
      <c r="C31" s="41"/>
      <c r="D31" s="41"/>
      <c r="E31" s="42"/>
      <c r="F31" s="42"/>
      <c r="G31" s="41"/>
      <c r="H31" s="41"/>
      <c r="I31" s="41"/>
      <c r="J31" s="41"/>
      <c r="K31" s="41"/>
      <c r="L31" s="43"/>
    </row>
    <row r="32" spans="2:12" ht="12.75">
      <c r="B32" s="40"/>
      <c r="C32" s="41"/>
      <c r="D32" s="41"/>
      <c r="E32" s="42"/>
      <c r="F32" s="42"/>
      <c r="G32" s="41"/>
      <c r="H32" s="41"/>
      <c r="I32" s="41"/>
      <c r="J32" s="41"/>
      <c r="K32" s="41"/>
      <c r="L32" s="43"/>
    </row>
    <row r="33" spans="2:12" ht="12.75">
      <c r="B33" s="40"/>
      <c r="C33" s="41"/>
      <c r="D33" s="41"/>
      <c r="E33" s="42"/>
      <c r="F33" s="42"/>
      <c r="G33" s="41"/>
      <c r="H33" s="41"/>
      <c r="I33" s="41"/>
      <c r="J33" s="41"/>
      <c r="K33" s="41"/>
      <c r="L33" s="43"/>
    </row>
    <row r="34" spans="2:12" ht="12.75">
      <c r="B34" s="40"/>
      <c r="C34" s="41"/>
      <c r="D34" s="41"/>
      <c r="E34" s="42"/>
      <c r="F34" s="42"/>
      <c r="G34" s="41"/>
      <c r="H34" s="41"/>
      <c r="I34" s="41"/>
      <c r="J34" s="41"/>
      <c r="K34" s="41"/>
      <c r="L34" s="43"/>
    </row>
    <row r="35" spans="2:12" ht="12.75">
      <c r="B35" s="40"/>
      <c r="C35" s="41"/>
      <c r="D35" s="41"/>
      <c r="E35" s="42"/>
      <c r="F35" s="42"/>
      <c r="G35" s="41"/>
      <c r="H35" s="41"/>
      <c r="I35" s="41"/>
      <c r="J35" s="41"/>
      <c r="K35" s="41"/>
      <c r="L35" s="43"/>
    </row>
    <row r="36" spans="2:12" ht="12.75">
      <c r="B36" s="40"/>
      <c r="C36" s="41"/>
      <c r="D36" s="41"/>
      <c r="E36" s="42"/>
      <c r="F36" s="42"/>
      <c r="G36" s="41"/>
      <c r="H36" s="41"/>
      <c r="I36" s="41"/>
      <c r="J36" s="41"/>
      <c r="K36" s="41"/>
      <c r="L36" s="43"/>
    </row>
    <row r="37" spans="2:12" ht="12.75">
      <c r="B37" s="40"/>
      <c r="C37" s="41"/>
      <c r="D37" s="41"/>
      <c r="E37" s="42"/>
      <c r="F37" s="42"/>
      <c r="G37" s="41"/>
      <c r="H37" s="41"/>
      <c r="I37" s="41"/>
      <c r="J37" s="41"/>
      <c r="K37" s="41"/>
      <c r="L37" s="43"/>
    </row>
    <row r="38" spans="2:12" ht="12.75">
      <c r="B38" s="40"/>
      <c r="C38" s="41"/>
      <c r="D38" s="41"/>
      <c r="E38" s="42"/>
      <c r="F38" s="42"/>
      <c r="G38" s="41"/>
      <c r="H38" s="41"/>
      <c r="I38" s="41"/>
      <c r="J38" s="41"/>
      <c r="K38" s="41"/>
      <c r="L38" s="43"/>
    </row>
    <row r="39" spans="2:12" ht="12.75">
      <c r="B39" s="40"/>
      <c r="C39" s="41"/>
      <c r="D39" s="41"/>
      <c r="E39" s="42"/>
      <c r="F39" s="42"/>
      <c r="G39" s="41"/>
      <c r="H39" s="41"/>
      <c r="I39" s="41"/>
      <c r="J39" s="41"/>
      <c r="K39" s="41"/>
      <c r="L39" s="43"/>
    </row>
    <row r="40" spans="2:12" ht="12.75">
      <c r="B40" s="40"/>
      <c r="C40" s="41"/>
      <c r="D40" s="41"/>
      <c r="E40" s="42"/>
      <c r="F40" s="42"/>
      <c r="G40" s="41"/>
      <c r="H40" s="41"/>
      <c r="I40" s="41"/>
      <c r="J40" s="41"/>
      <c r="K40" s="41"/>
      <c r="L40" s="43"/>
    </row>
    <row r="41" spans="2:12" ht="12.75">
      <c r="B41" s="40"/>
      <c r="C41" s="41"/>
      <c r="D41" s="41"/>
      <c r="E41" s="42"/>
      <c r="F41" s="42"/>
      <c r="G41" s="41"/>
      <c r="H41" s="41"/>
      <c r="I41" s="41"/>
      <c r="J41" s="41"/>
      <c r="K41" s="41"/>
      <c r="L41" s="43"/>
    </row>
    <row r="42" spans="2:12" ht="12.75">
      <c r="B42" s="40"/>
      <c r="C42" s="41"/>
      <c r="D42" s="41"/>
      <c r="E42" s="42"/>
      <c r="F42" s="42"/>
      <c r="G42" s="41"/>
      <c r="H42" s="41"/>
      <c r="I42" s="41"/>
      <c r="J42" s="41"/>
      <c r="K42" s="41"/>
      <c r="L42" s="43"/>
    </row>
    <row r="43" spans="2:12" ht="12.75">
      <c r="B43" s="40"/>
      <c r="C43" s="41"/>
      <c r="D43" s="41"/>
      <c r="E43" s="42"/>
      <c r="F43" s="42"/>
      <c r="G43" s="41"/>
      <c r="H43" s="41"/>
      <c r="I43" s="41"/>
      <c r="J43" s="41"/>
      <c r="K43" s="41"/>
      <c r="L43" s="43"/>
    </row>
    <row r="44" spans="2:12" ht="12.75">
      <c r="B44" s="40"/>
      <c r="C44" s="41"/>
      <c r="D44" s="41"/>
      <c r="E44" s="42"/>
      <c r="F44" s="42"/>
      <c r="G44" s="41"/>
      <c r="H44" s="41"/>
      <c r="I44" s="41"/>
      <c r="J44" s="41"/>
      <c r="K44" s="41"/>
      <c r="L44" s="43"/>
    </row>
    <row r="45" spans="2:12" ht="12.75">
      <c r="B45" s="40"/>
      <c r="C45" s="41"/>
      <c r="D45" s="41"/>
      <c r="E45" s="42"/>
      <c r="F45" s="42"/>
      <c r="G45" s="41"/>
      <c r="H45" s="41"/>
      <c r="I45" s="41"/>
      <c r="J45" s="41"/>
      <c r="K45" s="41"/>
      <c r="L45" s="43"/>
    </row>
    <row r="46" spans="2:12" ht="12.75">
      <c r="B46" s="40"/>
      <c r="C46" s="41"/>
      <c r="D46" s="41"/>
      <c r="E46" s="42"/>
      <c r="F46" s="42"/>
      <c r="G46" s="41"/>
      <c r="H46" s="41"/>
      <c r="I46" s="41"/>
      <c r="J46" s="41"/>
      <c r="K46" s="41"/>
      <c r="L46" s="43"/>
    </row>
    <row r="47" spans="2:12" ht="12.75">
      <c r="B47" s="40"/>
      <c r="C47" s="41"/>
      <c r="D47" s="41"/>
      <c r="E47" s="42"/>
      <c r="F47" s="42"/>
      <c r="G47" s="41"/>
      <c r="H47" s="41"/>
      <c r="I47" s="41"/>
      <c r="J47" s="41"/>
      <c r="K47" s="41"/>
      <c r="L47" s="43"/>
    </row>
    <row r="48" spans="2:12" ht="12.75">
      <c r="B48" s="40"/>
      <c r="C48" s="41"/>
      <c r="D48" s="41"/>
      <c r="E48" s="42"/>
      <c r="F48" s="42"/>
      <c r="G48" s="41"/>
      <c r="H48" s="41"/>
      <c r="I48" s="41"/>
      <c r="J48" s="41"/>
      <c r="K48" s="41"/>
      <c r="L48" s="43"/>
    </row>
    <row r="49" spans="2:12" ht="12.75">
      <c r="B49" s="40"/>
      <c r="C49" s="41"/>
      <c r="D49" s="41"/>
      <c r="E49" s="42"/>
      <c r="F49" s="42"/>
      <c r="G49" s="41"/>
      <c r="H49" s="41"/>
      <c r="I49" s="41"/>
      <c r="J49" s="41"/>
      <c r="K49" s="41"/>
      <c r="L49" s="43"/>
    </row>
    <row r="50" spans="2:12" ht="12.75">
      <c r="B50" s="40"/>
      <c r="C50" s="41"/>
      <c r="D50" s="41"/>
      <c r="E50" s="42"/>
      <c r="F50" s="42"/>
      <c r="G50" s="41"/>
      <c r="H50" s="41"/>
      <c r="I50" s="41"/>
      <c r="J50" s="41"/>
      <c r="K50" s="41"/>
      <c r="L50" s="43"/>
    </row>
    <row r="51" spans="2:12" ht="12.75">
      <c r="B51" s="40"/>
      <c r="C51" s="41"/>
      <c r="D51" s="41"/>
      <c r="E51" s="42"/>
      <c r="F51" s="42"/>
      <c r="G51" s="41"/>
      <c r="H51" s="41"/>
      <c r="I51" s="41"/>
      <c r="J51" s="41"/>
      <c r="K51" s="41"/>
      <c r="L51" s="43"/>
    </row>
    <row r="52" spans="2:12" ht="12.75">
      <c r="B52" s="41"/>
      <c r="C52" s="41"/>
      <c r="D52" s="41"/>
      <c r="E52" s="41"/>
      <c r="F52" s="41"/>
      <c r="G52" s="41"/>
      <c r="H52" s="41"/>
      <c r="I52" s="41"/>
      <c r="J52" s="41"/>
      <c r="K52" s="41"/>
      <c r="L52" s="41"/>
    </row>
  </sheetData>
  <sheetProtection/>
  <dataValidations count="1">
    <dataValidation type="list" allowBlank="1" showInputMessage="1" showErrorMessage="1" sqref="C6">
      <formula1>INDIRECT(B6)</formula1>
    </dataValidation>
  </dataValidation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2:N55"/>
  <sheetViews>
    <sheetView view="pageBreakPreview" zoomScaleSheetLayoutView="100" zoomScalePageLayoutView="0" workbookViewId="0" topLeftCell="A13">
      <selection activeCell="I44" sqref="I44"/>
    </sheetView>
  </sheetViews>
  <sheetFormatPr defaultColWidth="9.140625" defaultRowHeight="12.75"/>
  <cols>
    <col min="1" max="1" width="3.421875" style="13" customWidth="1"/>
    <col min="2" max="2" width="21.421875" style="13" customWidth="1"/>
    <col min="3" max="4" width="12.7109375" style="13" customWidth="1"/>
    <col min="5" max="5" width="13.7109375" style="13" customWidth="1"/>
    <col min="6" max="6" width="14.7109375" style="13" customWidth="1"/>
    <col min="7" max="7" width="14.57421875" style="13" bestFit="1" customWidth="1"/>
    <col min="8" max="8" width="14.7109375" style="13" customWidth="1"/>
    <col min="9" max="9" width="17.00390625" style="13" customWidth="1"/>
    <col min="10" max="10" width="21.140625" style="13" customWidth="1"/>
    <col min="11" max="11" width="15.00390625" style="13" customWidth="1"/>
    <col min="12" max="12" width="21.140625" style="13" customWidth="1"/>
    <col min="13" max="13" width="14.57421875" style="151" customWidth="1"/>
    <col min="14" max="14" width="15.8515625" style="13" bestFit="1" customWidth="1"/>
    <col min="15" max="17" width="9.140625" style="13" customWidth="1"/>
    <col min="18" max="18" width="12.28125" style="13" bestFit="1" customWidth="1"/>
    <col min="19" max="19" width="9.140625" style="13" customWidth="1"/>
    <col min="20" max="20" width="13.421875" style="13" bestFit="1" customWidth="1"/>
    <col min="21" max="21" width="9.140625" style="13" customWidth="1"/>
    <col min="22" max="23" width="13.421875" style="13" bestFit="1" customWidth="1"/>
    <col min="24" max="16384" width="9.140625" style="13" customWidth="1"/>
  </cols>
  <sheetData>
    <row r="2" spans="2:10" ht="21">
      <c r="B2" s="150" t="s">
        <v>222</v>
      </c>
      <c r="C2" s="150" t="s">
        <v>368</v>
      </c>
      <c r="D2" s="151"/>
      <c r="E2" s="151"/>
      <c r="F2" s="151"/>
      <c r="G2" s="151"/>
      <c r="H2" s="151"/>
      <c r="I2" s="151"/>
      <c r="J2" s="151"/>
    </row>
    <row r="4" spans="1:12" ht="12.75" customHeight="1">
      <c r="A4" s="599"/>
      <c r="B4" s="667" t="s">
        <v>111</v>
      </c>
      <c r="C4" s="667" t="s">
        <v>112</v>
      </c>
      <c r="D4" s="667" t="s">
        <v>113</v>
      </c>
      <c r="E4" s="668" t="s">
        <v>15</v>
      </c>
      <c r="F4" s="669"/>
      <c r="G4" s="669"/>
      <c r="H4" s="669"/>
      <c r="I4" s="668" t="s">
        <v>17</v>
      </c>
      <c r="J4" s="669"/>
      <c r="K4" s="669"/>
      <c r="L4" s="670"/>
    </row>
    <row r="5" spans="2:12" ht="12.75">
      <c r="B5" s="667"/>
      <c r="C5" s="667"/>
      <c r="D5" s="667"/>
      <c r="E5" s="671" t="s">
        <v>14</v>
      </c>
      <c r="F5" s="671"/>
      <c r="G5" s="671"/>
      <c r="H5" s="672" t="s">
        <v>116</v>
      </c>
      <c r="I5" s="665" t="s">
        <v>211</v>
      </c>
      <c r="J5" s="666"/>
      <c r="K5" s="665" t="s">
        <v>212</v>
      </c>
      <c r="L5" s="666"/>
    </row>
    <row r="6" spans="2:12" ht="12.75">
      <c r="B6" s="667"/>
      <c r="C6" s="667"/>
      <c r="D6" s="667"/>
      <c r="E6" s="319" t="s">
        <v>117</v>
      </c>
      <c r="F6" s="319" t="s">
        <v>257</v>
      </c>
      <c r="G6" s="288" t="s">
        <v>89</v>
      </c>
      <c r="H6" s="673"/>
      <c r="I6" s="289" t="s">
        <v>14</v>
      </c>
      <c r="J6" s="289" t="s">
        <v>94</v>
      </c>
      <c r="K6" s="222" t="s">
        <v>14</v>
      </c>
      <c r="L6" s="222" t="s">
        <v>94</v>
      </c>
    </row>
    <row r="7" spans="1:13" ht="12.75">
      <c r="A7" s="599"/>
      <c r="B7" s="223" t="s">
        <v>362</v>
      </c>
      <c r="C7" s="224" t="s">
        <v>114</v>
      </c>
      <c r="D7" s="225"/>
      <c r="E7" s="320">
        <v>64717215.199999996</v>
      </c>
      <c r="F7" s="320">
        <v>208184672.5</v>
      </c>
      <c r="G7" s="320">
        <v>272901887.7</v>
      </c>
      <c r="H7" s="320">
        <v>314089618.3236619</v>
      </c>
      <c r="I7" s="320">
        <v>725153027.21</v>
      </c>
      <c r="J7" s="320">
        <v>218716319.93</v>
      </c>
      <c r="K7" s="320">
        <v>762016168.3910167</v>
      </c>
      <c r="L7" s="320">
        <v>229834760.14556727</v>
      </c>
      <c r="M7" s="13"/>
    </row>
    <row r="8" spans="1:13" ht="12.75">
      <c r="A8" s="599"/>
      <c r="B8" s="99" t="s">
        <v>47</v>
      </c>
      <c r="C8" s="64" t="s">
        <v>115</v>
      </c>
      <c r="D8" s="62"/>
      <c r="E8" s="321">
        <v>206007273.1</v>
      </c>
      <c r="F8" s="321">
        <v>427055802.3</v>
      </c>
      <c r="G8" s="321">
        <v>633063075.4</v>
      </c>
      <c r="H8" s="321">
        <v>643095500.1992413</v>
      </c>
      <c r="I8" s="321">
        <v>2153568315.7</v>
      </c>
      <c r="J8" s="321">
        <v>545342831.73</v>
      </c>
      <c r="K8" s="321">
        <v>2263044922.5481477</v>
      </c>
      <c r="L8" s="321">
        <v>573065324.8366815</v>
      </c>
      <c r="M8" s="13"/>
    </row>
    <row r="9" spans="1:13" ht="12.75">
      <c r="A9" s="599"/>
      <c r="B9" s="99" t="s">
        <v>48</v>
      </c>
      <c r="C9" s="64" t="s">
        <v>118</v>
      </c>
      <c r="D9" s="62"/>
      <c r="E9" s="321">
        <v>52168264.3</v>
      </c>
      <c r="F9" s="321">
        <v>339628466.3</v>
      </c>
      <c r="G9" s="321">
        <v>391796730.6</v>
      </c>
      <c r="H9" s="321">
        <v>493875253.90546846</v>
      </c>
      <c r="I9" s="321">
        <v>1216010068.9</v>
      </c>
      <c r="J9" s="321">
        <v>729013679.46</v>
      </c>
      <c r="K9" s="321">
        <v>1150908191.4063098</v>
      </c>
      <c r="L9" s="321">
        <v>689984266.4105163</v>
      </c>
      <c r="M9" s="13"/>
    </row>
    <row r="10" spans="1:13" ht="12.75">
      <c r="A10" s="599"/>
      <c r="B10" s="99" t="s">
        <v>49</v>
      </c>
      <c r="C10" s="64" t="s">
        <v>119</v>
      </c>
      <c r="D10" s="62"/>
      <c r="E10" s="321">
        <v>94289533.3</v>
      </c>
      <c r="F10" s="321">
        <v>341326289.1</v>
      </c>
      <c r="G10" s="321">
        <v>435615822.4</v>
      </c>
      <c r="H10" s="321">
        <v>920652156.691436</v>
      </c>
      <c r="I10" s="321">
        <v>1515810426.6</v>
      </c>
      <c r="J10" s="321">
        <v>549910260.26</v>
      </c>
      <c r="K10" s="321">
        <v>1592866622.5513558</v>
      </c>
      <c r="L10" s="321">
        <v>577864938.514392</v>
      </c>
      <c r="M10" s="13"/>
    </row>
    <row r="11" spans="1:13" ht="12.75">
      <c r="A11" s="599"/>
      <c r="B11" s="99" t="s">
        <v>50</v>
      </c>
      <c r="C11" s="64" t="s">
        <v>120</v>
      </c>
      <c r="D11" s="62"/>
      <c r="E11" s="321">
        <v>93973800.2</v>
      </c>
      <c r="F11" s="321">
        <v>478004617.1</v>
      </c>
      <c r="G11" s="321">
        <v>571978417.3</v>
      </c>
      <c r="H11" s="321">
        <v>464817682.5311439</v>
      </c>
      <c r="I11" s="321">
        <v>2005138888</v>
      </c>
      <c r="J11" s="321">
        <v>391172446.12</v>
      </c>
      <c r="K11" s="321">
        <v>1897789196.0994263</v>
      </c>
      <c r="L11" s="321">
        <v>370230135.42906314</v>
      </c>
      <c r="M11" s="13"/>
    </row>
    <row r="12" spans="1:13" ht="12.75">
      <c r="A12" s="599"/>
      <c r="B12" s="99" t="s">
        <v>51</v>
      </c>
      <c r="C12" s="64" t="s">
        <v>121</v>
      </c>
      <c r="D12" s="62"/>
      <c r="E12" s="321">
        <v>35391118.2</v>
      </c>
      <c r="F12" s="321">
        <v>324809332.4</v>
      </c>
      <c r="G12" s="321">
        <v>360200450.6</v>
      </c>
      <c r="H12" s="321">
        <v>1437742520.8307006</v>
      </c>
      <c r="I12" s="321">
        <v>950267438.17</v>
      </c>
      <c r="J12" s="321">
        <v>1283941438.6</v>
      </c>
      <c r="K12" s="321">
        <v>998574266.4097713</v>
      </c>
      <c r="L12" s="321">
        <v>1349210578.6894653</v>
      </c>
      <c r="M12" s="13"/>
    </row>
    <row r="13" spans="2:13" ht="12.75">
      <c r="B13" s="99" t="s">
        <v>52</v>
      </c>
      <c r="C13" s="64" t="s">
        <v>122</v>
      </c>
      <c r="D13" s="62"/>
      <c r="E13" s="321">
        <v>5733891.4</v>
      </c>
      <c r="F13" s="321">
        <v>22188959.7</v>
      </c>
      <c r="G13" s="321">
        <v>27922851.1</v>
      </c>
      <c r="H13" s="321">
        <v>2074873155.2847385</v>
      </c>
      <c r="I13" s="321">
        <v>28506296.882</v>
      </c>
      <c r="J13" s="321">
        <v>640501522.81</v>
      </c>
      <c r="K13" s="321">
        <v>29955413.9746393</v>
      </c>
      <c r="L13" s="321">
        <v>673061406.2774155</v>
      </c>
      <c r="M13" s="13"/>
    </row>
    <row r="14" spans="1:13" ht="12.75">
      <c r="A14" s="599"/>
      <c r="B14" s="99" t="s">
        <v>53</v>
      </c>
      <c r="C14" s="64" t="s">
        <v>123</v>
      </c>
      <c r="D14" s="62"/>
      <c r="E14" s="321">
        <v>147835368.7</v>
      </c>
      <c r="F14" s="321">
        <v>461875531.8</v>
      </c>
      <c r="G14" s="321">
        <v>609710900.5</v>
      </c>
      <c r="H14" s="321">
        <v>613317979.4647782</v>
      </c>
      <c r="I14" s="321">
        <v>2005526051</v>
      </c>
      <c r="J14" s="321">
        <v>408058854.44</v>
      </c>
      <c r="K14" s="321">
        <v>1898155631.4435947</v>
      </c>
      <c r="L14" s="321">
        <v>386212491.2959847</v>
      </c>
      <c r="M14" s="13"/>
    </row>
    <row r="15" spans="1:13" ht="12.75">
      <c r="A15" s="599"/>
      <c r="B15" s="99" t="s">
        <v>54</v>
      </c>
      <c r="C15" s="64" t="s">
        <v>124</v>
      </c>
      <c r="D15" s="62"/>
      <c r="E15" s="321">
        <v>59432997</v>
      </c>
      <c r="F15" s="321">
        <v>429478576.4</v>
      </c>
      <c r="G15" s="321">
        <v>488911573.4</v>
      </c>
      <c r="H15" s="321">
        <v>893535420.9298674</v>
      </c>
      <c r="I15" s="321">
        <v>1653834022</v>
      </c>
      <c r="J15" s="321">
        <v>740748492.72</v>
      </c>
      <c r="K15" s="321">
        <v>1737906644.9572775</v>
      </c>
      <c r="L15" s="321">
        <v>778404429.1115541</v>
      </c>
      <c r="M15" s="13"/>
    </row>
    <row r="16" spans="1:13" ht="12.75">
      <c r="A16" s="599"/>
      <c r="B16" s="99" t="s">
        <v>363</v>
      </c>
      <c r="C16" s="64" t="s">
        <v>125</v>
      </c>
      <c r="D16" s="62"/>
      <c r="E16" s="321">
        <v>174987955.5</v>
      </c>
      <c r="F16" s="321">
        <v>332773048.7</v>
      </c>
      <c r="G16" s="321">
        <v>507761004.2</v>
      </c>
      <c r="H16" s="321">
        <v>583160755.0254399</v>
      </c>
      <c r="I16" s="321">
        <v>1529563179</v>
      </c>
      <c r="J16" s="321">
        <v>522842681.75</v>
      </c>
      <c r="K16" s="321">
        <v>1607318495.8738728</v>
      </c>
      <c r="L16" s="321">
        <v>549421380.1344861</v>
      </c>
      <c r="M16" s="13"/>
    </row>
    <row r="17" spans="1:13" ht="12.75">
      <c r="A17" s="599"/>
      <c r="B17" s="99" t="s">
        <v>56</v>
      </c>
      <c r="C17" s="64" t="s">
        <v>126</v>
      </c>
      <c r="D17" s="62"/>
      <c r="E17" s="321">
        <v>39221553.9</v>
      </c>
      <c r="F17" s="321">
        <v>342118403</v>
      </c>
      <c r="G17" s="321">
        <v>381339956.9</v>
      </c>
      <c r="H17" s="321">
        <v>492522720.4415847</v>
      </c>
      <c r="I17" s="321">
        <v>1114219105.2</v>
      </c>
      <c r="J17" s="321">
        <v>990459288.54</v>
      </c>
      <c r="K17" s="321">
        <v>1054566839.5296369</v>
      </c>
      <c r="L17" s="321">
        <v>937432787.4326961</v>
      </c>
      <c r="M17" s="13"/>
    </row>
    <row r="18" spans="1:13" ht="12.75">
      <c r="A18" s="599"/>
      <c r="B18" s="99" t="s">
        <v>57</v>
      </c>
      <c r="C18" s="64" t="s">
        <v>127</v>
      </c>
      <c r="D18" s="62"/>
      <c r="E18" s="321">
        <v>43273687.3</v>
      </c>
      <c r="F18" s="321">
        <v>310607056.9</v>
      </c>
      <c r="G18" s="321">
        <v>353880744.2</v>
      </c>
      <c r="H18" s="321">
        <v>694558036.5446006</v>
      </c>
      <c r="I18" s="321">
        <v>966211189.48</v>
      </c>
      <c r="J18" s="321">
        <v>308923558.61</v>
      </c>
      <c r="K18" s="321">
        <v>1015328518.0327286</v>
      </c>
      <c r="L18" s="321">
        <v>324627682.192021</v>
      </c>
      <c r="M18" s="13"/>
    </row>
    <row r="19" spans="1:13" ht="12.75">
      <c r="A19" s="599"/>
      <c r="B19" s="99" t="s">
        <v>58</v>
      </c>
      <c r="C19" s="64" t="s">
        <v>128</v>
      </c>
      <c r="D19" s="62"/>
      <c r="E19" s="321">
        <v>33227405.500000004</v>
      </c>
      <c r="F19" s="321">
        <v>259101286.20000002</v>
      </c>
      <c r="G19" s="321">
        <v>292328691.7</v>
      </c>
      <c r="H19" s="321">
        <v>665763395.7571929</v>
      </c>
      <c r="I19" s="321">
        <v>877356525.19</v>
      </c>
      <c r="J19" s="321">
        <v>506450219.43</v>
      </c>
      <c r="K19" s="321">
        <v>921956928.4712223</v>
      </c>
      <c r="L19" s="321">
        <v>532195607.2853533</v>
      </c>
      <c r="M19" s="13"/>
    </row>
    <row r="20" spans="1:13" ht="12.75">
      <c r="A20" s="599"/>
      <c r="B20" s="99" t="s">
        <v>59</v>
      </c>
      <c r="C20" s="64" t="s">
        <v>129</v>
      </c>
      <c r="D20" s="62"/>
      <c r="E20" s="321">
        <v>100849973.4</v>
      </c>
      <c r="F20" s="321">
        <v>270961698.3</v>
      </c>
      <c r="G20" s="321">
        <v>371811671.7</v>
      </c>
      <c r="H20" s="321">
        <v>399106720.12195855</v>
      </c>
      <c r="I20" s="321">
        <v>1250086045.7</v>
      </c>
      <c r="J20" s="321">
        <v>309329391.16</v>
      </c>
      <c r="K20" s="321">
        <v>1313634147.49633</v>
      </c>
      <c r="L20" s="321">
        <v>325054145.23244876</v>
      </c>
      <c r="M20" s="13"/>
    </row>
    <row r="21" spans="1:13" ht="12.75">
      <c r="A21" s="599"/>
      <c r="B21" s="99" t="s">
        <v>60</v>
      </c>
      <c r="C21" s="64" t="s">
        <v>130</v>
      </c>
      <c r="D21" s="62"/>
      <c r="E21" s="321">
        <v>109404914.6</v>
      </c>
      <c r="F21" s="321">
        <v>252115935.3</v>
      </c>
      <c r="G21" s="321">
        <v>361520849.9</v>
      </c>
      <c r="H21" s="321">
        <v>326677306.5700369</v>
      </c>
      <c r="I21" s="321">
        <v>1403403789.8</v>
      </c>
      <c r="J21" s="321">
        <v>362387135.14</v>
      </c>
      <c r="K21" s="321">
        <v>1474745796.3781362</v>
      </c>
      <c r="L21" s="321">
        <v>380809078.6796239</v>
      </c>
      <c r="M21" s="13"/>
    </row>
    <row r="22" spans="1:13" ht="12.75">
      <c r="A22" s="599"/>
      <c r="B22" s="99" t="s">
        <v>61</v>
      </c>
      <c r="C22" s="64" t="s">
        <v>131</v>
      </c>
      <c r="D22" s="62"/>
      <c r="E22" s="321">
        <v>103422849.7</v>
      </c>
      <c r="F22" s="321">
        <v>315478052.6</v>
      </c>
      <c r="G22" s="321">
        <v>418900902.3</v>
      </c>
      <c r="H22" s="321">
        <v>406286226.0180961</v>
      </c>
      <c r="I22" s="321">
        <v>1322673900.4</v>
      </c>
      <c r="J22" s="321">
        <v>216174153.5</v>
      </c>
      <c r="K22" s="321">
        <v>1389912004.4929879</v>
      </c>
      <c r="L22" s="321">
        <v>227163362.73052222</v>
      </c>
      <c r="M22" s="13"/>
    </row>
    <row r="23" spans="1:13" ht="12.75">
      <c r="A23" s="599"/>
      <c r="B23" s="99" t="s">
        <v>62</v>
      </c>
      <c r="C23" s="64" t="s">
        <v>132</v>
      </c>
      <c r="D23" s="62"/>
      <c r="E23" s="321">
        <v>80991842.1</v>
      </c>
      <c r="F23" s="321">
        <v>357216956.1</v>
      </c>
      <c r="G23" s="321">
        <v>438208798.2</v>
      </c>
      <c r="H23" s="321">
        <v>1180886539.135543</v>
      </c>
      <c r="I23" s="321">
        <v>1420398605.3</v>
      </c>
      <c r="J23" s="321">
        <v>811298049.09</v>
      </c>
      <c r="K23" s="321">
        <v>1492604543.0204113</v>
      </c>
      <c r="L23" s="321">
        <v>852540370.9190272</v>
      </c>
      <c r="M23" s="13"/>
    </row>
    <row r="24" spans="1:13" ht="12.75">
      <c r="A24" s="599"/>
      <c r="B24" s="99" t="s">
        <v>63</v>
      </c>
      <c r="C24" s="64" t="s">
        <v>133</v>
      </c>
      <c r="D24" s="62"/>
      <c r="E24" s="321">
        <v>53331530.5</v>
      </c>
      <c r="F24" s="321">
        <v>336267101.5</v>
      </c>
      <c r="G24" s="321">
        <v>389598632</v>
      </c>
      <c r="H24" s="321">
        <v>1018968794.4586173</v>
      </c>
      <c r="I24" s="321">
        <v>1149808512.1</v>
      </c>
      <c r="J24" s="321">
        <v>612612815.58</v>
      </c>
      <c r="K24" s="321">
        <v>1088250886.2131932</v>
      </c>
      <c r="L24" s="321">
        <v>579815188.7420651</v>
      </c>
      <c r="M24" s="13"/>
    </row>
    <row r="25" spans="1:13" ht="12.75">
      <c r="A25" s="599"/>
      <c r="B25" s="99" t="s">
        <v>364</v>
      </c>
      <c r="C25" s="64" t="s">
        <v>134</v>
      </c>
      <c r="D25" s="62"/>
      <c r="E25" s="321">
        <v>37692134.2</v>
      </c>
      <c r="F25" s="321">
        <v>287886713.9</v>
      </c>
      <c r="G25" s="321">
        <v>325578848.1</v>
      </c>
      <c r="H25" s="321">
        <v>837081633.1830966</v>
      </c>
      <c r="I25" s="321">
        <v>895781706.75</v>
      </c>
      <c r="J25" s="321">
        <v>614091406.47</v>
      </c>
      <c r="K25" s="321">
        <v>941318753.8065995</v>
      </c>
      <c r="L25" s="321">
        <v>645308732.1451738</v>
      </c>
      <c r="M25" s="13"/>
    </row>
    <row r="26" spans="1:13" ht="12.75">
      <c r="A26" s="599"/>
      <c r="B26" s="99" t="s">
        <v>65</v>
      </c>
      <c r="C26" s="64" t="s">
        <v>135</v>
      </c>
      <c r="D26" s="62"/>
      <c r="E26" s="321">
        <v>38282083.5</v>
      </c>
      <c r="F26" s="321">
        <v>344250363.7</v>
      </c>
      <c r="G26" s="321">
        <v>382532447.2</v>
      </c>
      <c r="H26" s="321">
        <v>1281781899.985828</v>
      </c>
      <c r="I26" s="321">
        <v>876150979.18</v>
      </c>
      <c r="J26" s="321">
        <v>914513205.75</v>
      </c>
      <c r="K26" s="321">
        <v>920690098.5513449</v>
      </c>
      <c r="L26" s="321">
        <v>961002468.2235657</v>
      </c>
      <c r="M26" s="13"/>
    </row>
    <row r="27" spans="1:13" ht="12.75">
      <c r="A27" s="599"/>
      <c r="B27" s="99" t="s">
        <v>66</v>
      </c>
      <c r="C27" s="64" t="s">
        <v>136</v>
      </c>
      <c r="D27" s="62"/>
      <c r="E27" s="321">
        <v>56747947.1</v>
      </c>
      <c r="F27" s="321">
        <v>217082890.6</v>
      </c>
      <c r="G27" s="321">
        <v>273830837.7</v>
      </c>
      <c r="H27" s="321">
        <v>359797652.715695</v>
      </c>
      <c r="I27" s="321">
        <v>883906577.73</v>
      </c>
      <c r="J27" s="321">
        <v>234953874.62</v>
      </c>
      <c r="K27" s="321">
        <v>836584619.4576482</v>
      </c>
      <c r="L27" s="321">
        <v>222375082.09732315</v>
      </c>
      <c r="M27" s="13"/>
    </row>
    <row r="28" spans="1:13" ht="12.75">
      <c r="A28" s="599"/>
      <c r="B28" s="99" t="s">
        <v>67</v>
      </c>
      <c r="C28" s="64" t="s">
        <v>137</v>
      </c>
      <c r="D28" s="62"/>
      <c r="E28" s="321">
        <v>50115004.1</v>
      </c>
      <c r="F28" s="321">
        <v>399524773</v>
      </c>
      <c r="G28" s="321">
        <v>449639777.1</v>
      </c>
      <c r="H28" s="321">
        <v>729483166.6509238</v>
      </c>
      <c r="I28" s="321">
        <v>1368616738.4</v>
      </c>
      <c r="J28" s="321">
        <v>765186350.2</v>
      </c>
      <c r="K28" s="321">
        <v>1295344714.164436</v>
      </c>
      <c r="L28" s="321">
        <v>724220350.5717018</v>
      </c>
      <c r="M28" s="13"/>
    </row>
    <row r="29" spans="1:13" ht="12.75">
      <c r="A29" s="599"/>
      <c r="B29" s="99" t="s">
        <v>68</v>
      </c>
      <c r="C29" s="64" t="s">
        <v>138</v>
      </c>
      <c r="D29" s="62"/>
      <c r="E29" s="321">
        <v>54133268.6</v>
      </c>
      <c r="F29" s="321">
        <v>368655604.7</v>
      </c>
      <c r="G29" s="321">
        <v>422788873.3</v>
      </c>
      <c r="H29" s="321">
        <v>344916539.89817417</v>
      </c>
      <c r="I29" s="321">
        <v>1303232252.9</v>
      </c>
      <c r="J29" s="321">
        <v>262413470.22000003</v>
      </c>
      <c r="K29" s="321">
        <v>1233460736.492352</v>
      </c>
      <c r="L29" s="321">
        <v>248364565.50458893</v>
      </c>
      <c r="M29" s="13"/>
    </row>
    <row r="30" spans="1:13" ht="12.75">
      <c r="A30" s="599"/>
      <c r="B30" s="99" t="s">
        <v>69</v>
      </c>
      <c r="C30" s="64" t="s">
        <v>139</v>
      </c>
      <c r="D30" s="62"/>
      <c r="E30" s="321">
        <v>37612598.1</v>
      </c>
      <c r="F30" s="321">
        <v>287256438.5</v>
      </c>
      <c r="G30" s="321">
        <v>324869036.6</v>
      </c>
      <c r="H30" s="321">
        <v>388316157.81598634</v>
      </c>
      <c r="I30" s="321">
        <v>1051523839.9</v>
      </c>
      <c r="J30" s="321">
        <v>313556498.2</v>
      </c>
      <c r="K30" s="321">
        <v>995228108.5095602</v>
      </c>
      <c r="L30" s="321">
        <v>296769534.62523896</v>
      </c>
      <c r="M30" s="13"/>
    </row>
    <row r="31" spans="1:13" ht="12.75">
      <c r="A31" s="599"/>
      <c r="B31" s="99" t="s">
        <v>70</v>
      </c>
      <c r="C31" s="64" t="s">
        <v>140</v>
      </c>
      <c r="D31" s="62"/>
      <c r="E31" s="321">
        <v>47045737.5</v>
      </c>
      <c r="F31" s="321">
        <v>338734398.9</v>
      </c>
      <c r="G31" s="321">
        <v>385780136.4</v>
      </c>
      <c r="H31" s="321">
        <v>1082522810.093782</v>
      </c>
      <c r="I31" s="321">
        <v>1071544237.8999999</v>
      </c>
      <c r="J31" s="321">
        <v>916973449.92</v>
      </c>
      <c r="K31" s="321">
        <v>1126016170.0870435</v>
      </c>
      <c r="L31" s="321">
        <v>963587778.8619875</v>
      </c>
      <c r="M31" s="13"/>
    </row>
    <row r="32" spans="1:13" ht="12.75">
      <c r="A32" s="599"/>
      <c r="B32" s="99" t="s">
        <v>71</v>
      </c>
      <c r="C32" s="64" t="s">
        <v>141</v>
      </c>
      <c r="D32" s="62"/>
      <c r="E32" s="321">
        <v>49288301.9</v>
      </c>
      <c r="F32" s="321">
        <v>366445008.6</v>
      </c>
      <c r="G32" s="321">
        <v>415733310.5</v>
      </c>
      <c r="H32" s="321">
        <v>328422935.12488604</v>
      </c>
      <c r="I32" s="321">
        <v>1418479595.5</v>
      </c>
      <c r="J32" s="321">
        <v>230078437.54</v>
      </c>
      <c r="K32" s="321">
        <v>1490587980.3915176</v>
      </c>
      <c r="L32" s="321">
        <v>241774470.8012506</v>
      </c>
      <c r="M32" s="13"/>
    </row>
    <row r="33" spans="1:13" ht="12.75">
      <c r="A33" s="599"/>
      <c r="B33" s="226" t="s">
        <v>73</v>
      </c>
      <c r="C33" s="64" t="s">
        <v>142</v>
      </c>
      <c r="D33" s="62"/>
      <c r="E33" s="321">
        <v>58301803.9</v>
      </c>
      <c r="F33" s="321">
        <v>290746401.3</v>
      </c>
      <c r="G33" s="321">
        <v>349048205.2</v>
      </c>
      <c r="H33" s="321">
        <v>412314445.7961486</v>
      </c>
      <c r="I33" s="321">
        <v>1189760983.2</v>
      </c>
      <c r="J33" s="321">
        <v>345215444.26</v>
      </c>
      <c r="K33" s="321">
        <v>1126064410.4856596</v>
      </c>
      <c r="L33" s="321">
        <v>326733546.67055446</v>
      </c>
      <c r="M33" s="13"/>
    </row>
    <row r="34" spans="1:13" ht="12.75">
      <c r="A34" s="599"/>
      <c r="B34" s="99" t="s">
        <v>74</v>
      </c>
      <c r="C34" s="64" t="s">
        <v>143</v>
      </c>
      <c r="D34" s="62"/>
      <c r="E34" s="321">
        <v>82479409</v>
      </c>
      <c r="F34" s="321">
        <v>370715776.6</v>
      </c>
      <c r="G34" s="321">
        <v>453195185.6</v>
      </c>
      <c r="H34" s="321">
        <v>1030571350.3688071</v>
      </c>
      <c r="I34" s="321">
        <v>1022228315</v>
      </c>
      <c r="J34" s="321">
        <v>828847016.19</v>
      </c>
      <c r="K34" s="321">
        <v>967500986.4722754</v>
      </c>
      <c r="L34" s="321">
        <v>784472797.35</v>
      </c>
      <c r="M34" s="13"/>
    </row>
    <row r="35" spans="1:13" ht="12.75">
      <c r="A35" s="599"/>
      <c r="B35" s="99" t="s">
        <v>75</v>
      </c>
      <c r="C35" s="64" t="s">
        <v>144</v>
      </c>
      <c r="D35" s="62"/>
      <c r="E35" s="321">
        <v>88636326.9</v>
      </c>
      <c r="F35" s="321">
        <v>249321801.6</v>
      </c>
      <c r="G35" s="321">
        <v>337958128.5</v>
      </c>
      <c r="H35" s="321">
        <v>351972311.23684967</v>
      </c>
      <c r="I35" s="321">
        <v>1028334073.8</v>
      </c>
      <c r="J35" s="321">
        <v>212446253.67</v>
      </c>
      <c r="K35" s="321">
        <v>973279859.5239005</v>
      </c>
      <c r="L35" s="321">
        <v>201072458.06242827</v>
      </c>
      <c r="M35" s="13"/>
    </row>
    <row r="36" spans="1:13" ht="12.75">
      <c r="A36" s="599"/>
      <c r="B36" s="99" t="s">
        <v>76</v>
      </c>
      <c r="C36" s="64" t="s">
        <v>145</v>
      </c>
      <c r="D36" s="62"/>
      <c r="E36" s="321">
        <v>93510348.5</v>
      </c>
      <c r="F36" s="321">
        <v>317456269.4</v>
      </c>
      <c r="G36" s="321">
        <v>410966617.9</v>
      </c>
      <c r="H36" s="321">
        <v>2529080112.1832013</v>
      </c>
      <c r="I36" s="321">
        <v>683326962.54</v>
      </c>
      <c r="J36" s="321">
        <v>616037450.4</v>
      </c>
      <c r="K36" s="321">
        <v>718063876.470875</v>
      </c>
      <c r="L36" s="321">
        <v>647353703.183583</v>
      </c>
      <c r="M36" s="13"/>
    </row>
    <row r="37" spans="1:13" ht="12.75">
      <c r="A37" s="599"/>
      <c r="B37" s="99" t="s">
        <v>77</v>
      </c>
      <c r="C37" s="64" t="s">
        <v>146</v>
      </c>
      <c r="D37" s="62"/>
      <c r="E37" s="321">
        <v>58476511.5</v>
      </c>
      <c r="F37" s="321">
        <v>303648433.1</v>
      </c>
      <c r="G37" s="321">
        <v>362124944.6</v>
      </c>
      <c r="H37" s="321">
        <v>410147451.2750686</v>
      </c>
      <c r="I37" s="321">
        <v>1188258546.6</v>
      </c>
      <c r="J37" s="321">
        <v>292531533.49</v>
      </c>
      <c r="K37" s="321">
        <v>1248663648.5843296</v>
      </c>
      <c r="L37" s="321">
        <v>307402368.76794237</v>
      </c>
      <c r="M37" s="13"/>
    </row>
    <row r="38" spans="1:13" ht="12.75">
      <c r="A38" s="599"/>
      <c r="B38" s="99" t="s">
        <v>78</v>
      </c>
      <c r="C38" s="64" t="s">
        <v>147</v>
      </c>
      <c r="D38" s="62"/>
      <c r="E38" s="321">
        <v>64641936.3</v>
      </c>
      <c r="F38" s="321">
        <v>441936500.8</v>
      </c>
      <c r="G38" s="321">
        <v>506578437.1</v>
      </c>
      <c r="H38" s="321">
        <v>550536359.3486186</v>
      </c>
      <c r="I38" s="321">
        <v>1505828385.5</v>
      </c>
      <c r="J38" s="321">
        <v>592251598.77</v>
      </c>
      <c r="K38" s="321">
        <v>1425210422.2227533</v>
      </c>
      <c r="L38" s="321">
        <v>560544056.1972275</v>
      </c>
      <c r="M38" s="13"/>
    </row>
    <row r="39" spans="1:13" ht="12.75">
      <c r="A39" s="599"/>
      <c r="B39" s="99" t="s">
        <v>79</v>
      </c>
      <c r="C39" s="64" t="s">
        <v>148</v>
      </c>
      <c r="D39" s="62"/>
      <c r="E39" s="321">
        <v>71334865.7</v>
      </c>
      <c r="F39" s="321">
        <v>424963912.7</v>
      </c>
      <c r="G39" s="321">
        <v>496298778.4</v>
      </c>
      <c r="H39" s="321">
        <v>3492194919.5084133</v>
      </c>
      <c r="I39" s="321">
        <v>926209945.82</v>
      </c>
      <c r="J39" s="321">
        <v>2114501682.3000002</v>
      </c>
      <c r="K39" s="321">
        <v>973293811.866024</v>
      </c>
      <c r="L39" s="321">
        <v>2221992337.5373106</v>
      </c>
      <c r="M39" s="13"/>
    </row>
    <row r="40" spans="2:13" ht="12.75">
      <c r="B40" s="227" t="s">
        <v>213</v>
      </c>
      <c r="C40" s="228"/>
      <c r="D40" s="229"/>
      <c r="E40" s="290"/>
      <c r="F40" s="290"/>
      <c r="G40" s="290"/>
      <c r="H40" s="290"/>
      <c r="I40" s="290"/>
      <c r="J40" s="321">
        <v>112061429.36124955</v>
      </c>
      <c r="K40" s="290"/>
      <c r="L40" s="321">
        <v>106061964.69181363</v>
      </c>
      <c r="M40" s="97"/>
    </row>
    <row r="41" spans="2:14" ht="12.75">
      <c r="B41" s="230" t="s">
        <v>89</v>
      </c>
      <c r="C41" s="231"/>
      <c r="D41" s="231"/>
      <c r="E41" s="322">
        <f>SUM(E7:E39)</f>
        <v>2386559450.7</v>
      </c>
      <c r="F41" s="322">
        <f>SUM(F7:F39)</f>
        <v>10817817073.6</v>
      </c>
      <c r="G41" s="322">
        <f>SUM(G7:G39)</f>
        <v>13204376524.3</v>
      </c>
      <c r="H41" s="322">
        <f>SUM(H7:H39)</f>
        <v>27753069527.419586</v>
      </c>
      <c r="I41" s="292">
        <f>SUM(I7:I39)</f>
        <v>39700718527.35201</v>
      </c>
      <c r="J41" s="292">
        <f>SUM(J7:J40)</f>
        <v>19513542240.23125</v>
      </c>
      <c r="K41" s="292">
        <f>SUM(K7:K39)</f>
        <v>39960843414.37639</v>
      </c>
      <c r="L41" s="325">
        <f>SUM(L7:L40)</f>
        <v>19795964149.350574</v>
      </c>
      <c r="N41" s="297"/>
    </row>
    <row r="42" spans="2:12" s="151" customFormat="1" ht="12.75">
      <c r="B42" s="293"/>
      <c r="C42" s="294"/>
      <c r="D42" s="294"/>
      <c r="E42" s="294"/>
      <c r="F42" s="294"/>
      <c r="G42" s="295"/>
      <c r="H42" s="295"/>
      <c r="I42" s="296"/>
      <c r="J42" s="296"/>
      <c r="K42" s="296"/>
      <c r="L42" s="296"/>
    </row>
    <row r="43" spans="2:12" ht="12.75">
      <c r="B43" s="13" t="s">
        <v>361</v>
      </c>
      <c r="E43" s="97"/>
      <c r="F43" s="97"/>
      <c r="G43" s="97"/>
      <c r="H43" s="97"/>
      <c r="I43" s="97"/>
      <c r="J43" s="97"/>
      <c r="K43" s="97"/>
      <c r="L43" s="506"/>
    </row>
    <row r="44" spans="5:12" ht="12.75">
      <c r="E44" s="97"/>
      <c r="F44" s="97"/>
      <c r="G44" s="97"/>
      <c r="H44" s="97"/>
      <c r="I44" s="97"/>
      <c r="J44" s="97"/>
      <c r="K44" s="97"/>
      <c r="L44" s="506"/>
    </row>
    <row r="45" spans="5:11" ht="12.75">
      <c r="E45" s="97"/>
      <c r="F45" s="97"/>
      <c r="G45" s="97"/>
      <c r="H45" s="97"/>
      <c r="I45" s="97"/>
      <c r="J45" s="97"/>
      <c r="K45" s="97"/>
    </row>
    <row r="46" spans="5:11" ht="12.75">
      <c r="E46" s="97"/>
      <c r="F46" s="97"/>
      <c r="G46" s="97"/>
      <c r="H46" s="97"/>
      <c r="I46" s="97"/>
      <c r="J46" s="97"/>
      <c r="K46" s="97"/>
    </row>
    <row r="47" spans="5:11" ht="12.75">
      <c r="E47" s="97"/>
      <c r="F47" s="97"/>
      <c r="G47" s="97"/>
      <c r="H47" s="97"/>
      <c r="I47" s="97"/>
      <c r="J47" s="97"/>
      <c r="K47" s="97"/>
    </row>
    <row r="48" spans="5:11" ht="12.75">
      <c r="E48" s="97"/>
      <c r="F48" s="97"/>
      <c r="G48" s="97"/>
      <c r="H48" s="97"/>
      <c r="I48" s="97"/>
      <c r="J48" s="97"/>
      <c r="K48" s="97"/>
    </row>
    <row r="49" spans="5:11" ht="12.75">
      <c r="E49" s="97"/>
      <c r="F49" s="97"/>
      <c r="G49" s="97"/>
      <c r="H49" s="97"/>
      <c r="I49" s="97"/>
      <c r="J49" s="97"/>
      <c r="K49" s="97"/>
    </row>
    <row r="50" spans="5:11" ht="12.75">
      <c r="E50" s="97"/>
      <c r="F50" s="97"/>
      <c r="G50" s="97"/>
      <c r="H50" s="97"/>
      <c r="I50" s="97"/>
      <c r="J50" s="97"/>
      <c r="K50" s="97"/>
    </row>
    <row r="51" spans="5:11" ht="12.75">
      <c r="E51" s="97"/>
      <c r="F51" s="97"/>
      <c r="G51" s="97"/>
      <c r="H51" s="97"/>
      <c r="I51" s="97"/>
      <c r="J51" s="97"/>
      <c r="K51" s="97"/>
    </row>
    <row r="52" spans="5:11" ht="12.75">
      <c r="E52" s="97"/>
      <c r="F52" s="97"/>
      <c r="G52" s="97"/>
      <c r="H52" s="97"/>
      <c r="I52" s="97"/>
      <c r="J52" s="97"/>
      <c r="K52" s="97"/>
    </row>
    <row r="53" spans="5:11" ht="12.75">
      <c r="E53" s="97"/>
      <c r="F53" s="97"/>
      <c r="G53" s="97"/>
      <c r="H53" s="97"/>
      <c r="I53" s="97"/>
      <c r="J53" s="97"/>
      <c r="K53" s="97"/>
    </row>
    <row r="54" spans="5:11" ht="12.75">
      <c r="E54" s="97"/>
      <c r="F54" s="97"/>
      <c r="G54" s="97"/>
      <c r="H54" s="97"/>
      <c r="I54" s="97"/>
      <c r="J54" s="97"/>
      <c r="K54" s="97"/>
    </row>
    <row r="55" spans="5:11" ht="12.75">
      <c r="E55" s="97"/>
      <c r="F55" s="97"/>
      <c r="G55" s="97"/>
      <c r="H55" s="97"/>
      <c r="I55" s="97"/>
      <c r="J55" s="97"/>
      <c r="K55" s="97"/>
    </row>
  </sheetData>
  <sheetProtection/>
  <mergeCells count="9">
    <mergeCell ref="I5:J5"/>
    <mergeCell ref="K5:L5"/>
    <mergeCell ref="B4:B6"/>
    <mergeCell ref="C4:C6"/>
    <mergeCell ref="D4:D6"/>
    <mergeCell ref="I4:L4"/>
    <mergeCell ref="E5:G5"/>
    <mergeCell ref="E4:H4"/>
    <mergeCell ref="H5:H6"/>
  </mergeCells>
  <printOptions/>
  <pageMargins left="0.25" right="0.25" top="0.75" bottom="0.75" header="0.3" footer="0.3"/>
  <pageSetup fitToHeight="1" fitToWidth="1"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B2:AL89"/>
  <sheetViews>
    <sheetView view="pageBreakPreview" zoomScaleSheetLayoutView="100" zoomScalePageLayoutView="0" workbookViewId="0" topLeftCell="A1">
      <selection activeCell="G2" sqref="G2"/>
    </sheetView>
  </sheetViews>
  <sheetFormatPr defaultColWidth="9.140625" defaultRowHeight="12.75"/>
  <cols>
    <col min="1" max="1" width="2.7109375" style="51" customWidth="1"/>
    <col min="2" max="2" width="21.421875" style="51" customWidth="1"/>
    <col min="3" max="4" width="12.7109375" style="51" customWidth="1"/>
    <col min="5" max="9" width="20.7109375" style="51" customWidth="1"/>
    <col min="10" max="10" width="13.7109375" style="56" customWidth="1"/>
    <col min="11" max="11" width="20.7109375" style="57" customWidth="1"/>
    <col min="12" max="15" width="20.7109375" style="56" customWidth="1"/>
    <col min="16" max="16" width="13.57421875" style="56" customWidth="1"/>
    <col min="17" max="17" width="26.57421875" style="56" customWidth="1"/>
    <col min="18" max="18" width="17.7109375" style="56" customWidth="1"/>
    <col min="19" max="19" width="12.00390625" style="56" customWidth="1"/>
    <col min="20" max="20" width="9.28125" style="56" bestFit="1" customWidth="1"/>
    <col min="21" max="24" width="9.140625" style="58" customWidth="1"/>
    <col min="25" max="25" width="9.28125" style="58" bestFit="1" customWidth="1"/>
    <col min="26" max="38" width="9.140625" style="56" customWidth="1"/>
    <col min="39" max="16384" width="9.140625" style="51" customWidth="1"/>
  </cols>
  <sheetData>
    <row r="1" ht="12.75"/>
    <row r="2" spans="2:4" ht="21">
      <c r="B2" s="150" t="s">
        <v>158</v>
      </c>
      <c r="C2" s="150" t="s">
        <v>407</v>
      </c>
      <c r="D2" s="151"/>
    </row>
    <row r="3" spans="3:14" ht="13.5" thickBot="1">
      <c r="C3" s="53"/>
      <c r="D3" s="52"/>
      <c r="E3" s="52"/>
      <c r="F3" s="52"/>
      <c r="G3" s="52"/>
      <c r="H3" s="52"/>
      <c r="I3" s="52"/>
      <c r="J3" s="52"/>
      <c r="K3" s="59"/>
      <c r="L3" s="52"/>
      <c r="M3" s="52"/>
      <c r="N3" s="52"/>
    </row>
    <row r="4" spans="2:15" ht="12.75" customHeight="1">
      <c r="B4" s="690" t="s">
        <v>111</v>
      </c>
      <c r="C4" s="693" t="s">
        <v>112</v>
      </c>
      <c r="D4" s="675" t="s">
        <v>113</v>
      </c>
      <c r="E4" s="680" t="s">
        <v>2</v>
      </c>
      <c r="F4" s="681"/>
      <c r="G4" s="681"/>
      <c r="H4" s="681"/>
      <c r="I4" s="682"/>
      <c r="J4" s="65"/>
      <c r="K4" s="674" t="s">
        <v>3</v>
      </c>
      <c r="L4" s="675"/>
      <c r="M4" s="675"/>
      <c r="N4" s="675"/>
      <c r="O4" s="676"/>
    </row>
    <row r="5" spans="2:38" s="53" customFormat="1" ht="12.75" customHeight="1">
      <c r="B5" s="691"/>
      <c r="C5" s="673"/>
      <c r="D5" s="667"/>
      <c r="E5" s="668" t="s">
        <v>14</v>
      </c>
      <c r="F5" s="670"/>
      <c r="G5" s="668" t="s">
        <v>116</v>
      </c>
      <c r="H5" s="669"/>
      <c r="I5" s="679"/>
      <c r="J5" s="65"/>
      <c r="K5" s="677" t="s">
        <v>14</v>
      </c>
      <c r="L5" s="667"/>
      <c r="M5" s="667" t="s">
        <v>116</v>
      </c>
      <c r="N5" s="667"/>
      <c r="O5" s="678"/>
      <c r="P5" s="52"/>
      <c r="AI5" s="52"/>
      <c r="AJ5" s="52"/>
      <c r="AK5" s="52"/>
      <c r="AL5" s="52"/>
    </row>
    <row r="6" spans="2:38" s="53" customFormat="1" ht="26.25" thickBot="1">
      <c r="B6" s="692"/>
      <c r="C6" s="694"/>
      <c r="D6" s="695"/>
      <c r="E6" s="495" t="s">
        <v>18</v>
      </c>
      <c r="F6" s="495" t="s">
        <v>41</v>
      </c>
      <c r="G6" s="495" t="s">
        <v>18</v>
      </c>
      <c r="H6" s="495" t="s">
        <v>41</v>
      </c>
      <c r="I6" s="496" t="s">
        <v>24</v>
      </c>
      <c r="J6" s="65"/>
      <c r="K6" s="598" t="s">
        <v>18</v>
      </c>
      <c r="L6" s="597" t="s">
        <v>41</v>
      </c>
      <c r="M6" s="597" t="s">
        <v>18</v>
      </c>
      <c r="N6" s="597" t="s">
        <v>41</v>
      </c>
      <c r="O6" s="496" t="s">
        <v>24</v>
      </c>
      <c r="P6" s="52"/>
      <c r="AI6" s="52"/>
      <c r="AJ6" s="52"/>
      <c r="AK6" s="52"/>
      <c r="AL6" s="52"/>
    </row>
    <row r="7" spans="2:15" ht="12.75">
      <c r="B7" s="491" t="s">
        <v>46</v>
      </c>
      <c r="C7" s="99" t="s">
        <v>114</v>
      </c>
      <c r="D7" s="316"/>
      <c r="E7" s="483">
        <f aca="true" t="shared" si="0" ref="E7:E39">L51+N51</f>
        <v>0.42926364529021416</v>
      </c>
      <c r="F7" s="484">
        <f>F51</f>
        <v>0.21469573187339552</v>
      </c>
      <c r="G7" s="485">
        <f aca="true" t="shared" si="1" ref="G7:G39">K51+M51</f>
        <v>1.099465770799043</v>
      </c>
      <c r="H7" s="484">
        <f>E51+H51+I51+J51</f>
        <v>12.857791370003488</v>
      </c>
      <c r="I7" s="490">
        <f>O51</f>
        <v>6.111931771439437</v>
      </c>
      <c r="J7" s="66"/>
      <c r="K7" s="488">
        <f>E7*$C$44</f>
        <v>4992336.19472519</v>
      </c>
      <c r="L7" s="486">
        <f>F7*$C$44</f>
        <v>2496911.36168759</v>
      </c>
      <c r="M7" s="486">
        <f aca="true" t="shared" si="2" ref="M7:O22">G7*$C$44</f>
        <v>12786786.91439287</v>
      </c>
      <c r="N7" s="486">
        <f>H7*$C$44</f>
        <v>149536113.63314056</v>
      </c>
      <c r="O7" s="487">
        <f>I7*$C$44</f>
        <v>71081766.50184065</v>
      </c>
    </row>
    <row r="8" spans="2:15" ht="12.75">
      <c r="B8" s="491" t="s">
        <v>47</v>
      </c>
      <c r="C8" s="99" t="s">
        <v>115</v>
      </c>
      <c r="D8" s="316"/>
      <c r="E8" s="483">
        <f t="shared" si="0"/>
        <v>0.4095642222547845</v>
      </c>
      <c r="F8" s="484">
        <f aca="true" t="shared" si="3" ref="F8:F39">F52</f>
        <v>0.7185111119363392</v>
      </c>
      <c r="G8" s="485">
        <f t="shared" si="1"/>
        <v>0.012004620698431</v>
      </c>
      <c r="H8" s="484">
        <f aca="true" t="shared" si="4" ref="H8:H39">E52+H52+I52+J52</f>
        <v>3.5254013958747117</v>
      </c>
      <c r="I8" s="490">
        <f aca="true" t="shared" si="5" ref="I8:I39">O52</f>
        <v>3.423528150936272</v>
      </c>
      <c r="J8" s="66"/>
      <c r="K8" s="488">
        <f>E8*$C$44</f>
        <v>4763231.904823144</v>
      </c>
      <c r="L8" s="486">
        <f>F8*$C$44</f>
        <v>8356284.231819625</v>
      </c>
      <c r="M8" s="486">
        <f t="shared" si="2"/>
        <v>139613.73872275252</v>
      </c>
      <c r="N8" s="486">
        <f t="shared" si="2"/>
        <v>41000418.2340229</v>
      </c>
      <c r="O8" s="487">
        <f t="shared" si="2"/>
        <v>39815632.39538884</v>
      </c>
    </row>
    <row r="9" spans="2:15" ht="12.75">
      <c r="B9" s="491" t="s">
        <v>48</v>
      </c>
      <c r="C9" s="99" t="s">
        <v>118</v>
      </c>
      <c r="D9" s="316"/>
      <c r="E9" s="483">
        <f t="shared" si="0"/>
        <v>0.5030714029714309</v>
      </c>
      <c r="F9" s="484">
        <f t="shared" si="3"/>
        <v>0.501357814003901</v>
      </c>
      <c r="G9" s="485">
        <f t="shared" si="1"/>
        <v>0.018513723495721585</v>
      </c>
      <c r="H9" s="484">
        <f t="shared" si="4"/>
        <v>12.226313585118701</v>
      </c>
      <c r="I9" s="490">
        <f t="shared" si="5"/>
        <v>6.812753391797344</v>
      </c>
      <c r="J9" s="66"/>
      <c r="K9" s="488">
        <f aca="true" t="shared" si="6" ref="K9:L39">E9*$C$44</f>
        <v>5850720.416557741</v>
      </c>
      <c r="L9" s="486">
        <f t="shared" si="6"/>
        <v>5830791.376865368</v>
      </c>
      <c r="M9" s="486">
        <f>G9*$C$44</f>
        <v>215314.60425524204</v>
      </c>
      <c r="N9" s="486">
        <f t="shared" si="2"/>
        <v>142192026.9949305</v>
      </c>
      <c r="O9" s="487">
        <f t="shared" si="2"/>
        <v>79232321.9466031</v>
      </c>
    </row>
    <row r="10" spans="2:15" ht="12.75">
      <c r="B10" s="491" t="s">
        <v>49</v>
      </c>
      <c r="C10" s="99" t="s">
        <v>119</v>
      </c>
      <c r="D10" s="316"/>
      <c r="E10" s="483">
        <f t="shared" si="0"/>
        <v>0.29530811946753477</v>
      </c>
      <c r="F10" s="484">
        <f t="shared" si="3"/>
        <v>0.4301622249027904</v>
      </c>
      <c r="G10" s="485">
        <f t="shared" si="1"/>
        <v>0</v>
      </c>
      <c r="H10" s="484">
        <f t="shared" si="4"/>
        <v>6.662337952704524</v>
      </c>
      <c r="I10" s="490">
        <f t="shared" si="5"/>
        <v>2.4975776480546252</v>
      </c>
      <c r="J10" s="66"/>
      <c r="K10" s="489">
        <f t="shared" si="6"/>
        <v>3434433.4294074294</v>
      </c>
      <c r="L10" s="486">
        <f t="shared" si="6"/>
        <v>5002786.675619452</v>
      </c>
      <c r="M10" s="486">
        <f t="shared" si="2"/>
        <v>0</v>
      </c>
      <c r="N10" s="486">
        <f t="shared" si="2"/>
        <v>77482990.38995361</v>
      </c>
      <c r="O10" s="487">
        <f t="shared" si="2"/>
        <v>29046828.04687529</v>
      </c>
    </row>
    <row r="11" spans="2:15" ht="12.75">
      <c r="B11" s="491" t="s">
        <v>50</v>
      </c>
      <c r="C11" s="99" t="s">
        <v>120</v>
      </c>
      <c r="D11" s="316"/>
      <c r="E11" s="483">
        <f t="shared" si="0"/>
        <v>0.5473506379296657</v>
      </c>
      <c r="F11" s="484">
        <f t="shared" si="3"/>
        <v>1.1552016739944038</v>
      </c>
      <c r="G11" s="485">
        <f t="shared" si="1"/>
        <v>0.002734629402374311</v>
      </c>
      <c r="H11" s="484">
        <f t="shared" si="4"/>
        <v>6.28117162061727</v>
      </c>
      <c r="I11" s="490">
        <f t="shared" si="5"/>
        <v>4.2557891187414985</v>
      </c>
      <c r="J11" s="66"/>
      <c r="K11" s="489">
        <f t="shared" si="6"/>
        <v>6365687.919122011</v>
      </c>
      <c r="L11" s="486">
        <f t="shared" si="6"/>
        <v>13434995.468554916</v>
      </c>
      <c r="M11" s="486">
        <f t="shared" si="2"/>
        <v>31803.73994961324</v>
      </c>
      <c r="N11" s="486">
        <f t="shared" si="2"/>
        <v>73050025.94777885</v>
      </c>
      <c r="O11" s="487">
        <f t="shared" si="2"/>
        <v>49494827.450963624</v>
      </c>
    </row>
    <row r="12" spans="2:15" ht="12.75">
      <c r="B12" s="491" t="s">
        <v>51</v>
      </c>
      <c r="C12" s="99" t="s">
        <v>121</v>
      </c>
      <c r="D12" s="316"/>
      <c r="E12" s="483">
        <f t="shared" si="0"/>
        <v>0.10053105753412256</v>
      </c>
      <c r="F12" s="484">
        <f t="shared" si="3"/>
        <v>0.817028437687413</v>
      </c>
      <c r="G12" s="485">
        <f t="shared" si="1"/>
        <v>0</v>
      </c>
      <c r="H12" s="484">
        <f t="shared" si="4"/>
        <v>3.534372118716971</v>
      </c>
      <c r="I12" s="490">
        <f t="shared" si="5"/>
        <v>0.7829274799747716</v>
      </c>
      <c r="J12" s="66"/>
      <c r="K12" s="489">
        <f t="shared" si="6"/>
        <v>1169176.1991218454</v>
      </c>
      <c r="L12" s="486">
        <f t="shared" si="6"/>
        <v>9502040.730304612</v>
      </c>
      <c r="M12" s="486">
        <f t="shared" si="2"/>
        <v>0</v>
      </c>
      <c r="N12" s="486">
        <f t="shared" si="2"/>
        <v>41104747.74067838</v>
      </c>
      <c r="O12" s="487">
        <f t="shared" si="2"/>
        <v>9105446.592106594</v>
      </c>
    </row>
    <row r="13" spans="2:15" ht="12.75">
      <c r="B13" s="491" t="s">
        <v>52</v>
      </c>
      <c r="C13" s="99" t="s">
        <v>122</v>
      </c>
      <c r="D13" s="316"/>
      <c r="E13" s="483">
        <f t="shared" si="0"/>
        <v>0.0003808089767241244</v>
      </c>
      <c r="F13" s="484">
        <f t="shared" si="3"/>
        <v>0.029665112642553778</v>
      </c>
      <c r="G13" s="485">
        <f t="shared" si="1"/>
        <v>0</v>
      </c>
      <c r="H13" s="484">
        <f t="shared" si="4"/>
        <v>3.0548324498475132</v>
      </c>
      <c r="I13" s="490">
        <f t="shared" si="5"/>
        <v>0.0034079830847594463</v>
      </c>
      <c r="J13" s="66"/>
      <c r="K13" s="489">
        <f t="shared" si="6"/>
        <v>4428.808399301566</v>
      </c>
      <c r="L13" s="486">
        <f t="shared" si="6"/>
        <v>345005.26003290043</v>
      </c>
      <c r="M13" s="486">
        <f t="shared" si="2"/>
        <v>0</v>
      </c>
      <c r="N13" s="486">
        <f t="shared" si="2"/>
        <v>35527701.391726576</v>
      </c>
      <c r="O13" s="487">
        <f t="shared" si="2"/>
        <v>39634.84327575236</v>
      </c>
    </row>
    <row r="14" spans="2:15" ht="12.75">
      <c r="B14" s="491" t="s">
        <v>53</v>
      </c>
      <c r="C14" s="99" t="s">
        <v>123</v>
      </c>
      <c r="D14" s="316"/>
      <c r="E14" s="483">
        <f t="shared" si="0"/>
        <v>0.6834346709659109</v>
      </c>
      <c r="F14" s="484">
        <f t="shared" si="3"/>
        <v>0.7360050334661009</v>
      </c>
      <c r="G14" s="485">
        <f t="shared" si="1"/>
        <v>0.05653922190440386</v>
      </c>
      <c r="H14" s="484">
        <f t="shared" si="4"/>
        <v>2.735073678537264</v>
      </c>
      <c r="I14" s="490">
        <f t="shared" si="5"/>
        <v>5.598531505675546</v>
      </c>
      <c r="J14" s="66"/>
      <c r="K14" s="489">
        <f t="shared" si="6"/>
        <v>7948345.223333544</v>
      </c>
      <c r="L14" s="486">
        <f t="shared" si="6"/>
        <v>8559738.539210754</v>
      </c>
      <c r="M14" s="486">
        <f t="shared" si="2"/>
        <v>657551.1507482169</v>
      </c>
      <c r="N14" s="486">
        <f t="shared" si="2"/>
        <v>31808906.88138838</v>
      </c>
      <c r="O14" s="487">
        <f t="shared" si="2"/>
        <v>65110921.4110066</v>
      </c>
    </row>
    <row r="15" spans="2:15" ht="12.75">
      <c r="B15" s="491" t="s">
        <v>54</v>
      </c>
      <c r="C15" s="99" t="s">
        <v>124</v>
      </c>
      <c r="D15" s="316"/>
      <c r="E15" s="483">
        <f t="shared" si="0"/>
        <v>0.4645850315162148</v>
      </c>
      <c r="F15" s="484">
        <f t="shared" si="3"/>
        <v>0.5427954284345421</v>
      </c>
      <c r="G15" s="485">
        <f t="shared" si="1"/>
        <v>0.009420094542966486</v>
      </c>
      <c r="H15" s="484">
        <f t="shared" si="4"/>
        <v>7.592617371410231</v>
      </c>
      <c r="I15" s="490">
        <f t="shared" si="5"/>
        <v>3.743779567437418</v>
      </c>
      <c r="J15" s="66"/>
      <c r="K15" s="489">
        <f t="shared" si="6"/>
        <v>5403123.916533578</v>
      </c>
      <c r="L15" s="486">
        <f t="shared" si="6"/>
        <v>6312710.832693725</v>
      </c>
      <c r="M15" s="486">
        <f t="shared" si="2"/>
        <v>109555.69953470024</v>
      </c>
      <c r="N15" s="486">
        <f t="shared" si="2"/>
        <v>88302140.02950099</v>
      </c>
      <c r="O15" s="487">
        <f t="shared" si="2"/>
        <v>43540156.36929717</v>
      </c>
    </row>
    <row r="16" spans="2:15" ht="12.75">
      <c r="B16" s="491" t="s">
        <v>55</v>
      </c>
      <c r="C16" s="99" t="s">
        <v>125</v>
      </c>
      <c r="D16" s="316"/>
      <c r="E16" s="483">
        <f t="shared" si="0"/>
        <v>0.555132430440714</v>
      </c>
      <c r="F16" s="484">
        <f t="shared" si="3"/>
        <v>0.5254271286815565</v>
      </c>
      <c r="G16" s="485">
        <f t="shared" si="1"/>
        <v>0.05015979615752318</v>
      </c>
      <c r="H16" s="484">
        <f t="shared" si="4"/>
        <v>7.13238870656942</v>
      </c>
      <c r="I16" s="490">
        <f t="shared" si="5"/>
        <v>8.921283465395303</v>
      </c>
      <c r="J16" s="66"/>
      <c r="K16" s="489">
        <f t="shared" si="6"/>
        <v>6456190.1660255045</v>
      </c>
      <c r="L16" s="486">
        <f t="shared" si="6"/>
        <v>6110717.506566502</v>
      </c>
      <c r="M16" s="486">
        <f t="shared" si="2"/>
        <v>583358.4293119946</v>
      </c>
      <c r="N16" s="486">
        <f t="shared" si="2"/>
        <v>82949680.65740235</v>
      </c>
      <c r="O16" s="487">
        <f t="shared" si="2"/>
        <v>103754526.70254739</v>
      </c>
    </row>
    <row r="17" spans="2:15" ht="12.75">
      <c r="B17" s="491" t="s">
        <v>56</v>
      </c>
      <c r="C17" s="99" t="s">
        <v>126</v>
      </c>
      <c r="D17" s="316"/>
      <c r="E17" s="483">
        <f t="shared" si="0"/>
        <v>0.41425148424772706</v>
      </c>
      <c r="F17" s="484">
        <f t="shared" si="3"/>
        <v>0.39364701441570404</v>
      </c>
      <c r="G17" s="485">
        <f t="shared" si="1"/>
        <v>0.02647000780992996</v>
      </c>
      <c r="H17" s="484">
        <f t="shared" si="4"/>
        <v>3.590853968167065</v>
      </c>
      <c r="I17" s="490">
        <f t="shared" si="5"/>
        <v>3.47618004110606</v>
      </c>
      <c r="J17" s="66"/>
      <c r="K17" s="489">
        <f t="shared" si="6"/>
        <v>4817744.761801066</v>
      </c>
      <c r="L17" s="486">
        <f t="shared" si="6"/>
        <v>4578114.777654638</v>
      </c>
      <c r="M17" s="486">
        <f t="shared" si="2"/>
        <v>307846.1908294854</v>
      </c>
      <c r="N17" s="486">
        <f t="shared" si="2"/>
        <v>41761631.64978296</v>
      </c>
      <c r="O17" s="487">
        <f t="shared" si="2"/>
        <v>40427973.87806348</v>
      </c>
    </row>
    <row r="18" spans="2:15" ht="12.75">
      <c r="B18" s="491" t="s">
        <v>57</v>
      </c>
      <c r="C18" s="99" t="s">
        <v>127</v>
      </c>
      <c r="D18" s="316"/>
      <c r="E18" s="483">
        <f t="shared" si="0"/>
        <v>0.16289757307321306</v>
      </c>
      <c r="F18" s="484">
        <f t="shared" si="3"/>
        <v>0.261938593955615</v>
      </c>
      <c r="G18" s="485">
        <f t="shared" si="1"/>
        <v>0.007278781179167301</v>
      </c>
      <c r="H18" s="484">
        <f t="shared" si="4"/>
        <v>1.3499146601146563</v>
      </c>
      <c r="I18" s="490">
        <f t="shared" si="5"/>
        <v>1.296970737614701</v>
      </c>
      <c r="J18" s="66"/>
      <c r="K18" s="489">
        <f t="shared" si="6"/>
        <v>1894498.7748414678</v>
      </c>
      <c r="L18" s="486">
        <f t="shared" si="6"/>
        <v>3046345.847703802</v>
      </c>
      <c r="M18" s="486">
        <f t="shared" si="2"/>
        <v>84652.2251137157</v>
      </c>
      <c r="N18" s="486">
        <f t="shared" si="2"/>
        <v>15699507.497133452</v>
      </c>
      <c r="O18" s="487">
        <f t="shared" si="2"/>
        <v>15083769.678458974</v>
      </c>
    </row>
    <row r="19" spans="2:15" ht="12.75">
      <c r="B19" s="491" t="s">
        <v>58</v>
      </c>
      <c r="C19" s="99" t="s">
        <v>128</v>
      </c>
      <c r="D19" s="316"/>
      <c r="E19" s="483">
        <f t="shared" si="0"/>
        <v>0.1580042486517519</v>
      </c>
      <c r="F19" s="484">
        <f t="shared" si="3"/>
        <v>0.316572010710832</v>
      </c>
      <c r="G19" s="485">
        <f t="shared" si="1"/>
        <v>0</v>
      </c>
      <c r="H19" s="484">
        <f t="shared" si="4"/>
        <v>3.274550821106319</v>
      </c>
      <c r="I19" s="490">
        <f t="shared" si="5"/>
        <v>1.3565422137067418</v>
      </c>
      <c r="J19" s="66"/>
      <c r="K19" s="489">
        <f t="shared" si="6"/>
        <v>1837589.4118198745</v>
      </c>
      <c r="L19" s="486">
        <f t="shared" si="6"/>
        <v>3681732.4845669763</v>
      </c>
      <c r="M19" s="486">
        <f t="shared" si="2"/>
        <v>0</v>
      </c>
      <c r="N19" s="486">
        <f t="shared" si="2"/>
        <v>38083026.04946649</v>
      </c>
      <c r="O19" s="487">
        <f t="shared" si="2"/>
        <v>15776585.945409406</v>
      </c>
    </row>
    <row r="20" spans="2:15" ht="12.75">
      <c r="B20" s="491" t="s">
        <v>59</v>
      </c>
      <c r="C20" s="99" t="s">
        <v>129</v>
      </c>
      <c r="D20" s="316"/>
      <c r="E20" s="483">
        <f t="shared" si="0"/>
        <v>0.31687229321154553</v>
      </c>
      <c r="F20" s="484">
        <f t="shared" si="3"/>
        <v>0.26305935412279136</v>
      </c>
      <c r="G20" s="485">
        <f t="shared" si="1"/>
        <v>0.384147862349792</v>
      </c>
      <c r="H20" s="484">
        <f t="shared" si="4"/>
        <v>2.125242499883481</v>
      </c>
      <c r="I20" s="490">
        <f t="shared" si="5"/>
        <v>2.6765864394756402</v>
      </c>
      <c r="J20" s="66"/>
      <c r="K20" s="489">
        <f t="shared" si="6"/>
        <v>3685224.7700502747</v>
      </c>
      <c r="L20" s="486">
        <f t="shared" si="6"/>
        <v>3059380.2884480637</v>
      </c>
      <c r="M20" s="486">
        <f t="shared" si="2"/>
        <v>4467639.639128081</v>
      </c>
      <c r="N20" s="486">
        <f t="shared" si="2"/>
        <v>24716570.273644883</v>
      </c>
      <c r="O20" s="487">
        <f t="shared" si="2"/>
        <v>31128700.291101694</v>
      </c>
    </row>
    <row r="21" spans="2:15" ht="12.75">
      <c r="B21" s="491" t="s">
        <v>60</v>
      </c>
      <c r="C21" s="99" t="s">
        <v>130</v>
      </c>
      <c r="D21" s="316"/>
      <c r="E21" s="483">
        <f t="shared" si="0"/>
        <v>0.3083510289408156</v>
      </c>
      <c r="F21" s="484">
        <f t="shared" si="3"/>
        <v>0.45079770281886133</v>
      </c>
      <c r="G21" s="485">
        <f t="shared" si="1"/>
        <v>0.04405530911539442</v>
      </c>
      <c r="H21" s="484">
        <f t="shared" si="4"/>
        <v>1.7943235763567538</v>
      </c>
      <c r="I21" s="490">
        <f t="shared" si="5"/>
        <v>2.5996950031794097</v>
      </c>
      <c r="J21" s="66"/>
      <c r="K21" s="489">
        <f t="shared" si="6"/>
        <v>3586122.4665816855</v>
      </c>
      <c r="L21" s="486">
        <f t="shared" si="6"/>
        <v>5242777.283783358</v>
      </c>
      <c r="M21" s="486">
        <f t="shared" si="2"/>
        <v>512363.24501203705</v>
      </c>
      <c r="N21" s="486">
        <f t="shared" si="2"/>
        <v>20867983.193029046</v>
      </c>
      <c r="O21" s="487">
        <f t="shared" si="2"/>
        <v>30234452.886976536</v>
      </c>
    </row>
    <row r="22" spans="2:15" ht="12.75">
      <c r="B22" s="491" t="s">
        <v>61</v>
      </c>
      <c r="C22" s="99" t="s">
        <v>131</v>
      </c>
      <c r="D22" s="316"/>
      <c r="E22" s="483">
        <f t="shared" si="0"/>
        <v>0.5226215079838794</v>
      </c>
      <c r="F22" s="484">
        <f t="shared" si="3"/>
        <v>0.6369479627243093</v>
      </c>
      <c r="G22" s="485">
        <f t="shared" si="1"/>
        <v>0.05588394157711979</v>
      </c>
      <c r="H22" s="484">
        <f t="shared" si="4"/>
        <v>4.104783656115446</v>
      </c>
      <c r="I22" s="490">
        <f t="shared" si="5"/>
        <v>3.911157133756495</v>
      </c>
      <c r="J22" s="66"/>
      <c r="K22" s="489">
        <f t="shared" si="6"/>
        <v>6078088.137852518</v>
      </c>
      <c r="L22" s="486">
        <f t="shared" si="6"/>
        <v>7407704.806483718</v>
      </c>
      <c r="M22" s="486">
        <f t="shared" si="2"/>
        <v>649930.2405419032</v>
      </c>
      <c r="N22" s="486">
        <f t="shared" si="2"/>
        <v>47738633.92062263</v>
      </c>
      <c r="O22" s="487">
        <f t="shared" si="2"/>
        <v>45486757.46558803</v>
      </c>
    </row>
    <row r="23" spans="2:15" ht="12.75">
      <c r="B23" s="491" t="s">
        <v>62</v>
      </c>
      <c r="C23" s="99" t="s">
        <v>132</v>
      </c>
      <c r="D23" s="316"/>
      <c r="E23" s="483">
        <f t="shared" si="0"/>
        <v>0.43193853076212446</v>
      </c>
      <c r="F23" s="484">
        <f t="shared" si="3"/>
        <v>0.7663032449458327</v>
      </c>
      <c r="G23" s="485">
        <f t="shared" si="1"/>
        <v>0.13692158459448422</v>
      </c>
      <c r="H23" s="484">
        <f t="shared" si="4"/>
        <v>37.68238174005394</v>
      </c>
      <c r="I23" s="490">
        <f t="shared" si="5"/>
        <v>29.67926975413743</v>
      </c>
      <c r="J23" s="66"/>
      <c r="K23" s="489">
        <f t="shared" si="6"/>
        <v>5023445.112763507</v>
      </c>
      <c r="L23" s="486">
        <f t="shared" si="6"/>
        <v>8912106.738720033</v>
      </c>
      <c r="M23" s="486">
        <f aca="true" t="shared" si="7" ref="M23:M39">G23*$C$44</f>
        <v>1592398.0288338515</v>
      </c>
      <c r="N23" s="486">
        <f aca="true" t="shared" si="8" ref="N23:N39">H23*$C$44</f>
        <v>438246099.63682735</v>
      </c>
      <c r="O23" s="487">
        <f aca="true" t="shared" si="9" ref="O23:O39">I23*$C$44</f>
        <v>345169907.2406183</v>
      </c>
    </row>
    <row r="24" spans="2:15" ht="12.75">
      <c r="B24" s="491" t="s">
        <v>63</v>
      </c>
      <c r="C24" s="99" t="s">
        <v>133</v>
      </c>
      <c r="D24" s="316"/>
      <c r="E24" s="483">
        <f t="shared" si="0"/>
        <v>0.36244188508014374</v>
      </c>
      <c r="F24" s="484">
        <f t="shared" si="3"/>
        <v>0.5956042852789012</v>
      </c>
      <c r="G24" s="485">
        <f t="shared" si="1"/>
        <v>0.013748808893982677</v>
      </c>
      <c r="H24" s="484">
        <f t="shared" si="4"/>
        <v>6.087009294243868</v>
      </c>
      <c r="I24" s="490">
        <f t="shared" si="5"/>
        <v>5.4270723697514605</v>
      </c>
      <c r="J24" s="66"/>
      <c r="K24" s="489">
        <f t="shared" si="6"/>
        <v>4215199.123482072</v>
      </c>
      <c r="L24" s="486">
        <f t="shared" si="6"/>
        <v>6926877.837793621</v>
      </c>
      <c r="M24" s="486">
        <f t="shared" si="7"/>
        <v>159898.64743701855</v>
      </c>
      <c r="N24" s="486">
        <f t="shared" si="8"/>
        <v>70791918.09205619</v>
      </c>
      <c r="O24" s="487">
        <f t="shared" si="9"/>
        <v>63116851.660209484</v>
      </c>
    </row>
    <row r="25" spans="2:15" ht="12.75">
      <c r="B25" s="491" t="s">
        <v>64</v>
      </c>
      <c r="C25" s="99" t="s">
        <v>134</v>
      </c>
      <c r="D25" s="316"/>
      <c r="E25" s="483">
        <f t="shared" si="0"/>
        <v>0.11729571116758339</v>
      </c>
      <c r="F25" s="484">
        <f t="shared" si="3"/>
        <v>0.2745200660973072</v>
      </c>
      <c r="G25" s="485">
        <f t="shared" si="1"/>
        <v>0.004043767321759611</v>
      </c>
      <c r="H25" s="484">
        <f t="shared" si="4"/>
        <v>2.813896360320013</v>
      </c>
      <c r="I25" s="490">
        <f t="shared" si="5"/>
        <v>0.9548731911089908</v>
      </c>
      <c r="J25" s="66"/>
      <c r="K25" s="489">
        <f t="shared" si="6"/>
        <v>1364149.1208789947</v>
      </c>
      <c r="L25" s="486">
        <f t="shared" si="6"/>
        <v>3192668.368711683</v>
      </c>
      <c r="M25" s="486">
        <f t="shared" si="7"/>
        <v>47029.01395206428</v>
      </c>
      <c r="N25" s="486">
        <f t="shared" si="8"/>
        <v>32725614.67052175</v>
      </c>
      <c r="O25" s="487">
        <f t="shared" si="9"/>
        <v>11105175.212597564</v>
      </c>
    </row>
    <row r="26" spans="2:15" ht="12.75">
      <c r="B26" s="491" t="s">
        <v>65</v>
      </c>
      <c r="C26" s="99" t="s">
        <v>135</v>
      </c>
      <c r="D26" s="316"/>
      <c r="E26" s="483">
        <f t="shared" si="0"/>
        <v>0.09571874719116433</v>
      </c>
      <c r="F26" s="484">
        <f t="shared" si="3"/>
        <v>0.700475645859264</v>
      </c>
      <c r="G26" s="485">
        <f t="shared" si="1"/>
        <v>0.0024262603930557667</v>
      </c>
      <c r="H26" s="484">
        <f t="shared" si="4"/>
        <v>0.6154162362801846</v>
      </c>
      <c r="I26" s="490">
        <f t="shared" si="5"/>
        <v>0.7612945927043704</v>
      </c>
      <c r="J26" s="66"/>
      <c r="K26" s="489">
        <f t="shared" si="6"/>
        <v>1113209.0298332411</v>
      </c>
      <c r="L26" s="486">
        <f t="shared" si="6"/>
        <v>8146531.761343241</v>
      </c>
      <c r="M26" s="486">
        <f t="shared" si="7"/>
        <v>28217.408371238565</v>
      </c>
      <c r="N26" s="486">
        <f t="shared" si="8"/>
        <v>7157290.827938547</v>
      </c>
      <c r="O26" s="487">
        <f t="shared" si="9"/>
        <v>8853856.113151828</v>
      </c>
    </row>
    <row r="27" spans="2:15" ht="12.75">
      <c r="B27" s="491" t="s">
        <v>66</v>
      </c>
      <c r="C27" s="99" t="s">
        <v>136</v>
      </c>
      <c r="D27" s="316"/>
      <c r="E27" s="483">
        <f t="shared" si="0"/>
        <v>0.25057298251135024</v>
      </c>
      <c r="F27" s="484">
        <f t="shared" si="3"/>
        <v>0.2818456072067005</v>
      </c>
      <c r="G27" s="485">
        <f t="shared" si="1"/>
        <v>0.0016175069287038446</v>
      </c>
      <c r="H27" s="484">
        <f t="shared" si="4"/>
        <v>3.156514880823952</v>
      </c>
      <c r="I27" s="490">
        <f t="shared" si="5"/>
        <v>2.014432307000977</v>
      </c>
      <c r="J27" s="66"/>
      <c r="K27" s="489">
        <f t="shared" si="6"/>
        <v>2914163.7866070033</v>
      </c>
      <c r="L27" s="486">
        <f t="shared" si="6"/>
        <v>3277864.411813927</v>
      </c>
      <c r="M27" s="486">
        <f t="shared" si="7"/>
        <v>18811.60558082571</v>
      </c>
      <c r="N27" s="486">
        <f t="shared" si="8"/>
        <v>36710268.06398256</v>
      </c>
      <c r="O27" s="487">
        <f t="shared" si="9"/>
        <v>23427847.73042136</v>
      </c>
    </row>
    <row r="28" spans="2:15" ht="12.75">
      <c r="B28" s="491" t="s">
        <v>67</v>
      </c>
      <c r="C28" s="99" t="s">
        <v>137</v>
      </c>
      <c r="D28" s="316"/>
      <c r="E28" s="483">
        <f t="shared" si="0"/>
        <v>0.2857821594874125</v>
      </c>
      <c r="F28" s="484">
        <f t="shared" si="3"/>
        <v>0.5198975507679567</v>
      </c>
      <c r="G28" s="485">
        <f t="shared" si="1"/>
        <v>0</v>
      </c>
      <c r="H28" s="484">
        <f t="shared" si="4"/>
        <v>0.8661217393240229</v>
      </c>
      <c r="I28" s="490">
        <f t="shared" si="5"/>
        <v>2.389691299021975</v>
      </c>
      <c r="J28" s="66"/>
      <c r="K28" s="489">
        <f t="shared" si="6"/>
        <v>3323646.514838607</v>
      </c>
      <c r="L28" s="486">
        <f t="shared" si="6"/>
        <v>6046408.515431337</v>
      </c>
      <c r="M28" s="486">
        <f t="shared" si="7"/>
        <v>0</v>
      </c>
      <c r="N28" s="486">
        <f t="shared" si="8"/>
        <v>10072995.828338386</v>
      </c>
      <c r="O28" s="487">
        <f t="shared" si="9"/>
        <v>27792109.807625573</v>
      </c>
    </row>
    <row r="29" spans="2:15" ht="12.75">
      <c r="B29" s="491" t="s">
        <v>68</v>
      </c>
      <c r="C29" s="99" t="s">
        <v>138</v>
      </c>
      <c r="D29" s="316"/>
      <c r="E29" s="483">
        <f t="shared" si="0"/>
        <v>0.44652634709173933</v>
      </c>
      <c r="F29" s="484">
        <f t="shared" si="3"/>
        <v>0.34315615884742245</v>
      </c>
      <c r="G29" s="485">
        <f t="shared" si="1"/>
        <v>0</v>
      </c>
      <c r="H29" s="484">
        <f t="shared" si="4"/>
        <v>0.7810630198799228</v>
      </c>
      <c r="I29" s="490">
        <f t="shared" si="5"/>
        <v>3.7470085238277733</v>
      </c>
      <c r="J29" s="66"/>
      <c r="K29" s="489">
        <f t="shared" si="6"/>
        <v>5193101.416676928</v>
      </c>
      <c r="L29" s="486">
        <f t="shared" si="6"/>
        <v>3990906.1273955232</v>
      </c>
      <c r="M29" s="486">
        <f t="shared" si="7"/>
        <v>0</v>
      </c>
      <c r="N29" s="486">
        <f t="shared" si="8"/>
        <v>9083762.921203502</v>
      </c>
      <c r="O29" s="487">
        <f t="shared" si="9"/>
        <v>43577709.132117</v>
      </c>
    </row>
    <row r="30" spans="2:15" ht="12.75">
      <c r="B30" s="491" t="s">
        <v>69</v>
      </c>
      <c r="C30" s="99" t="s">
        <v>139</v>
      </c>
      <c r="D30" s="316"/>
      <c r="E30" s="483">
        <f t="shared" si="0"/>
        <v>0.4103648042306906</v>
      </c>
      <c r="F30" s="484">
        <f t="shared" si="3"/>
        <v>0.36967012729186555</v>
      </c>
      <c r="G30" s="485">
        <f t="shared" si="1"/>
        <v>0.0021413133637991862</v>
      </c>
      <c r="H30" s="484">
        <f t="shared" si="4"/>
        <v>2.3281255868641746</v>
      </c>
      <c r="I30" s="490">
        <f t="shared" si="5"/>
        <v>3.5286735836394345</v>
      </c>
      <c r="J30" s="66"/>
      <c r="K30" s="489">
        <f t="shared" si="6"/>
        <v>4772542.673202932</v>
      </c>
      <c r="L30" s="486">
        <f t="shared" si="6"/>
        <v>4299263.580404396</v>
      </c>
      <c r="M30" s="486">
        <f t="shared" si="7"/>
        <v>24903.474420984538</v>
      </c>
      <c r="N30" s="486">
        <f t="shared" si="8"/>
        <v>27076100.57523035</v>
      </c>
      <c r="O30" s="487">
        <f t="shared" si="9"/>
        <v>41038473.77772662</v>
      </c>
    </row>
    <row r="31" spans="2:15" ht="12.75">
      <c r="B31" s="491" t="s">
        <v>70</v>
      </c>
      <c r="C31" s="99" t="s">
        <v>140</v>
      </c>
      <c r="D31" s="316"/>
      <c r="E31" s="483">
        <f t="shared" si="0"/>
        <v>0.46051556323556364</v>
      </c>
      <c r="F31" s="484">
        <f t="shared" si="3"/>
        <v>0.15901690208248792</v>
      </c>
      <c r="G31" s="485">
        <f t="shared" si="1"/>
        <v>0.1927182027419268</v>
      </c>
      <c r="H31" s="484">
        <f t="shared" si="4"/>
        <v>10.149790616217548</v>
      </c>
      <c r="I31" s="490">
        <f t="shared" si="5"/>
        <v>3.8861751481221876</v>
      </c>
      <c r="J31" s="66"/>
      <c r="K31" s="489">
        <f t="shared" si="6"/>
        <v>5355796.000429605</v>
      </c>
      <c r="L31" s="486">
        <f t="shared" si="6"/>
        <v>1849366.5712193346</v>
      </c>
      <c r="M31" s="486">
        <f t="shared" si="7"/>
        <v>2241312.6978886086</v>
      </c>
      <c r="N31" s="486">
        <f t="shared" si="8"/>
        <v>118042064.86661008</v>
      </c>
      <c r="O31" s="487">
        <f t="shared" si="9"/>
        <v>45196216.97266104</v>
      </c>
    </row>
    <row r="32" spans="2:15" ht="12.75">
      <c r="B32" s="491" t="s">
        <v>71</v>
      </c>
      <c r="C32" s="99" t="s">
        <v>141</v>
      </c>
      <c r="D32" s="316"/>
      <c r="E32" s="483">
        <f t="shared" si="0"/>
        <v>0.44609928074401056</v>
      </c>
      <c r="F32" s="484">
        <f t="shared" si="3"/>
        <v>0.39995573642697746</v>
      </c>
      <c r="G32" s="485">
        <f t="shared" si="1"/>
        <v>0.0008087534643519223</v>
      </c>
      <c r="H32" s="484">
        <f t="shared" si="4"/>
        <v>1.9803519513034895</v>
      </c>
      <c r="I32" s="490">
        <f t="shared" si="5"/>
        <v>3.744708356297613</v>
      </c>
      <c r="J32" s="66"/>
      <c r="K32" s="489">
        <f t="shared" si="6"/>
        <v>5188134.635052843</v>
      </c>
      <c r="L32" s="486">
        <f t="shared" si="6"/>
        <v>4651485.214645748</v>
      </c>
      <c r="M32" s="486">
        <f t="shared" si="7"/>
        <v>9405.802790412856</v>
      </c>
      <c r="N32" s="486">
        <f t="shared" si="8"/>
        <v>23031493.19365958</v>
      </c>
      <c r="O32" s="487">
        <f t="shared" si="9"/>
        <v>43550958.183741234</v>
      </c>
    </row>
    <row r="33" spans="2:15" ht="12.75">
      <c r="B33" s="491" t="s">
        <v>72</v>
      </c>
      <c r="C33" s="99" t="s">
        <v>142</v>
      </c>
      <c r="D33" s="316"/>
      <c r="E33" s="483">
        <f t="shared" si="0"/>
        <v>0.31402901567209274</v>
      </c>
      <c r="F33" s="484">
        <f t="shared" si="3"/>
        <v>0.5423264668688995</v>
      </c>
      <c r="G33" s="485">
        <f t="shared" si="1"/>
        <v>0</v>
      </c>
      <c r="H33" s="484">
        <f t="shared" si="4"/>
        <v>1.9319136147668508</v>
      </c>
      <c r="I33" s="490">
        <f t="shared" si="5"/>
        <v>2.5443985812580245</v>
      </c>
      <c r="J33" s="66"/>
      <c r="K33" s="489">
        <f t="shared" si="6"/>
        <v>3652157.4522664384</v>
      </c>
      <c r="L33" s="486">
        <f t="shared" si="6"/>
        <v>6307256.809685301</v>
      </c>
      <c r="M33" s="486">
        <f t="shared" si="7"/>
        <v>0</v>
      </c>
      <c r="N33" s="486">
        <f t="shared" si="8"/>
        <v>22468155.339738473</v>
      </c>
      <c r="O33" s="487">
        <f t="shared" si="9"/>
        <v>29591355.500030827</v>
      </c>
    </row>
    <row r="34" spans="2:15" ht="12.75">
      <c r="B34" s="491" t="s">
        <v>74</v>
      </c>
      <c r="C34" s="99" t="s">
        <v>143</v>
      </c>
      <c r="D34" s="316"/>
      <c r="E34" s="483">
        <f t="shared" si="0"/>
        <v>0.22576281620972907</v>
      </c>
      <c r="F34" s="484">
        <f t="shared" si="3"/>
        <v>0.7176612695435297</v>
      </c>
      <c r="G34" s="485">
        <f t="shared" si="1"/>
        <v>0.08617365825281618</v>
      </c>
      <c r="H34" s="484">
        <f t="shared" si="4"/>
        <v>1.6333279725778804</v>
      </c>
      <c r="I34" s="490">
        <f t="shared" si="5"/>
        <v>1.8888716621798944</v>
      </c>
      <c r="J34" s="66"/>
      <c r="K34" s="489">
        <f t="shared" si="6"/>
        <v>2625621.552519149</v>
      </c>
      <c r="L34" s="486">
        <f t="shared" si="6"/>
        <v>8346400.564791251</v>
      </c>
      <c r="M34" s="486">
        <f t="shared" si="7"/>
        <v>1002199.6454802522</v>
      </c>
      <c r="N34" s="486">
        <f t="shared" si="8"/>
        <v>18995604.321080748</v>
      </c>
      <c r="O34" s="487">
        <f t="shared" si="9"/>
        <v>21967577.431152172</v>
      </c>
    </row>
    <row r="35" spans="2:15" ht="12.75">
      <c r="B35" s="491" t="s">
        <v>75</v>
      </c>
      <c r="C35" s="99" t="s">
        <v>144</v>
      </c>
      <c r="D35" s="316"/>
      <c r="E35" s="483">
        <f t="shared" si="0"/>
        <v>0.35856129537614134</v>
      </c>
      <c r="F35" s="484">
        <f t="shared" si="3"/>
        <v>0.42800050691130864</v>
      </c>
      <c r="G35" s="485">
        <f t="shared" si="1"/>
        <v>0.32412475885763703</v>
      </c>
      <c r="H35" s="484">
        <f t="shared" si="4"/>
        <v>2.349066764098182</v>
      </c>
      <c r="I35" s="490">
        <f t="shared" si="5"/>
        <v>2.85102659365309</v>
      </c>
      <c r="J35" s="66"/>
      <c r="K35" s="489">
        <f t="shared" si="6"/>
        <v>4170067.865224524</v>
      </c>
      <c r="L35" s="486">
        <f t="shared" si="6"/>
        <v>4977645.89537852</v>
      </c>
      <c r="M35" s="486">
        <f t="shared" si="7"/>
        <v>3769570.9455143185</v>
      </c>
      <c r="N35" s="486">
        <f t="shared" si="8"/>
        <v>27319646.46646186</v>
      </c>
      <c r="O35" s="487">
        <f t="shared" si="9"/>
        <v>33157439.284185436</v>
      </c>
    </row>
    <row r="36" spans="2:15" ht="12.75">
      <c r="B36" s="491" t="s">
        <v>76</v>
      </c>
      <c r="C36" s="99" t="s">
        <v>145</v>
      </c>
      <c r="D36" s="316"/>
      <c r="E36" s="483">
        <f t="shared" si="0"/>
        <v>0.1116854658168917</v>
      </c>
      <c r="F36" s="484">
        <f t="shared" si="3"/>
        <v>0.39236772650101504</v>
      </c>
      <c r="G36" s="485">
        <f t="shared" si="1"/>
        <v>0.020900908806302146</v>
      </c>
      <c r="H36" s="484">
        <f t="shared" si="4"/>
        <v>2.51001840813378</v>
      </c>
      <c r="I36" s="490">
        <f t="shared" si="5"/>
        <v>3.830848865911249</v>
      </c>
      <c r="J36" s="66"/>
      <c r="K36" s="489">
        <f t="shared" si="6"/>
        <v>1298901.9674504506</v>
      </c>
      <c r="L36" s="486">
        <f t="shared" si="6"/>
        <v>4563236.659206805</v>
      </c>
      <c r="M36" s="486">
        <f t="shared" si="7"/>
        <v>243077.56941729397</v>
      </c>
      <c r="N36" s="486">
        <f t="shared" si="8"/>
        <v>29191514.086595863</v>
      </c>
      <c r="O36" s="487">
        <f t="shared" si="9"/>
        <v>44552772.31054783</v>
      </c>
    </row>
    <row r="37" spans="2:15" ht="12.75">
      <c r="B37" s="491" t="s">
        <v>77</v>
      </c>
      <c r="C37" s="99" t="s">
        <v>146</v>
      </c>
      <c r="D37" s="316"/>
      <c r="E37" s="483">
        <f t="shared" si="0"/>
        <v>0.48354225551376884</v>
      </c>
      <c r="F37" s="484">
        <f t="shared" si="3"/>
        <v>0.24934649840128476</v>
      </c>
      <c r="G37" s="485">
        <f t="shared" si="1"/>
        <v>0</v>
      </c>
      <c r="H37" s="484">
        <f t="shared" si="4"/>
        <v>2.7333792045355465</v>
      </c>
      <c r="I37" s="490">
        <f t="shared" si="5"/>
        <v>4.05274451426692</v>
      </c>
      <c r="J37" s="66"/>
      <c r="K37" s="489">
        <f t="shared" si="6"/>
        <v>5623596.4316251315</v>
      </c>
      <c r="L37" s="486">
        <f t="shared" si="6"/>
        <v>2899899.776406942</v>
      </c>
      <c r="M37" s="486">
        <f t="shared" si="7"/>
        <v>0</v>
      </c>
      <c r="N37" s="486">
        <f t="shared" si="8"/>
        <v>31789200.148748405</v>
      </c>
      <c r="O37" s="487">
        <f t="shared" si="9"/>
        <v>47133418.700924285</v>
      </c>
    </row>
    <row r="38" spans="2:15" ht="12.75">
      <c r="B38" s="491" t="s">
        <v>78</v>
      </c>
      <c r="C38" s="99" t="s">
        <v>147</v>
      </c>
      <c r="D38" s="316"/>
      <c r="E38" s="483">
        <f t="shared" si="0"/>
        <v>0.34645214466779267</v>
      </c>
      <c r="F38" s="484">
        <f t="shared" si="3"/>
        <v>0.4805583374106189</v>
      </c>
      <c r="G38" s="485">
        <f t="shared" si="1"/>
        <v>0</v>
      </c>
      <c r="H38" s="484">
        <f t="shared" si="4"/>
        <v>1.6201192683652483</v>
      </c>
      <c r="I38" s="490">
        <f t="shared" si="5"/>
        <v>2.9811113724995306</v>
      </c>
      <c r="J38" s="66"/>
      <c r="K38" s="489">
        <f t="shared" si="6"/>
        <v>4029238.4424864287</v>
      </c>
      <c r="L38" s="486">
        <f t="shared" si="6"/>
        <v>5588893.464085498</v>
      </c>
      <c r="M38" s="486">
        <f t="shared" si="7"/>
        <v>0</v>
      </c>
      <c r="N38" s="486">
        <f t="shared" si="8"/>
        <v>18841987.091087837</v>
      </c>
      <c r="O38" s="487">
        <f t="shared" si="9"/>
        <v>34670325.26216954</v>
      </c>
    </row>
    <row r="39" spans="2:15" ht="13.5" thickBot="1">
      <c r="B39" s="491" t="s">
        <v>79</v>
      </c>
      <c r="C39" s="99" t="s">
        <v>148</v>
      </c>
      <c r="D39" s="316"/>
      <c r="E39" s="483">
        <f t="shared" si="0"/>
        <v>0.10174789088344177</v>
      </c>
      <c r="F39" s="484">
        <f t="shared" si="3"/>
        <v>1.022932079751624</v>
      </c>
      <c r="G39" s="485">
        <f t="shared" si="1"/>
        <v>0.17020600314183318</v>
      </c>
      <c r="H39" s="484">
        <f t="shared" si="4"/>
        <v>18.22488696032757</v>
      </c>
      <c r="I39" s="490">
        <f t="shared" si="5"/>
        <v>0.772640026731568</v>
      </c>
      <c r="J39" s="66"/>
      <c r="K39" s="489">
        <f t="shared" si="6"/>
        <v>1183327.9709744279</v>
      </c>
      <c r="L39" s="486">
        <f t="shared" si="6"/>
        <v>11896700.087511387</v>
      </c>
      <c r="M39" s="486">
        <f t="shared" si="7"/>
        <v>1979495.81653952</v>
      </c>
      <c r="N39" s="486">
        <f t="shared" si="8"/>
        <v>211955435.34860963</v>
      </c>
      <c r="O39" s="487">
        <f t="shared" si="9"/>
        <v>8985803.510888135</v>
      </c>
    </row>
    <row r="40" spans="2:15" ht="13.5" thickBot="1">
      <c r="B40" s="492" t="s">
        <v>89</v>
      </c>
      <c r="C40" s="493"/>
      <c r="D40" s="494"/>
      <c r="E40" s="500">
        <f>SUM(E7:E39)</f>
        <v>11.120657059097892</v>
      </c>
      <c r="F40" s="500">
        <f>SUM(F7:F39)</f>
        <v>16.237450546564105</v>
      </c>
      <c r="G40" s="500">
        <f>SUM(G7:G39)</f>
        <v>2.72250528579252</v>
      </c>
      <c r="H40" s="500">
        <f>SUM(H7:H39)</f>
        <v>179.30535304926</v>
      </c>
      <c r="I40" s="501">
        <f>SUM(I7:I39)</f>
        <v>132.5234823934885</v>
      </c>
      <c r="J40" s="66"/>
      <c r="K40" s="497">
        <f>E40*$C$44</f>
        <v>129333241.59730849</v>
      </c>
      <c r="L40" s="498">
        <f>F40*$C$44</f>
        <v>188841549.85654053</v>
      </c>
      <c r="M40" s="498">
        <f>G40*$C$44</f>
        <v>31662736.473767005</v>
      </c>
      <c r="N40" s="498">
        <f>H40*$C$44</f>
        <v>2085321255.9628937</v>
      </c>
      <c r="O40" s="499">
        <f>I40*$C$44</f>
        <v>1541248100.2362714</v>
      </c>
    </row>
    <row r="41" ht="12.75"/>
    <row r="42" spans="2:8" ht="12.75">
      <c r="B42" s="310" t="s">
        <v>170</v>
      </c>
      <c r="C42" s="299" t="s">
        <v>3</v>
      </c>
      <c r="D42" s="685" t="s">
        <v>12</v>
      </c>
      <c r="E42" s="686"/>
      <c r="F42" s="686"/>
      <c r="G42" s="686"/>
      <c r="H42" s="687"/>
    </row>
    <row r="43" spans="2:8" ht="12.75">
      <c r="B43" s="223" t="s">
        <v>5</v>
      </c>
      <c r="C43" s="317">
        <v>11630</v>
      </c>
      <c r="D43" s="688" t="s">
        <v>169</v>
      </c>
      <c r="E43" s="688"/>
      <c r="F43" s="688"/>
      <c r="G43" s="688"/>
      <c r="H43" s="689"/>
    </row>
    <row r="44" spans="2:8" ht="12.75">
      <c r="B44" s="229" t="s">
        <v>4</v>
      </c>
      <c r="C44" s="318">
        <f>C43*1000</f>
        <v>11630000</v>
      </c>
      <c r="D44" s="683" t="s">
        <v>6</v>
      </c>
      <c r="E44" s="683"/>
      <c r="F44" s="683"/>
      <c r="G44" s="683"/>
      <c r="H44" s="684"/>
    </row>
    <row r="45" ht="12.75">
      <c r="C45" s="63"/>
    </row>
    <row r="46" spans="2:3" ht="21">
      <c r="B46" s="1" t="s">
        <v>162</v>
      </c>
      <c r="C46" s="1" t="s">
        <v>400</v>
      </c>
    </row>
    <row r="47" s="54" customFormat="1" ht="13.5" thickBot="1">
      <c r="T47" s="60"/>
    </row>
    <row r="48" spans="2:38" ht="12.75" customHeight="1">
      <c r="B48" s="690" t="s">
        <v>111</v>
      </c>
      <c r="C48" s="693" t="s">
        <v>112</v>
      </c>
      <c r="D48" s="675" t="s">
        <v>113</v>
      </c>
      <c r="E48" s="675" t="s">
        <v>149</v>
      </c>
      <c r="F48" s="675"/>
      <c r="G48" s="675"/>
      <c r="H48" s="675"/>
      <c r="I48" s="675"/>
      <c r="J48" s="675"/>
      <c r="K48" s="675"/>
      <c r="L48" s="675"/>
      <c r="M48" s="675"/>
      <c r="N48" s="675"/>
      <c r="O48" s="675"/>
      <c r="P48" s="676"/>
      <c r="T48" s="58"/>
      <c r="Y48" s="56"/>
      <c r="AL48" s="51"/>
    </row>
    <row r="49" spans="2:38" ht="26.25" customHeight="1">
      <c r="B49" s="691"/>
      <c r="C49" s="673"/>
      <c r="D49" s="667"/>
      <c r="E49" s="667" t="s">
        <v>150</v>
      </c>
      <c r="F49" s="667"/>
      <c r="G49" s="667"/>
      <c r="H49" s="667"/>
      <c r="I49" s="667"/>
      <c r="J49" s="667"/>
      <c r="K49" s="667" t="s">
        <v>18</v>
      </c>
      <c r="L49" s="667"/>
      <c r="M49" s="667" t="s">
        <v>151</v>
      </c>
      <c r="N49" s="667"/>
      <c r="O49" s="468" t="s">
        <v>230</v>
      </c>
      <c r="P49" s="502" t="s">
        <v>152</v>
      </c>
      <c r="R49" s="58"/>
      <c r="S49" s="58"/>
      <c r="T49" s="58"/>
      <c r="W49" s="56"/>
      <c r="X49" s="56"/>
      <c r="Y49" s="56"/>
      <c r="AJ49" s="51"/>
      <c r="AK49" s="51"/>
      <c r="AL49" s="51"/>
    </row>
    <row r="50" spans="2:38" ht="26.25" thickBot="1">
      <c r="B50" s="692"/>
      <c r="C50" s="694"/>
      <c r="D50" s="695"/>
      <c r="E50" s="495" t="s">
        <v>156</v>
      </c>
      <c r="F50" s="495" t="s">
        <v>14</v>
      </c>
      <c r="G50" s="495" t="s">
        <v>153</v>
      </c>
      <c r="H50" s="495" t="s">
        <v>154</v>
      </c>
      <c r="I50" s="495" t="s">
        <v>155</v>
      </c>
      <c r="J50" s="495" t="s">
        <v>233</v>
      </c>
      <c r="K50" s="495" t="s">
        <v>234</v>
      </c>
      <c r="L50" s="495" t="s">
        <v>14</v>
      </c>
      <c r="M50" s="495" t="s">
        <v>156</v>
      </c>
      <c r="N50" s="495" t="s">
        <v>14</v>
      </c>
      <c r="O50" s="495" t="s">
        <v>157</v>
      </c>
      <c r="P50" s="496"/>
      <c r="R50" s="58"/>
      <c r="S50" s="58"/>
      <c r="T50" s="58"/>
      <c r="W50" s="56"/>
      <c r="X50" s="56"/>
      <c r="Y50" s="56"/>
      <c r="AJ50" s="51"/>
      <c r="AK50" s="51"/>
      <c r="AL50" s="51"/>
    </row>
    <row r="51" spans="2:38" ht="12.75">
      <c r="B51" s="491" t="s">
        <v>46</v>
      </c>
      <c r="C51" s="99" t="s">
        <v>114</v>
      </c>
      <c r="D51" s="316"/>
      <c r="E51" s="503">
        <v>12.741901789413818</v>
      </c>
      <c r="F51" s="503">
        <v>0.21469573187339552</v>
      </c>
      <c r="G51" s="503">
        <v>3.059296253591197</v>
      </c>
      <c r="H51" s="503">
        <v>0.004443331264624644</v>
      </c>
      <c r="I51" s="503">
        <v>0.06035406071136545</v>
      </c>
      <c r="J51" s="503">
        <v>0.051092188613680777</v>
      </c>
      <c r="K51" s="503">
        <v>0.06992657633332315</v>
      </c>
      <c r="L51" s="503">
        <v>0.13580069178122817</v>
      </c>
      <c r="M51" s="503">
        <v>1.0295391944657197</v>
      </c>
      <c r="N51" s="503">
        <v>0.293462953508986</v>
      </c>
      <c r="O51" s="503">
        <v>6.111931771439437</v>
      </c>
      <c r="P51" s="503">
        <v>23.772444542996773</v>
      </c>
      <c r="R51" s="58"/>
      <c r="S51" s="58"/>
      <c r="T51" s="58"/>
      <c r="W51" s="56"/>
      <c r="X51" s="56"/>
      <c r="Y51" s="56"/>
      <c r="AJ51" s="51"/>
      <c r="AK51" s="51"/>
      <c r="AL51" s="51"/>
    </row>
    <row r="52" spans="2:38" ht="12.75">
      <c r="B52" s="491" t="s">
        <v>47</v>
      </c>
      <c r="C52" s="99" t="s">
        <v>115</v>
      </c>
      <c r="D52" s="316"/>
      <c r="E52" s="504">
        <v>3.3305278773228184</v>
      </c>
      <c r="F52" s="504">
        <v>0.7185111119363392</v>
      </c>
      <c r="G52" s="504">
        <v>0.2813663953006399</v>
      </c>
      <c r="H52" s="504">
        <v>0.009084481213977192</v>
      </c>
      <c r="I52" s="504">
        <v>0.04551946591709205</v>
      </c>
      <c r="J52" s="504">
        <v>0.14026957142082414</v>
      </c>
      <c r="K52" s="504">
        <v>0.0008037537509577374</v>
      </c>
      <c r="L52" s="504">
        <v>0.12866095790514342</v>
      </c>
      <c r="M52" s="504">
        <v>0.011200866947473262</v>
      </c>
      <c r="N52" s="504">
        <v>0.2809032643496411</v>
      </c>
      <c r="O52" s="504">
        <v>3.423528150936272</v>
      </c>
      <c r="P52" s="504">
        <v>8.370375897001178</v>
      </c>
      <c r="R52" s="58"/>
      <c r="S52" s="58"/>
      <c r="T52" s="58"/>
      <c r="W52" s="56"/>
      <c r="X52" s="56"/>
      <c r="Y52" s="56"/>
      <c r="AJ52" s="51"/>
      <c r="AK52" s="51"/>
      <c r="AL52" s="51"/>
    </row>
    <row r="53" spans="2:38" ht="12.75">
      <c r="B53" s="491" t="s">
        <v>48</v>
      </c>
      <c r="C53" s="99" t="s">
        <v>118</v>
      </c>
      <c r="D53" s="316"/>
      <c r="E53" s="504">
        <v>11.833998326107965</v>
      </c>
      <c r="F53" s="504">
        <v>0.501357814003901</v>
      </c>
      <c r="G53" s="504">
        <v>0.14448857440991497</v>
      </c>
      <c r="H53" s="504">
        <v>0.0076542260939538405</v>
      </c>
      <c r="I53" s="504">
        <v>0.29104476623120484</v>
      </c>
      <c r="J53" s="504">
        <v>0.09361626668557749</v>
      </c>
      <c r="K53" s="504">
        <v>0.018453726934991366</v>
      </c>
      <c r="L53" s="504">
        <v>0.15685468022031404</v>
      </c>
      <c r="M53" s="504">
        <v>5.999656073021865E-05</v>
      </c>
      <c r="N53" s="504">
        <v>0.34621672275111687</v>
      </c>
      <c r="O53" s="504">
        <v>6.812753391797344</v>
      </c>
      <c r="P53" s="504">
        <v>20.206498491797014</v>
      </c>
      <c r="R53" s="58"/>
      <c r="S53" s="58"/>
      <c r="T53" s="58"/>
      <c r="W53" s="56"/>
      <c r="X53" s="56"/>
      <c r="Y53" s="56"/>
      <c r="AJ53" s="51"/>
      <c r="AK53" s="51"/>
      <c r="AL53" s="51"/>
    </row>
    <row r="54" spans="2:38" ht="12.75">
      <c r="B54" s="491" t="s">
        <v>49</v>
      </c>
      <c r="C54" s="99" t="s">
        <v>119</v>
      </c>
      <c r="D54" s="316"/>
      <c r="E54" s="504">
        <v>6.488366998862964</v>
      </c>
      <c r="F54" s="504">
        <v>0.4301622249027904</v>
      </c>
      <c r="G54" s="504">
        <v>1.7495237312296275</v>
      </c>
      <c r="H54" s="504">
        <v>0.07965892470765669</v>
      </c>
      <c r="I54" s="504">
        <v>0.04795703638999593</v>
      </c>
      <c r="J54" s="504">
        <v>0.04635499274390727</v>
      </c>
      <c r="K54" s="504">
        <v>0</v>
      </c>
      <c r="L54" s="504">
        <v>0.09218756753519332</v>
      </c>
      <c r="M54" s="504">
        <v>0</v>
      </c>
      <c r="N54" s="504">
        <v>0.20312055193234146</v>
      </c>
      <c r="O54" s="504">
        <v>2.4975776480546252</v>
      </c>
      <c r="P54" s="504">
        <v>11.6349096763591</v>
      </c>
      <c r="R54" s="58"/>
      <c r="S54" s="58"/>
      <c r="T54" s="58"/>
      <c r="W54" s="56"/>
      <c r="X54" s="56"/>
      <c r="Y54" s="56"/>
      <c r="AJ54" s="51"/>
      <c r="AK54" s="51"/>
      <c r="AL54" s="51"/>
    </row>
    <row r="55" spans="2:38" ht="12.75">
      <c r="B55" s="491" t="s">
        <v>50</v>
      </c>
      <c r="C55" s="99" t="s">
        <v>120</v>
      </c>
      <c r="D55" s="316"/>
      <c r="E55" s="504">
        <v>5.815313319662944</v>
      </c>
      <c r="F55" s="504">
        <v>1.1552016739944038</v>
      </c>
      <c r="G55" s="504">
        <v>2.2633322026312093</v>
      </c>
      <c r="H55" s="504">
        <v>0.022184756968790995</v>
      </c>
      <c r="I55" s="504">
        <v>0.07382288367320346</v>
      </c>
      <c r="J55" s="504">
        <v>0.36985066031233177</v>
      </c>
      <c r="K55" s="504">
        <v>0.002734629402374311</v>
      </c>
      <c r="L55" s="504">
        <v>0.17832649980383378</v>
      </c>
      <c r="M55" s="504">
        <v>0</v>
      </c>
      <c r="N55" s="504">
        <v>0.3690241381258319</v>
      </c>
      <c r="O55" s="504">
        <v>4.2557891187414985</v>
      </c>
      <c r="P55" s="504">
        <v>14.505579883316424</v>
      </c>
      <c r="R55" s="58"/>
      <c r="S55" s="58"/>
      <c r="T55" s="58"/>
      <c r="W55" s="56"/>
      <c r="X55" s="56"/>
      <c r="Y55" s="56"/>
      <c r="AJ55" s="51"/>
      <c r="AK55" s="51"/>
      <c r="AL55" s="51"/>
    </row>
    <row r="56" spans="2:38" ht="12.75">
      <c r="B56" s="491" t="s">
        <v>51</v>
      </c>
      <c r="C56" s="99" t="s">
        <v>121</v>
      </c>
      <c r="D56" s="316"/>
      <c r="E56" s="504">
        <v>2.868337657267189</v>
      </c>
      <c r="F56" s="504">
        <v>0.817028437687413</v>
      </c>
      <c r="G56" s="504">
        <v>0.5019376786878708</v>
      </c>
      <c r="H56" s="504">
        <v>0.32710028295378646</v>
      </c>
      <c r="I56" s="504">
        <v>0.32723254857411865</v>
      </c>
      <c r="J56" s="504">
        <v>0.011701629921877347</v>
      </c>
      <c r="K56" s="504">
        <v>0</v>
      </c>
      <c r="L56" s="504">
        <v>0.03272638162122831</v>
      </c>
      <c r="M56" s="504">
        <v>0</v>
      </c>
      <c r="N56" s="504">
        <v>0.06780467591289424</v>
      </c>
      <c r="O56" s="504">
        <v>0.7829274799747716</v>
      </c>
      <c r="P56" s="504">
        <v>5.73679677260115</v>
      </c>
      <c r="R56" s="58"/>
      <c r="S56" s="58"/>
      <c r="T56" s="58"/>
      <c r="W56" s="56"/>
      <c r="X56" s="56"/>
      <c r="Y56" s="56"/>
      <c r="AJ56" s="51"/>
      <c r="AK56" s="51"/>
      <c r="AL56" s="51"/>
    </row>
    <row r="57" spans="2:38" ht="12.75">
      <c r="B57" s="491" t="s">
        <v>52</v>
      </c>
      <c r="C57" s="99" t="s">
        <v>122</v>
      </c>
      <c r="D57" s="316"/>
      <c r="E57" s="504">
        <v>2.382683237446521</v>
      </c>
      <c r="F57" s="504">
        <v>0.029665112642553778</v>
      </c>
      <c r="G57" s="504">
        <v>0.00876322745371296</v>
      </c>
      <c r="H57" s="504">
        <v>0.15895440365134073</v>
      </c>
      <c r="I57" s="504">
        <v>0.5107464791573004</v>
      </c>
      <c r="J57" s="504">
        <v>0.0024483295923510306</v>
      </c>
      <c r="K57" s="504">
        <v>0</v>
      </c>
      <c r="L57" s="504">
        <v>0.00011514193163061478</v>
      </c>
      <c r="M57" s="504">
        <v>0</v>
      </c>
      <c r="N57" s="504">
        <v>0.0002656670450935096</v>
      </c>
      <c r="O57" s="504">
        <v>0.0034079830847594463</v>
      </c>
      <c r="P57" s="504">
        <v>3.0970495820052633</v>
      </c>
      <c r="R57" s="58"/>
      <c r="S57" s="58"/>
      <c r="T57" s="58"/>
      <c r="W57" s="56"/>
      <c r="X57" s="56"/>
      <c r="Y57" s="56"/>
      <c r="AJ57" s="51"/>
      <c r="AK57" s="51"/>
      <c r="AL57" s="51"/>
    </row>
    <row r="58" spans="2:38" ht="12.75">
      <c r="B58" s="491" t="s">
        <v>53</v>
      </c>
      <c r="C58" s="99" t="s">
        <v>123</v>
      </c>
      <c r="D58" s="316"/>
      <c r="E58" s="504">
        <v>2.4286756856719744</v>
      </c>
      <c r="F58" s="504">
        <v>0.7360050334661009</v>
      </c>
      <c r="G58" s="504">
        <v>0.4151104910286625</v>
      </c>
      <c r="H58" s="504">
        <v>0.01763410930674534</v>
      </c>
      <c r="I58" s="504">
        <v>0.12113620471269894</v>
      </c>
      <c r="J58" s="504">
        <v>0.16762767884584523</v>
      </c>
      <c r="K58" s="504">
        <v>0.03677310150173385</v>
      </c>
      <c r="L58" s="504">
        <v>0.21712243585141688</v>
      </c>
      <c r="M58" s="504">
        <v>0.01976612040267001</v>
      </c>
      <c r="N58" s="504">
        <v>0.46631223511449404</v>
      </c>
      <c r="O58" s="504">
        <v>5.598531505675546</v>
      </c>
      <c r="P58" s="504">
        <v>10.224694601577887</v>
      </c>
      <c r="R58" s="58"/>
      <c r="S58" s="58"/>
      <c r="T58" s="58"/>
      <c r="W58" s="56"/>
      <c r="X58" s="56"/>
      <c r="Y58" s="56"/>
      <c r="AJ58" s="51"/>
      <c r="AK58" s="51"/>
      <c r="AL58" s="51"/>
    </row>
    <row r="59" spans="2:38" ht="12.75">
      <c r="B59" s="491" t="s">
        <v>54</v>
      </c>
      <c r="C59" s="99" t="s">
        <v>124</v>
      </c>
      <c r="D59" s="316"/>
      <c r="E59" s="504">
        <v>7.2712513210876395</v>
      </c>
      <c r="F59" s="504">
        <v>0.5427954284345421</v>
      </c>
      <c r="G59" s="504">
        <v>2.7588596100802647</v>
      </c>
      <c r="H59" s="504">
        <v>0.0033828262283465906</v>
      </c>
      <c r="I59" s="504">
        <v>0.24560319514157122</v>
      </c>
      <c r="J59" s="504">
        <v>0.07238002895267409</v>
      </c>
      <c r="K59" s="504">
        <v>0.007233783758619636</v>
      </c>
      <c r="L59" s="504">
        <v>0.14873199952673047</v>
      </c>
      <c r="M59" s="504">
        <v>0.0021863107843468504</v>
      </c>
      <c r="N59" s="504">
        <v>0.3158530319894843</v>
      </c>
      <c r="O59" s="504">
        <v>3.743779567437418</v>
      </c>
      <c r="P59" s="504">
        <v>15.112057103421638</v>
      </c>
      <c r="R59" s="58"/>
      <c r="S59" s="58"/>
      <c r="T59" s="58"/>
      <c r="W59" s="56"/>
      <c r="X59" s="56"/>
      <c r="Y59" s="56"/>
      <c r="AJ59" s="51"/>
      <c r="AK59" s="51"/>
      <c r="AL59" s="51"/>
    </row>
    <row r="60" spans="2:38" ht="12.75">
      <c r="B60" s="491" t="s">
        <v>55</v>
      </c>
      <c r="C60" s="99" t="s">
        <v>125</v>
      </c>
      <c r="D60" s="316"/>
      <c r="E60" s="504">
        <v>4.9503769928558485</v>
      </c>
      <c r="F60" s="504">
        <v>0.5254271286815565</v>
      </c>
      <c r="G60" s="504">
        <v>0.09782658082970912</v>
      </c>
      <c r="H60" s="504">
        <v>0.025046010580939054</v>
      </c>
      <c r="I60" s="504">
        <v>1.9656159634011523</v>
      </c>
      <c r="J60" s="504">
        <v>0.19134973973147965</v>
      </c>
      <c r="K60" s="504">
        <v>0.0032150150038309498</v>
      </c>
      <c r="L60" s="504">
        <v>0.17474160798052152</v>
      </c>
      <c r="M60" s="504">
        <v>0.04694478115369223</v>
      </c>
      <c r="N60" s="504">
        <v>0.3803908224601925</v>
      </c>
      <c r="O60" s="504">
        <v>8.921283465395303</v>
      </c>
      <c r="P60" s="504">
        <v>17.282218108074225</v>
      </c>
      <c r="R60" s="58"/>
      <c r="S60" s="58"/>
      <c r="T60" s="58"/>
      <c r="W60" s="56"/>
      <c r="X60" s="56"/>
      <c r="Y60" s="56"/>
      <c r="AJ60" s="51"/>
      <c r="AK60" s="51"/>
      <c r="AL60" s="51"/>
    </row>
    <row r="61" spans="2:38" ht="12.75">
      <c r="B61" s="491" t="s">
        <v>56</v>
      </c>
      <c r="C61" s="99" t="s">
        <v>126</v>
      </c>
      <c r="D61" s="316"/>
      <c r="E61" s="504">
        <v>3.490053378498753</v>
      </c>
      <c r="F61" s="504">
        <v>0.39364701441570404</v>
      </c>
      <c r="G61" s="504">
        <v>0.013840128105706293</v>
      </c>
      <c r="H61" s="504">
        <v>0.016815486397729486</v>
      </c>
      <c r="I61" s="504">
        <v>0.038482395281941466</v>
      </c>
      <c r="J61" s="504">
        <v>0.04550270798864086</v>
      </c>
      <c r="K61" s="504">
        <v>0.002411261252873212</v>
      </c>
      <c r="L61" s="504">
        <v>0.12986462612563374</v>
      </c>
      <c r="M61" s="504">
        <v>0.024058746557056747</v>
      </c>
      <c r="N61" s="504">
        <v>0.2843868581220933</v>
      </c>
      <c r="O61" s="504">
        <v>3.47618004110606</v>
      </c>
      <c r="P61" s="504">
        <v>7.915242643852191</v>
      </c>
      <c r="R61" s="58"/>
      <c r="S61" s="58"/>
      <c r="T61" s="58"/>
      <c r="W61" s="56"/>
      <c r="X61" s="56"/>
      <c r="Y61" s="56"/>
      <c r="AJ61" s="51"/>
      <c r="AK61" s="51"/>
      <c r="AL61" s="51"/>
    </row>
    <row r="62" spans="2:38" ht="12.75">
      <c r="B62" s="491" t="s">
        <v>57</v>
      </c>
      <c r="C62" s="99" t="s">
        <v>127</v>
      </c>
      <c r="D62" s="316"/>
      <c r="E62" s="504">
        <v>1.2850116706513204</v>
      </c>
      <c r="F62" s="504">
        <v>0.261938593955615</v>
      </c>
      <c r="G62" s="504">
        <v>0.07199776056802089</v>
      </c>
      <c r="H62" s="504">
        <v>0.009010646998546045</v>
      </c>
      <c r="I62" s="504">
        <v>0.043415973144249706</v>
      </c>
      <c r="J62" s="504">
        <v>0.012476369320540298</v>
      </c>
      <c r="K62" s="504">
        <v>0.007233783758619636</v>
      </c>
      <c r="L62" s="504">
        <v>0.05246343682299521</v>
      </c>
      <c r="M62" s="504">
        <v>4.4997420547664E-05</v>
      </c>
      <c r="N62" s="504">
        <v>0.11043413625021786</v>
      </c>
      <c r="O62" s="504">
        <v>1.296970737614701</v>
      </c>
      <c r="P62" s="504">
        <v>3.150998106505374</v>
      </c>
      <c r="R62" s="58"/>
      <c r="S62" s="58"/>
      <c r="T62" s="58"/>
      <c r="W62" s="56"/>
      <c r="X62" s="56"/>
      <c r="Y62" s="56"/>
      <c r="AJ62" s="51"/>
      <c r="AK62" s="51"/>
      <c r="AL62" s="51"/>
    </row>
    <row r="63" spans="2:38" ht="12.75">
      <c r="B63" s="491" t="s">
        <v>58</v>
      </c>
      <c r="C63" s="99" t="s">
        <v>128</v>
      </c>
      <c r="D63" s="316"/>
      <c r="E63" s="504">
        <v>2.655054956368945</v>
      </c>
      <c r="F63" s="504">
        <v>0.316572010710832</v>
      </c>
      <c r="G63" s="504">
        <v>0.585132897591035</v>
      </c>
      <c r="H63" s="504">
        <v>0.4479508499291824</v>
      </c>
      <c r="I63" s="504">
        <v>0.15835972041908958</v>
      </c>
      <c r="J63" s="504">
        <v>0.013185294389101947</v>
      </c>
      <c r="K63" s="504">
        <v>0</v>
      </c>
      <c r="L63" s="504">
        <v>0.0489214674197475</v>
      </c>
      <c r="M63" s="504">
        <v>0</v>
      </c>
      <c r="N63" s="504">
        <v>0.10908278123200438</v>
      </c>
      <c r="O63" s="504">
        <v>1.3565422137067418</v>
      </c>
      <c r="P63" s="504">
        <v>5.690802191766679</v>
      </c>
      <c r="R63" s="58"/>
      <c r="S63" s="58"/>
      <c r="T63" s="58"/>
      <c r="W63" s="56"/>
      <c r="X63" s="56"/>
      <c r="Y63" s="56"/>
      <c r="AJ63" s="51"/>
      <c r="AK63" s="51"/>
      <c r="AL63" s="51"/>
    </row>
    <row r="64" spans="2:38" ht="12.75">
      <c r="B64" s="491" t="s">
        <v>59</v>
      </c>
      <c r="C64" s="99" t="s">
        <v>129</v>
      </c>
      <c r="D64" s="316"/>
      <c r="E64" s="504">
        <v>2.086020669277986</v>
      </c>
      <c r="F64" s="504">
        <v>0.26305935412279136</v>
      </c>
      <c r="G64" s="504">
        <v>0.39294582537841216</v>
      </c>
      <c r="H64" s="504">
        <v>0.005230381054825397</v>
      </c>
      <c r="I64" s="504">
        <v>0.015296935206707826</v>
      </c>
      <c r="J64" s="504">
        <v>0.018694514343961702</v>
      </c>
      <c r="K64" s="504">
        <v>0.025720120030647598</v>
      </c>
      <c r="L64" s="504">
        <v>0.09898660502974507</v>
      </c>
      <c r="M64" s="504">
        <v>0.35842774231914437</v>
      </c>
      <c r="N64" s="504">
        <v>0.21788568818180049</v>
      </c>
      <c r="O64" s="504">
        <v>2.6765864394756402</v>
      </c>
      <c r="P64" s="504">
        <v>6.158854274421661</v>
      </c>
      <c r="R64" s="58"/>
      <c r="S64" s="58"/>
      <c r="T64" s="58"/>
      <c r="W64" s="56"/>
      <c r="X64" s="56"/>
      <c r="Y64" s="56"/>
      <c r="AJ64" s="51"/>
      <c r="AK64" s="51"/>
      <c r="AL64" s="51"/>
    </row>
    <row r="65" spans="2:38" ht="12.75">
      <c r="B65" s="491" t="s">
        <v>60</v>
      </c>
      <c r="C65" s="99" t="s">
        <v>130</v>
      </c>
      <c r="D65" s="316"/>
      <c r="E65" s="504">
        <v>1.6865560145602647</v>
      </c>
      <c r="F65" s="504">
        <v>0.45079770281886133</v>
      </c>
      <c r="G65" s="504">
        <v>0.28267876458733865</v>
      </c>
      <c r="H65" s="504">
        <v>0.00843198235673519</v>
      </c>
      <c r="I65" s="504">
        <v>0.019590645205488845</v>
      </c>
      <c r="J65" s="504">
        <v>0.07974493423426504</v>
      </c>
      <c r="K65" s="504">
        <v>0.004018768754788687</v>
      </c>
      <c r="L65" s="504">
        <v>0.09642271161314615</v>
      </c>
      <c r="M65" s="504">
        <v>0.04003654036060573</v>
      </c>
      <c r="N65" s="504">
        <v>0.21192831732766945</v>
      </c>
      <c r="O65" s="504">
        <v>2.5996950031794097</v>
      </c>
      <c r="P65" s="504">
        <v>5.479901384998573</v>
      </c>
      <c r="R65" s="58"/>
      <c r="S65" s="58"/>
      <c r="T65" s="58"/>
      <c r="W65" s="56"/>
      <c r="X65" s="56"/>
      <c r="Y65" s="56"/>
      <c r="AJ65" s="51"/>
      <c r="AK65" s="51"/>
      <c r="AL65" s="51"/>
    </row>
    <row r="66" spans="2:38" ht="12.75">
      <c r="B66" s="491" t="s">
        <v>61</v>
      </c>
      <c r="C66" s="99" t="s">
        <v>131</v>
      </c>
      <c r="D66" s="316"/>
      <c r="E66" s="504">
        <v>3.637096840673308</v>
      </c>
      <c r="F66" s="504">
        <v>0.6369479627243093</v>
      </c>
      <c r="G66" s="504">
        <v>0.2000071868674841</v>
      </c>
      <c r="H66" s="504">
        <v>0.019332719467586287</v>
      </c>
      <c r="I66" s="504">
        <v>0.15864510604736456</v>
      </c>
      <c r="J66" s="504">
        <v>0.2897089899271872</v>
      </c>
      <c r="K66" s="504">
        <v>0.04250176355869386</v>
      </c>
      <c r="L66" s="504">
        <v>0.17344503799998923</v>
      </c>
      <c r="M66" s="504">
        <v>0.013382178018425927</v>
      </c>
      <c r="N66" s="504">
        <v>0.3491764699838902</v>
      </c>
      <c r="O66" s="504">
        <v>3.911157133756495</v>
      </c>
      <c r="P66" s="504">
        <v>9.431401389024733</v>
      </c>
      <c r="R66" s="58"/>
      <c r="S66" s="58"/>
      <c r="T66" s="58"/>
      <c r="W66" s="56"/>
      <c r="X66" s="56"/>
      <c r="Y66" s="56"/>
      <c r="AJ66" s="51"/>
      <c r="AK66" s="51"/>
      <c r="AL66" s="51"/>
    </row>
    <row r="67" spans="2:38" ht="12.75">
      <c r="B67" s="491" t="s">
        <v>62</v>
      </c>
      <c r="C67" s="99" t="s">
        <v>132</v>
      </c>
      <c r="D67" s="316"/>
      <c r="E67" s="504">
        <v>36.38460260478902</v>
      </c>
      <c r="F67" s="504">
        <v>0.7663032449458327</v>
      </c>
      <c r="G67" s="504">
        <v>2.6219877828612126</v>
      </c>
      <c r="H67" s="504">
        <v>0.014586607631278907</v>
      </c>
      <c r="I67" s="504">
        <v>0.9537894893639439</v>
      </c>
      <c r="J67" s="504">
        <v>0.32940303826969597</v>
      </c>
      <c r="K67" s="504">
        <v>0.12405870527150654</v>
      </c>
      <c r="L67" s="504">
        <v>0.13919799143752204</v>
      </c>
      <c r="M67" s="504">
        <v>0.012862879322977666</v>
      </c>
      <c r="N67" s="504">
        <v>0.2927405393246024</v>
      </c>
      <c r="O67" s="504">
        <v>29.67926975413743</v>
      </c>
      <c r="P67" s="504">
        <v>71.31880263735502</v>
      </c>
      <c r="R67" s="58"/>
      <c r="S67" s="58"/>
      <c r="T67" s="58"/>
      <c r="W67" s="56"/>
      <c r="X67" s="56"/>
      <c r="Y67" s="56"/>
      <c r="AJ67" s="51"/>
      <c r="AK67" s="51"/>
      <c r="AL67" s="51"/>
    </row>
    <row r="68" spans="2:38" ht="12.75">
      <c r="B68" s="491" t="s">
        <v>63</v>
      </c>
      <c r="C68" s="99" t="s">
        <v>133</v>
      </c>
      <c r="D68" s="316"/>
      <c r="E68" s="504">
        <v>3.3807034462767147</v>
      </c>
      <c r="F68" s="504">
        <v>0.5956042852789012</v>
      </c>
      <c r="G68" s="504">
        <v>0.1955890066578998</v>
      </c>
      <c r="H68" s="504">
        <v>0.014972217982714786</v>
      </c>
      <c r="I68" s="504">
        <v>2.601012457036022</v>
      </c>
      <c r="J68" s="504">
        <v>0.09032117294841689</v>
      </c>
      <c r="K68" s="504">
        <v>0.013663813766281535</v>
      </c>
      <c r="L68" s="504">
        <v>0.11583605164367669</v>
      </c>
      <c r="M68" s="504">
        <v>8.49951277011431E-05</v>
      </c>
      <c r="N68" s="504">
        <v>0.24660583343646708</v>
      </c>
      <c r="O68" s="504">
        <v>5.4270723697514605</v>
      </c>
      <c r="P68" s="504">
        <v>12.681465649906256</v>
      </c>
      <c r="R68" s="58"/>
      <c r="S68" s="58"/>
      <c r="T68" s="58"/>
      <c r="W68" s="56"/>
      <c r="X68" s="56"/>
      <c r="Y68" s="56"/>
      <c r="AJ68" s="51"/>
      <c r="AK68" s="51"/>
      <c r="AL68" s="51"/>
    </row>
    <row r="69" spans="2:38" ht="12.75">
      <c r="B69" s="491" t="s">
        <v>64</v>
      </c>
      <c r="C69" s="99" t="s">
        <v>134</v>
      </c>
      <c r="D69" s="316"/>
      <c r="E69" s="504">
        <v>2.607072619046557</v>
      </c>
      <c r="F69" s="504">
        <v>0.2745200660973072</v>
      </c>
      <c r="G69" s="504">
        <v>0.18578030770820864</v>
      </c>
      <c r="H69" s="504">
        <v>0.02163481190158652</v>
      </c>
      <c r="I69" s="504">
        <v>0.18246430195339358</v>
      </c>
      <c r="J69" s="504">
        <v>0.002724627418475625</v>
      </c>
      <c r="K69" s="504">
        <v>0.004018768754788687</v>
      </c>
      <c r="L69" s="504">
        <v>0.037358126394123836</v>
      </c>
      <c r="M69" s="504">
        <v>2.4998566970924443E-05</v>
      </c>
      <c r="N69" s="504">
        <v>0.07993758477345955</v>
      </c>
      <c r="O69" s="504">
        <v>0.9548731911089908</v>
      </c>
      <c r="P69" s="504">
        <v>4.350409403723862</v>
      </c>
      <c r="R69" s="58"/>
      <c r="S69" s="58"/>
      <c r="T69" s="58"/>
      <c r="W69" s="56"/>
      <c r="X69" s="56"/>
      <c r="Y69" s="56"/>
      <c r="AJ69" s="51"/>
      <c r="AK69" s="51"/>
      <c r="AL69" s="51"/>
    </row>
    <row r="70" spans="2:38" ht="12.75">
      <c r="B70" s="491" t="s">
        <v>65</v>
      </c>
      <c r="C70" s="99" t="s">
        <v>135</v>
      </c>
      <c r="D70" s="316"/>
      <c r="E70" s="504">
        <v>0.5655402964836417</v>
      </c>
      <c r="F70" s="504">
        <v>0.700475645859264</v>
      </c>
      <c r="G70" s="504">
        <v>0.3957796058208233</v>
      </c>
      <c r="H70" s="504">
        <v>0.022395014316398138</v>
      </c>
      <c r="I70" s="504">
        <v>0.02625083672411117</v>
      </c>
      <c r="J70" s="504">
        <v>0.0012300887560336344</v>
      </c>
      <c r="K70" s="504">
        <v>0.002411261252873212</v>
      </c>
      <c r="L70" s="504">
        <v>0.030843650014057165</v>
      </c>
      <c r="M70" s="504">
        <v>1.4999140182554663E-05</v>
      </c>
      <c r="N70" s="504">
        <v>0.06487509717710715</v>
      </c>
      <c r="O70" s="504">
        <v>0.7612945927043704</v>
      </c>
      <c r="P70" s="504">
        <v>2.571111088248863</v>
      </c>
      <c r="R70" s="58"/>
      <c r="S70" s="58"/>
      <c r="T70" s="58"/>
      <c r="W70" s="56"/>
      <c r="X70" s="56"/>
      <c r="Y70" s="56"/>
      <c r="AJ70" s="51"/>
      <c r="AK70" s="51"/>
      <c r="AL70" s="51"/>
    </row>
    <row r="71" spans="2:38" ht="12.75">
      <c r="B71" s="491" t="s">
        <v>66</v>
      </c>
      <c r="C71" s="99" t="s">
        <v>136</v>
      </c>
      <c r="D71" s="316"/>
      <c r="E71" s="504">
        <v>2.9965533413804857</v>
      </c>
      <c r="F71" s="504">
        <v>0.2818456072067005</v>
      </c>
      <c r="G71" s="504">
        <v>0.1915912475938222</v>
      </c>
      <c r="H71" s="504">
        <v>0.015768247644133208</v>
      </c>
      <c r="I71" s="504">
        <v>0.053741284026845304</v>
      </c>
      <c r="J71" s="504">
        <v>0.09045200777248787</v>
      </c>
      <c r="K71" s="504">
        <v>0.0016075075019154749</v>
      </c>
      <c r="L71" s="504">
        <v>0.08031342495133345</v>
      </c>
      <c r="M71" s="504">
        <v>9.999426788369777E-06</v>
      </c>
      <c r="N71" s="504">
        <v>0.1702595575600168</v>
      </c>
      <c r="O71" s="504">
        <v>2.014432307000977</v>
      </c>
      <c r="P71" s="504">
        <v>5.896574532065506</v>
      </c>
      <c r="R71" s="58"/>
      <c r="S71" s="58"/>
      <c r="T71" s="58"/>
      <c r="W71" s="56"/>
      <c r="X71" s="56"/>
      <c r="Y71" s="56"/>
      <c r="AJ71" s="51"/>
      <c r="AK71" s="51"/>
      <c r="AL71" s="51"/>
    </row>
    <row r="72" spans="2:38" ht="12.75">
      <c r="B72" s="491" t="s">
        <v>67</v>
      </c>
      <c r="C72" s="99" t="s">
        <v>137</v>
      </c>
      <c r="D72" s="316"/>
      <c r="E72" s="504">
        <v>0.7430248482153659</v>
      </c>
      <c r="F72" s="504">
        <v>0.5198975507679567</v>
      </c>
      <c r="G72" s="504">
        <v>0.18996196090162823</v>
      </c>
      <c r="H72" s="504">
        <v>0.05549240225849247</v>
      </c>
      <c r="I72" s="504">
        <v>0.05779394091245647</v>
      </c>
      <c r="J72" s="504">
        <v>0.009810547937708053</v>
      </c>
      <c r="K72" s="504">
        <v>0</v>
      </c>
      <c r="L72" s="504">
        <v>0.0897589314681494</v>
      </c>
      <c r="M72" s="504">
        <v>0</v>
      </c>
      <c r="N72" s="504">
        <v>0.19602322801926306</v>
      </c>
      <c r="O72" s="504">
        <v>2.389691299021975</v>
      </c>
      <c r="P72" s="504">
        <v>4.251454709502995</v>
      </c>
      <c r="R72" s="58"/>
      <c r="S72" s="58"/>
      <c r="T72" s="58"/>
      <c r="W72" s="56"/>
      <c r="X72" s="56"/>
      <c r="Y72" s="56"/>
      <c r="AJ72" s="51"/>
      <c r="AK72" s="51"/>
      <c r="AL72" s="51"/>
    </row>
    <row r="73" spans="2:38" ht="12.75">
      <c r="B73" s="491" t="s">
        <v>68</v>
      </c>
      <c r="C73" s="99" t="s">
        <v>138</v>
      </c>
      <c r="D73" s="316"/>
      <c r="E73" s="504">
        <v>0.7409953213765588</v>
      </c>
      <c r="F73" s="504">
        <v>0.34315615884742245</v>
      </c>
      <c r="G73" s="504">
        <v>0.21511940913097147</v>
      </c>
      <c r="H73" s="504">
        <v>0.005325670581323246</v>
      </c>
      <c r="I73" s="504">
        <v>0.008056241279954381</v>
      </c>
      <c r="J73" s="504">
        <v>0.026685786642086297</v>
      </c>
      <c r="K73" s="504">
        <v>0</v>
      </c>
      <c r="L73" s="504">
        <v>0.13998264795013354</v>
      </c>
      <c r="M73" s="504">
        <v>0</v>
      </c>
      <c r="N73" s="504">
        <v>0.3065436991416058</v>
      </c>
      <c r="O73" s="504">
        <v>3.7470085238277733</v>
      </c>
      <c r="P73" s="504">
        <v>5.5328734587778285</v>
      </c>
      <c r="R73" s="58"/>
      <c r="S73" s="58"/>
      <c r="T73" s="58"/>
      <c r="W73" s="56"/>
      <c r="X73" s="56"/>
      <c r="Y73" s="56"/>
      <c r="AJ73" s="51"/>
      <c r="AK73" s="51"/>
      <c r="AL73" s="51"/>
    </row>
    <row r="74" spans="2:38" ht="12.75">
      <c r="B74" s="491" t="s">
        <v>69</v>
      </c>
      <c r="C74" s="99" t="s">
        <v>139</v>
      </c>
      <c r="D74" s="316"/>
      <c r="E74" s="504">
        <v>2.229762032365945</v>
      </c>
      <c r="F74" s="504">
        <v>0.36967012729186555</v>
      </c>
      <c r="G74" s="504">
        <v>0.17864696856809353</v>
      </c>
      <c r="H74" s="504">
        <v>0.0025913555017950413</v>
      </c>
      <c r="I74" s="504">
        <v>0.0282350061084816</v>
      </c>
      <c r="J74" s="504">
        <v>0.0675371928879528</v>
      </c>
      <c r="K74" s="504">
        <v>0</v>
      </c>
      <c r="L74" s="504">
        <v>0.12694800649867044</v>
      </c>
      <c r="M74" s="504">
        <v>0.0021413133637991862</v>
      </c>
      <c r="N74" s="504">
        <v>0.28341679773202016</v>
      </c>
      <c r="O74" s="504">
        <v>3.5286735836394345</v>
      </c>
      <c r="P74" s="504">
        <v>6.817622383958058</v>
      </c>
      <c r="R74" s="58"/>
      <c r="S74" s="58"/>
      <c r="T74" s="58"/>
      <c r="W74" s="56"/>
      <c r="X74" s="56"/>
      <c r="Y74" s="56"/>
      <c r="AJ74" s="51"/>
      <c r="AK74" s="51"/>
      <c r="AL74" s="51"/>
    </row>
    <row r="75" spans="2:38" ht="12.75">
      <c r="B75" s="491" t="s">
        <v>70</v>
      </c>
      <c r="C75" s="99" t="s">
        <v>140</v>
      </c>
      <c r="D75" s="316"/>
      <c r="E75" s="504">
        <v>9.915721864634342</v>
      </c>
      <c r="F75" s="504">
        <v>0.15901690208248792</v>
      </c>
      <c r="G75" s="504">
        <v>0.25509240730027616</v>
      </c>
      <c r="H75" s="504">
        <v>0.006055139590224868</v>
      </c>
      <c r="I75" s="504">
        <v>0.20921002473359193</v>
      </c>
      <c r="J75" s="504">
        <v>0.01880358725938773</v>
      </c>
      <c r="K75" s="504">
        <v>0</v>
      </c>
      <c r="L75" s="504">
        <v>0.14393365080224763</v>
      </c>
      <c r="M75" s="504">
        <v>0.1927182027419268</v>
      </c>
      <c r="N75" s="504">
        <v>0.316581912433316</v>
      </c>
      <c r="O75" s="504">
        <v>3.8861751481221876</v>
      </c>
      <c r="P75" s="504">
        <v>15.103308839699991</v>
      </c>
      <c r="R75" s="58"/>
      <c r="S75" s="58"/>
      <c r="T75" s="58"/>
      <c r="W75" s="56"/>
      <c r="X75" s="56"/>
      <c r="Y75" s="56"/>
      <c r="AJ75" s="51"/>
      <c r="AK75" s="51"/>
      <c r="AL75" s="51"/>
    </row>
    <row r="76" spans="2:38" ht="12.75">
      <c r="B76" s="491" t="s">
        <v>71</v>
      </c>
      <c r="C76" s="99" t="s">
        <v>141</v>
      </c>
      <c r="D76" s="316"/>
      <c r="E76" s="504">
        <v>1.8553337979771212</v>
      </c>
      <c r="F76" s="504">
        <v>0.39995573642697746</v>
      </c>
      <c r="G76" s="504">
        <v>0.05695862720251432</v>
      </c>
      <c r="H76" s="504">
        <v>0.013135791475915442</v>
      </c>
      <c r="I76" s="504">
        <v>0.022587278786971338</v>
      </c>
      <c r="J76" s="504">
        <v>0.08929508306348155</v>
      </c>
      <c r="K76" s="504">
        <v>0.0008037537509577374</v>
      </c>
      <c r="L76" s="504">
        <v>0.13982315524639705</v>
      </c>
      <c r="M76" s="504">
        <v>4.9997133941848885E-06</v>
      </c>
      <c r="N76" s="504">
        <v>0.3062761254976135</v>
      </c>
      <c r="O76" s="504">
        <v>3.744708356297613</v>
      </c>
      <c r="P76" s="504">
        <v>6.628882705438956</v>
      </c>
      <c r="R76" s="58"/>
      <c r="S76" s="58"/>
      <c r="T76" s="58"/>
      <c r="W76" s="56"/>
      <c r="X76" s="56"/>
      <c r="Y76" s="56"/>
      <c r="AJ76" s="51"/>
      <c r="AK76" s="51"/>
      <c r="AL76" s="51"/>
    </row>
    <row r="77" spans="2:38" ht="12.75">
      <c r="B77" s="491" t="s">
        <v>72</v>
      </c>
      <c r="C77" s="99" t="s">
        <v>142</v>
      </c>
      <c r="D77" s="316"/>
      <c r="E77" s="504">
        <v>1.7728890979008438</v>
      </c>
      <c r="F77" s="504">
        <v>0.5423264668688995</v>
      </c>
      <c r="G77" s="504">
        <v>0.011610196475119594</v>
      </c>
      <c r="H77" s="504">
        <v>0.00372177160164368</v>
      </c>
      <c r="I77" s="504">
        <v>0.0681330670874868</v>
      </c>
      <c r="J77" s="504">
        <v>0.08716967817687635</v>
      </c>
      <c r="K77" s="504">
        <v>0</v>
      </c>
      <c r="L77" s="504">
        <v>0.10025674653216118</v>
      </c>
      <c r="M77" s="504">
        <v>0</v>
      </c>
      <c r="N77" s="504">
        <v>0.21377226913993153</v>
      </c>
      <c r="O77" s="504">
        <v>2.5443985812580245</v>
      </c>
      <c r="P77" s="504">
        <v>5.344277875040987</v>
      </c>
      <c r="R77" s="58"/>
      <c r="S77" s="58"/>
      <c r="T77" s="58"/>
      <c r="W77" s="56"/>
      <c r="X77" s="56"/>
      <c r="Y77" s="56"/>
      <c r="AJ77" s="51"/>
      <c r="AK77" s="51"/>
      <c r="AL77" s="51"/>
    </row>
    <row r="78" spans="2:38" ht="12.75">
      <c r="B78" s="491" t="s">
        <v>74</v>
      </c>
      <c r="C78" s="99" t="s">
        <v>143</v>
      </c>
      <c r="D78" s="316"/>
      <c r="E78" s="504">
        <v>1.401148968193477</v>
      </c>
      <c r="F78" s="504">
        <v>0.7176612695435297</v>
      </c>
      <c r="G78" s="504">
        <v>0.14902713209872057</v>
      </c>
      <c r="H78" s="504">
        <v>0.056843196606401386</v>
      </c>
      <c r="I78" s="504">
        <v>0.14449738728781233</v>
      </c>
      <c r="J78" s="504">
        <v>0.030838420490189693</v>
      </c>
      <c r="K78" s="504">
        <v>0.005626276256704161</v>
      </c>
      <c r="L78" s="504">
        <v>0.07088684498640196</v>
      </c>
      <c r="M78" s="504">
        <v>0.08054738199611203</v>
      </c>
      <c r="N78" s="504">
        <v>0.1548759712233271</v>
      </c>
      <c r="O78" s="504">
        <v>1.8888716621798944</v>
      </c>
      <c r="P78" s="504">
        <v>4.700824510862571</v>
      </c>
      <c r="R78" s="58"/>
      <c r="S78" s="58"/>
      <c r="T78" s="58"/>
      <c r="W78" s="56"/>
      <c r="X78" s="56"/>
      <c r="Y78" s="56"/>
      <c r="AJ78" s="51"/>
      <c r="AK78" s="51"/>
      <c r="AL78" s="51"/>
    </row>
    <row r="79" spans="2:38" ht="12.75">
      <c r="B79" s="491" t="s">
        <v>75</v>
      </c>
      <c r="C79" s="99" t="s">
        <v>144</v>
      </c>
      <c r="D79" s="316"/>
      <c r="E79" s="504">
        <v>2.223521804894166</v>
      </c>
      <c r="F79" s="504">
        <v>0.42800050691130864</v>
      </c>
      <c r="G79" s="504">
        <v>0.004886946822236539</v>
      </c>
      <c r="H79" s="504">
        <v>0.0312403855453659</v>
      </c>
      <c r="I79" s="504">
        <v>0.02203071853102876</v>
      </c>
      <c r="J79" s="504">
        <v>0.07227385512762166</v>
      </c>
      <c r="K79" s="504">
        <v>0.02170135127585891</v>
      </c>
      <c r="L79" s="504">
        <v>0.11555539099766722</v>
      </c>
      <c r="M79" s="504">
        <v>0.3024234075817781</v>
      </c>
      <c r="N79" s="504">
        <v>0.24300590437847414</v>
      </c>
      <c r="O79" s="504">
        <v>2.85102659365309</v>
      </c>
      <c r="P79" s="504">
        <v>6.315666865718596</v>
      </c>
      <c r="R79" s="58"/>
      <c r="S79" s="58"/>
      <c r="T79" s="58"/>
      <c r="W79" s="56"/>
      <c r="X79" s="56"/>
      <c r="Y79" s="56"/>
      <c r="AJ79" s="51"/>
      <c r="AK79" s="51"/>
      <c r="AL79" s="51"/>
    </row>
    <row r="80" spans="2:38" ht="12.75">
      <c r="B80" s="491" t="s">
        <v>76</v>
      </c>
      <c r="C80" s="99" t="s">
        <v>145</v>
      </c>
      <c r="D80" s="316"/>
      <c r="E80" s="504">
        <v>1.95981045006044</v>
      </c>
      <c r="F80" s="504">
        <v>0.39236772650101504</v>
      </c>
      <c r="G80" s="504">
        <v>0.08248417214749709</v>
      </c>
      <c r="H80" s="504">
        <v>0.03864256172689048</v>
      </c>
      <c r="I80" s="504">
        <v>0.5011546388077847</v>
      </c>
      <c r="J80" s="504">
        <v>0.010410757538665126</v>
      </c>
      <c r="K80" s="504">
        <v>0.009645045011492848</v>
      </c>
      <c r="L80" s="504">
        <v>0.036570298940277864</v>
      </c>
      <c r="M80" s="504">
        <v>0.011255863794809296</v>
      </c>
      <c r="N80" s="504">
        <v>0.07511516687661383</v>
      </c>
      <c r="O80" s="504">
        <v>3.830848865911249</v>
      </c>
      <c r="P80" s="504">
        <v>6.948305547316735</v>
      </c>
      <c r="R80" s="58"/>
      <c r="S80" s="58"/>
      <c r="T80" s="58"/>
      <c r="W80" s="56"/>
      <c r="X80" s="56"/>
      <c r="Y80" s="56"/>
      <c r="AJ80" s="51"/>
      <c r="AK80" s="51"/>
      <c r="AL80" s="51"/>
    </row>
    <row r="81" spans="2:38" ht="12.75">
      <c r="B81" s="491" t="s">
        <v>77</v>
      </c>
      <c r="C81" s="99" t="s">
        <v>146</v>
      </c>
      <c r="D81" s="316"/>
      <c r="E81" s="504">
        <v>2.5968129761627643</v>
      </c>
      <c r="F81" s="504">
        <v>0.24934649840128476</v>
      </c>
      <c r="G81" s="504">
        <v>0.34231990681230917</v>
      </c>
      <c r="H81" s="504">
        <v>0.024425165653953942</v>
      </c>
      <c r="I81" s="504">
        <v>0.0718869610265524</v>
      </c>
      <c r="J81" s="504">
        <v>0.040254101692275994</v>
      </c>
      <c r="K81" s="504">
        <v>0</v>
      </c>
      <c r="L81" s="504">
        <v>0.15168425881946482</v>
      </c>
      <c r="M81" s="504">
        <v>0</v>
      </c>
      <c r="N81" s="504">
        <v>0.33185799669430405</v>
      </c>
      <c r="O81" s="504">
        <v>4.05274451426692</v>
      </c>
      <c r="P81" s="504">
        <v>7.86133237952983</v>
      </c>
      <c r="R81" s="58"/>
      <c r="S81" s="58"/>
      <c r="T81" s="58"/>
      <c r="W81" s="56"/>
      <c r="X81" s="56"/>
      <c r="Y81" s="56"/>
      <c r="AJ81" s="51"/>
      <c r="AK81" s="51"/>
      <c r="AL81" s="51"/>
    </row>
    <row r="82" spans="2:38" ht="12.75">
      <c r="B82" s="491" t="s">
        <v>78</v>
      </c>
      <c r="C82" s="99" t="s">
        <v>147</v>
      </c>
      <c r="D82" s="316"/>
      <c r="E82" s="504">
        <v>1.3721391679725614</v>
      </c>
      <c r="F82" s="504">
        <v>0.4805583374106189</v>
      </c>
      <c r="G82" s="504">
        <v>0.3434474802588887</v>
      </c>
      <c r="H82" s="504">
        <v>0.08185968324368167</v>
      </c>
      <c r="I82" s="504">
        <v>0.1392425820160549</v>
      </c>
      <c r="J82" s="504">
        <v>0.026877835132950084</v>
      </c>
      <c r="K82" s="504">
        <v>0</v>
      </c>
      <c r="L82" s="504">
        <v>0.10713617342810959</v>
      </c>
      <c r="M82" s="504">
        <v>0</v>
      </c>
      <c r="N82" s="504">
        <v>0.23931597123968307</v>
      </c>
      <c r="O82" s="504">
        <v>2.9811113724995306</v>
      </c>
      <c r="P82" s="504">
        <v>5.7716886032020795</v>
      </c>
      <c r="R82" s="58"/>
      <c r="S82" s="58"/>
      <c r="T82" s="58"/>
      <c r="W82" s="56"/>
      <c r="X82" s="56"/>
      <c r="Y82" s="56"/>
      <c r="AJ82" s="51"/>
      <c r="AK82" s="51"/>
      <c r="AL82" s="51"/>
    </row>
    <row r="83" spans="2:38" ht="13.5" thickBot="1">
      <c r="B83" s="491" t="s">
        <v>79</v>
      </c>
      <c r="C83" s="99" t="s">
        <v>148</v>
      </c>
      <c r="D83" s="316"/>
      <c r="E83" s="505">
        <v>16.882424643724676</v>
      </c>
      <c r="F83" s="505">
        <v>1.022932079751624</v>
      </c>
      <c r="G83" s="505">
        <v>0.6542315855030001</v>
      </c>
      <c r="H83" s="505">
        <v>0.11669278360165646</v>
      </c>
      <c r="I83" s="505">
        <v>1.210777787670124</v>
      </c>
      <c r="J83" s="505">
        <v>0.014991745331112112</v>
      </c>
      <c r="K83" s="505">
        <v>0.011252552513408322</v>
      </c>
      <c r="L83" s="505">
        <v>0.03351685686384238</v>
      </c>
      <c r="M83" s="505">
        <v>0.15895345062842486</v>
      </c>
      <c r="N83" s="505">
        <v>0.0682310340195994</v>
      </c>
      <c r="O83" s="505">
        <v>0.772640026731568</v>
      </c>
      <c r="P83" s="505">
        <v>20.946644546339037</v>
      </c>
      <c r="R83" s="58"/>
      <c r="S83" s="58"/>
      <c r="T83" s="58"/>
      <c r="W83" s="56"/>
      <c r="X83" s="56"/>
      <c r="Y83" s="56"/>
      <c r="AJ83" s="51"/>
      <c r="AK83" s="51"/>
      <c r="AL83" s="51"/>
    </row>
    <row r="84" spans="2:38" ht="13.5" thickBot="1">
      <c r="B84" s="492" t="s">
        <v>89</v>
      </c>
      <c r="C84" s="493"/>
      <c r="D84" s="494"/>
      <c r="E84" s="500">
        <f aca="true" t="shared" si="10" ref="E84:P84">SUM(E51:E83)</f>
        <v>164.57928401718496</v>
      </c>
      <c r="F84" s="500">
        <f t="shared" si="10"/>
        <v>16.237450546564105</v>
      </c>
      <c r="G84" s="500">
        <f t="shared" si="10"/>
        <v>18.90162205220402</v>
      </c>
      <c r="H84" s="500">
        <f t="shared" si="10"/>
        <v>1.6872982260382223</v>
      </c>
      <c r="I84" s="500">
        <f t="shared" si="10"/>
        <v>10.42368738256716</v>
      </c>
      <c r="J84" s="500">
        <f t="shared" si="10"/>
        <v>2.6150834234696627</v>
      </c>
      <c r="K84" s="500">
        <f t="shared" si="10"/>
        <v>0.4158153193972414</v>
      </c>
      <c r="L84" s="500">
        <f t="shared" si="10"/>
        <v>3.5249740561427343</v>
      </c>
      <c r="M84" s="500">
        <f t="shared" si="10"/>
        <v>2.3066899663952776</v>
      </c>
      <c r="N84" s="500">
        <f t="shared" si="10"/>
        <v>7.595683002955155</v>
      </c>
      <c r="O84" s="500">
        <f t="shared" si="10"/>
        <v>132.5234823934885</v>
      </c>
      <c r="P84" s="501">
        <f t="shared" si="10"/>
        <v>360.811070386407</v>
      </c>
      <c r="R84" s="58"/>
      <c r="S84" s="58"/>
      <c r="T84" s="58"/>
      <c r="W84" s="56"/>
      <c r="X84" s="56"/>
      <c r="Y84" s="56"/>
      <c r="AJ84" s="51"/>
      <c r="AK84" s="51"/>
      <c r="AL84" s="51"/>
    </row>
    <row r="85" ht="12.75"/>
    <row r="86" spans="2:18" ht="12.75">
      <c r="B86" s="326" t="s">
        <v>231</v>
      </c>
      <c r="C86" s="55"/>
      <c r="D86" s="55"/>
      <c r="E86" s="55"/>
      <c r="F86" s="55"/>
      <c r="G86" s="55"/>
      <c r="H86" s="55"/>
      <c r="I86" s="55"/>
      <c r="J86" s="58"/>
      <c r="K86" s="61"/>
      <c r="L86" s="58"/>
      <c r="M86" s="58"/>
      <c r="N86" s="58"/>
      <c r="O86" s="58"/>
      <c r="P86" s="58"/>
      <c r="Q86" s="58"/>
      <c r="R86" s="58"/>
    </row>
    <row r="87" spans="2:18" ht="12.75">
      <c r="B87" s="326" t="s">
        <v>0</v>
      </c>
      <c r="C87" s="55"/>
      <c r="D87" s="55"/>
      <c r="E87" s="55"/>
      <c r="F87" s="55"/>
      <c r="G87" s="55"/>
      <c r="H87" s="55"/>
      <c r="I87" s="55"/>
      <c r="J87" s="58"/>
      <c r="K87" s="61"/>
      <c r="L87" s="58"/>
      <c r="M87" s="58"/>
      <c r="N87" s="58"/>
      <c r="O87" s="58"/>
      <c r="P87" s="58"/>
      <c r="Q87" s="58"/>
      <c r="R87" s="58"/>
    </row>
    <row r="88" spans="2:18" ht="12.75">
      <c r="B88" s="326" t="s">
        <v>1</v>
      </c>
      <c r="C88" s="55"/>
      <c r="D88" s="55"/>
      <c r="E88" s="55"/>
      <c r="F88" s="55"/>
      <c r="G88" s="55"/>
      <c r="H88" s="55"/>
      <c r="I88" s="55"/>
      <c r="J88" s="58"/>
      <c r="K88" s="61"/>
      <c r="L88" s="58"/>
      <c r="M88" s="58"/>
      <c r="N88" s="58"/>
      <c r="O88" s="58"/>
      <c r="P88" s="58"/>
      <c r="Q88" s="58"/>
      <c r="R88" s="58"/>
    </row>
    <row r="89" spans="2:18" ht="12.75">
      <c r="B89" s="326" t="s">
        <v>232</v>
      </c>
      <c r="C89" s="55"/>
      <c r="D89" s="55"/>
      <c r="E89" s="55"/>
      <c r="F89" s="55"/>
      <c r="G89" s="55"/>
      <c r="H89" s="55"/>
      <c r="I89" s="55"/>
      <c r="J89" s="58"/>
      <c r="K89" s="61"/>
      <c r="L89" s="58"/>
      <c r="M89" s="58"/>
      <c r="N89" s="58"/>
      <c r="O89" s="58"/>
      <c r="P89" s="58"/>
      <c r="Q89" s="58"/>
      <c r="R89" s="58"/>
    </row>
  </sheetData>
  <sheetProtection/>
  <mergeCells count="19">
    <mergeCell ref="B48:B50"/>
    <mergeCell ref="C48:C50"/>
    <mergeCell ref="K49:L49"/>
    <mergeCell ref="M49:N49"/>
    <mergeCell ref="D48:D50"/>
    <mergeCell ref="E48:P48"/>
    <mergeCell ref="E49:J49"/>
    <mergeCell ref="D44:H44"/>
    <mergeCell ref="D42:H42"/>
    <mergeCell ref="D43:H43"/>
    <mergeCell ref="B4:B6"/>
    <mergeCell ref="C4:C6"/>
    <mergeCell ref="D4:D6"/>
    <mergeCell ref="K4:O4"/>
    <mergeCell ref="K5:L5"/>
    <mergeCell ref="M5:O5"/>
    <mergeCell ref="E5:F5"/>
    <mergeCell ref="G5:I5"/>
    <mergeCell ref="E4:I4"/>
  </mergeCells>
  <printOptions/>
  <pageMargins left="0.25" right="0.25" top="0.75" bottom="0.75" header="0.3" footer="0.3"/>
  <pageSetup fitToHeight="1" fitToWidth="1" horizontalDpi="600" verticalDpi="600" orientation="landscape" paperSize="8" scale="61" r:id="rId3"/>
  <rowBreaks count="1" manualBreakCount="1">
    <brk id="45" max="18" man="1"/>
  </rowBreaks>
  <legacyDrawing r:id="rId2"/>
</worksheet>
</file>

<file path=xl/worksheets/sheet7.xml><?xml version="1.0" encoding="utf-8"?>
<worksheet xmlns="http://schemas.openxmlformats.org/spreadsheetml/2006/main" xmlns:r="http://schemas.openxmlformats.org/officeDocument/2006/relationships">
  <dimension ref="B2:Y39"/>
  <sheetViews>
    <sheetView view="pageBreakPreview" zoomScaleSheetLayoutView="100" zoomScalePageLayoutView="0" workbookViewId="0" topLeftCell="A1">
      <selection activeCell="A1" sqref="A1"/>
    </sheetView>
  </sheetViews>
  <sheetFormatPr defaultColWidth="9.140625" defaultRowHeight="12.75"/>
  <cols>
    <col min="1" max="1" width="2.7109375" style="17" customWidth="1"/>
    <col min="2" max="4" width="20.7109375" style="17" customWidth="1"/>
    <col min="5" max="16384" width="9.140625" style="17" customWidth="1"/>
  </cols>
  <sheetData>
    <row r="1" ht="12.75"/>
    <row r="2" spans="2:3" ht="21">
      <c r="B2" s="50" t="s">
        <v>208</v>
      </c>
      <c r="C2" s="50" t="s">
        <v>193</v>
      </c>
    </row>
    <row r="3" spans="2:3" ht="12.75" customHeight="1">
      <c r="B3" s="50"/>
      <c r="C3" s="50"/>
    </row>
    <row r="4" spans="6:25" ht="12.75">
      <c r="F4" s="696" t="s">
        <v>94</v>
      </c>
      <c r="G4" s="698"/>
      <c r="H4" s="698"/>
      <c r="I4" s="698"/>
      <c r="J4" s="698"/>
      <c r="K4" s="697"/>
      <c r="L4" s="696" t="s">
        <v>14</v>
      </c>
      <c r="M4" s="698"/>
      <c r="N4" s="698"/>
      <c r="O4" s="697"/>
      <c r="P4" s="696" t="s">
        <v>26</v>
      </c>
      <c r="Q4" s="698"/>
      <c r="R4" s="698"/>
      <c r="S4" s="698"/>
      <c r="T4" s="698"/>
      <c r="U4" s="697"/>
      <c r="V4" s="91" t="s">
        <v>194</v>
      </c>
      <c r="W4" s="91" t="s">
        <v>89</v>
      </c>
      <c r="X4" s="696" t="s">
        <v>206</v>
      </c>
      <c r="Y4" s="697"/>
    </row>
    <row r="5" spans="2:25" ht="114.75">
      <c r="B5" s="127" t="s">
        <v>92</v>
      </c>
      <c r="C5" s="127" t="s">
        <v>81</v>
      </c>
      <c r="D5" s="128" t="s">
        <v>82</v>
      </c>
      <c r="E5" s="146" t="s">
        <v>36</v>
      </c>
      <c r="F5" s="122" t="s">
        <v>83</v>
      </c>
      <c r="G5" s="122" t="s">
        <v>84</v>
      </c>
      <c r="H5" s="122" t="s">
        <v>85</v>
      </c>
      <c r="I5" s="122" t="s">
        <v>86</v>
      </c>
      <c r="J5" s="122" t="s">
        <v>87</v>
      </c>
      <c r="K5" s="132" t="s">
        <v>195</v>
      </c>
      <c r="L5" s="123" t="s">
        <v>196</v>
      </c>
      <c r="M5" s="123" t="s">
        <v>197</v>
      </c>
      <c r="N5" s="123" t="s">
        <v>198</v>
      </c>
      <c r="O5" s="129" t="s">
        <v>199</v>
      </c>
      <c r="P5" s="124" t="s">
        <v>200</v>
      </c>
      <c r="Q5" s="124" t="s">
        <v>201</v>
      </c>
      <c r="R5" s="124" t="s">
        <v>202</v>
      </c>
      <c r="S5" s="124" t="s">
        <v>203</v>
      </c>
      <c r="T5" s="124" t="s">
        <v>204</v>
      </c>
      <c r="U5" s="130" t="s">
        <v>205</v>
      </c>
      <c r="V5" s="131" t="s">
        <v>88</v>
      </c>
      <c r="W5" s="143" t="s">
        <v>207</v>
      </c>
      <c r="X5" s="125" t="s">
        <v>90</v>
      </c>
      <c r="Y5" s="125" t="s">
        <v>91</v>
      </c>
    </row>
    <row r="6" spans="2:25" ht="12.75">
      <c r="B6" s="68" t="s">
        <v>45</v>
      </c>
      <c r="C6" s="69" t="s">
        <v>46</v>
      </c>
      <c r="D6" s="69" t="s">
        <v>46</v>
      </c>
      <c r="E6" s="148">
        <v>2011</v>
      </c>
      <c r="F6" s="15">
        <v>214.56</v>
      </c>
      <c r="G6" s="17">
        <v>43.59</v>
      </c>
      <c r="H6" s="17">
        <v>42.29</v>
      </c>
      <c r="I6" s="17">
        <v>29.52</v>
      </c>
      <c r="J6" s="17">
        <v>0.16</v>
      </c>
      <c r="K6" s="139">
        <f>SUM(F6:J6)</f>
        <v>330.12</v>
      </c>
      <c r="L6" s="17">
        <v>139.82</v>
      </c>
      <c r="M6" s="17">
        <v>140.1</v>
      </c>
      <c r="N6" s="17">
        <v>5.1</v>
      </c>
      <c r="O6" s="139">
        <f>SUM(L6:N6)</f>
        <v>285.02</v>
      </c>
      <c r="P6" s="17">
        <v>118.9</v>
      </c>
      <c r="Q6" s="17">
        <v>0</v>
      </c>
      <c r="R6" s="17">
        <v>36.05</v>
      </c>
      <c r="S6" s="17">
        <v>10.6</v>
      </c>
      <c r="T6" s="17">
        <v>0.78</v>
      </c>
      <c r="U6" s="139">
        <f>SUM(P6:T6)</f>
        <v>166.32999999999998</v>
      </c>
      <c r="V6" s="14">
        <v>0.39</v>
      </c>
      <c r="W6" s="139">
        <f>K6+O6+U6</f>
        <v>781.47</v>
      </c>
      <c r="X6" s="142">
        <v>187</v>
      </c>
      <c r="Y6" s="136">
        <v>4.2</v>
      </c>
    </row>
    <row r="7" spans="2:25" ht="12.75">
      <c r="B7" s="70" t="s">
        <v>45</v>
      </c>
      <c r="C7" s="45" t="s">
        <v>47</v>
      </c>
      <c r="D7" s="45" t="s">
        <v>47</v>
      </c>
      <c r="E7" s="67">
        <v>2011</v>
      </c>
      <c r="F7" s="17">
        <v>271.96</v>
      </c>
      <c r="G7" s="17">
        <v>98.98</v>
      </c>
      <c r="H7" s="17">
        <v>0</v>
      </c>
      <c r="I7" s="17">
        <v>11.37</v>
      </c>
      <c r="J7" s="17">
        <v>0.5</v>
      </c>
      <c r="K7" s="140">
        <f aca="true" t="shared" si="0" ref="K7:K39">SUM(F7:J7)</f>
        <v>382.81</v>
      </c>
      <c r="L7" s="17">
        <v>319.26</v>
      </c>
      <c r="M7" s="17">
        <v>408.1</v>
      </c>
      <c r="N7" s="17">
        <v>11.03</v>
      </c>
      <c r="O7" s="140">
        <f aca="true" t="shared" si="1" ref="O7:O39">SUM(L7:N7)</f>
        <v>738.39</v>
      </c>
      <c r="P7" s="17">
        <v>241.79</v>
      </c>
      <c r="Q7" s="17">
        <v>53.89</v>
      </c>
      <c r="R7" s="17">
        <v>77.53</v>
      </c>
      <c r="S7" s="17">
        <v>0.91</v>
      </c>
      <c r="T7" s="17">
        <v>1.52</v>
      </c>
      <c r="U7" s="140">
        <f aca="true" t="shared" si="2" ref="U7:U39">SUM(P7:T7)</f>
        <v>375.64000000000004</v>
      </c>
      <c r="V7" s="16">
        <v>2.31</v>
      </c>
      <c r="W7" s="140">
        <f aca="true" t="shared" si="3" ref="W7:W38">K7+O7+U7</f>
        <v>1496.8400000000001</v>
      </c>
      <c r="X7" s="126">
        <v>357.5</v>
      </c>
      <c r="Y7" s="137">
        <v>4.2</v>
      </c>
    </row>
    <row r="8" spans="2:25" ht="12.75">
      <c r="B8" s="70" t="s">
        <v>45</v>
      </c>
      <c r="C8" s="45" t="s">
        <v>48</v>
      </c>
      <c r="D8" s="45" t="s">
        <v>48</v>
      </c>
      <c r="E8" s="67">
        <v>2011</v>
      </c>
      <c r="F8" s="17">
        <v>190.51</v>
      </c>
      <c r="G8" s="17">
        <v>139.43</v>
      </c>
      <c r="H8" s="17">
        <v>13.98</v>
      </c>
      <c r="I8" s="17">
        <v>23.8</v>
      </c>
      <c r="J8" s="17">
        <v>0.33</v>
      </c>
      <c r="K8" s="140">
        <f t="shared" si="0"/>
        <v>368.05</v>
      </c>
      <c r="L8" s="17">
        <v>196.96</v>
      </c>
      <c r="M8" s="17">
        <v>232.6</v>
      </c>
      <c r="N8" s="17">
        <v>7.21</v>
      </c>
      <c r="O8" s="140">
        <f t="shared" si="1"/>
        <v>436.77</v>
      </c>
      <c r="P8" s="17">
        <v>150.8</v>
      </c>
      <c r="Q8" s="17">
        <v>0</v>
      </c>
      <c r="R8" s="17">
        <v>60.01</v>
      </c>
      <c r="S8" s="17">
        <v>0.5</v>
      </c>
      <c r="T8" s="17">
        <v>0.85</v>
      </c>
      <c r="U8" s="140">
        <f t="shared" si="2"/>
        <v>212.16</v>
      </c>
      <c r="V8" s="16">
        <v>2.63</v>
      </c>
      <c r="W8" s="140">
        <f t="shared" si="3"/>
        <v>1016.9799999999999</v>
      </c>
      <c r="X8" s="126">
        <v>232.8</v>
      </c>
      <c r="Y8" s="137">
        <v>4.4</v>
      </c>
    </row>
    <row r="9" spans="2:25" ht="12.75">
      <c r="B9" s="70" t="s">
        <v>45</v>
      </c>
      <c r="C9" s="45" t="s">
        <v>49</v>
      </c>
      <c r="D9" s="45" t="s">
        <v>49</v>
      </c>
      <c r="E9" s="67">
        <v>2011</v>
      </c>
      <c r="F9" s="17">
        <v>293.99</v>
      </c>
      <c r="G9" s="17">
        <v>94.18</v>
      </c>
      <c r="H9" s="17">
        <v>0.14</v>
      </c>
      <c r="I9" s="17">
        <v>26.93</v>
      </c>
      <c r="J9" s="17">
        <v>0.16</v>
      </c>
      <c r="K9" s="140">
        <f t="shared" si="0"/>
        <v>415.40000000000003</v>
      </c>
      <c r="L9" s="17">
        <v>217.51</v>
      </c>
      <c r="M9" s="17">
        <v>289.18</v>
      </c>
      <c r="N9" s="17">
        <v>8.9</v>
      </c>
      <c r="O9" s="140">
        <f t="shared" si="1"/>
        <v>515.59</v>
      </c>
      <c r="P9" s="17">
        <v>128.46</v>
      </c>
      <c r="Q9" s="17">
        <v>0</v>
      </c>
      <c r="R9" s="17">
        <v>82.75</v>
      </c>
      <c r="S9" s="17">
        <v>5.73</v>
      </c>
      <c r="T9" s="17">
        <v>0.97</v>
      </c>
      <c r="U9" s="140">
        <f t="shared" si="2"/>
        <v>217.91</v>
      </c>
      <c r="V9" s="16">
        <v>0.59</v>
      </c>
      <c r="W9" s="140">
        <f t="shared" si="3"/>
        <v>1148.9</v>
      </c>
      <c r="X9" s="126">
        <v>312.2</v>
      </c>
      <c r="Y9" s="137">
        <v>3.7</v>
      </c>
    </row>
    <row r="10" spans="2:25" ht="12.75">
      <c r="B10" s="70" t="s">
        <v>45</v>
      </c>
      <c r="C10" s="45" t="s">
        <v>50</v>
      </c>
      <c r="D10" s="45" t="s">
        <v>50</v>
      </c>
      <c r="E10" s="67">
        <v>2011</v>
      </c>
      <c r="F10" s="17">
        <v>222.64</v>
      </c>
      <c r="G10" s="17">
        <v>71.09</v>
      </c>
      <c r="H10" s="17">
        <v>0.03</v>
      </c>
      <c r="I10" s="17">
        <v>13.8</v>
      </c>
      <c r="J10" s="17">
        <v>1.37</v>
      </c>
      <c r="K10" s="140">
        <f t="shared" si="0"/>
        <v>308.93</v>
      </c>
      <c r="L10" s="17">
        <v>289.49</v>
      </c>
      <c r="M10" s="17">
        <v>378.99</v>
      </c>
      <c r="N10" s="17">
        <v>10.31</v>
      </c>
      <c r="O10" s="140">
        <f t="shared" si="1"/>
        <v>678.79</v>
      </c>
      <c r="P10" s="17">
        <v>151.63</v>
      </c>
      <c r="Q10" s="17">
        <v>0.08</v>
      </c>
      <c r="R10" s="17">
        <v>134.18</v>
      </c>
      <c r="S10" s="17">
        <v>7.83</v>
      </c>
      <c r="T10" s="17">
        <v>10.71</v>
      </c>
      <c r="U10" s="140">
        <f t="shared" si="2"/>
        <v>304.42999999999995</v>
      </c>
      <c r="V10" s="16">
        <v>4.46</v>
      </c>
      <c r="W10" s="140">
        <f t="shared" si="3"/>
        <v>1292.15</v>
      </c>
      <c r="X10" s="126">
        <v>310.6</v>
      </c>
      <c r="Y10" s="137">
        <v>4.2</v>
      </c>
    </row>
    <row r="11" spans="2:25" ht="12.75">
      <c r="B11" s="70" t="s">
        <v>45</v>
      </c>
      <c r="C11" s="45" t="s">
        <v>51</v>
      </c>
      <c r="D11" s="45" t="s">
        <v>51</v>
      </c>
      <c r="E11" s="67">
        <v>2011</v>
      </c>
      <c r="F11" s="17">
        <v>693.74</v>
      </c>
      <c r="G11" s="17">
        <v>264.36</v>
      </c>
      <c r="H11" s="17">
        <v>1.36</v>
      </c>
      <c r="I11" s="17">
        <v>8.61</v>
      </c>
      <c r="J11" s="17">
        <v>0.08</v>
      </c>
      <c r="K11" s="140">
        <f t="shared" si="0"/>
        <v>968.1500000000001</v>
      </c>
      <c r="L11" s="17">
        <v>179.95</v>
      </c>
      <c r="M11" s="17">
        <v>182.34</v>
      </c>
      <c r="N11" s="17">
        <v>6.49</v>
      </c>
      <c r="O11" s="140">
        <f t="shared" si="1"/>
        <v>368.78</v>
      </c>
      <c r="P11" s="17">
        <v>92.54</v>
      </c>
      <c r="Q11" s="17">
        <v>0</v>
      </c>
      <c r="R11" s="17">
        <v>53.09</v>
      </c>
      <c r="S11" s="17">
        <v>1.63</v>
      </c>
      <c r="T11" s="17">
        <v>0.64</v>
      </c>
      <c r="U11" s="140">
        <f t="shared" si="2"/>
        <v>147.89999999999998</v>
      </c>
      <c r="V11" s="16">
        <v>0.59</v>
      </c>
      <c r="W11" s="140">
        <f t="shared" si="3"/>
        <v>1484.83</v>
      </c>
      <c r="X11" s="126">
        <v>220.1</v>
      </c>
      <c r="Y11" s="137">
        <v>6.7</v>
      </c>
    </row>
    <row r="12" spans="2:25" ht="12.75">
      <c r="B12" s="70" t="s">
        <v>45</v>
      </c>
      <c r="C12" s="45" t="s">
        <v>52</v>
      </c>
      <c r="D12" s="45" t="s">
        <v>52</v>
      </c>
      <c r="E12" s="67">
        <v>2011</v>
      </c>
      <c r="F12" s="17">
        <v>1167.89</v>
      </c>
      <c r="G12" s="17">
        <v>144.01</v>
      </c>
      <c r="H12" s="17">
        <v>0.01</v>
      </c>
      <c r="I12" s="17">
        <v>3.46</v>
      </c>
      <c r="J12" s="17">
        <v>0.01</v>
      </c>
      <c r="K12" s="140">
        <f t="shared" si="0"/>
        <v>1315.38</v>
      </c>
      <c r="L12" s="17">
        <v>12.65</v>
      </c>
      <c r="M12" s="17">
        <v>6.1</v>
      </c>
      <c r="N12" s="17">
        <v>0.42</v>
      </c>
      <c r="O12" s="140">
        <f t="shared" si="1"/>
        <v>19.17</v>
      </c>
      <c r="P12" s="17">
        <v>35.88</v>
      </c>
      <c r="Q12" s="17">
        <v>0</v>
      </c>
      <c r="R12" s="17">
        <v>17.89</v>
      </c>
      <c r="S12" s="17">
        <v>0.03</v>
      </c>
      <c r="T12" s="17">
        <v>0.39</v>
      </c>
      <c r="U12" s="140">
        <f t="shared" si="2"/>
        <v>54.190000000000005</v>
      </c>
      <c r="V12" s="16">
        <v>0.05</v>
      </c>
      <c r="W12" s="140">
        <f t="shared" si="3"/>
        <v>1388.7400000000002</v>
      </c>
      <c r="X12" s="126">
        <v>7.4</v>
      </c>
      <c r="Y12" s="137">
        <v>187.7</v>
      </c>
    </row>
    <row r="13" spans="2:25" ht="12.75">
      <c r="B13" s="70" t="s">
        <v>45</v>
      </c>
      <c r="C13" s="45" t="s">
        <v>53</v>
      </c>
      <c r="D13" s="45" t="s">
        <v>53</v>
      </c>
      <c r="E13" s="67">
        <v>2011</v>
      </c>
      <c r="F13" s="17">
        <v>341.97</v>
      </c>
      <c r="G13" s="17">
        <v>83.35</v>
      </c>
      <c r="H13" s="17">
        <v>0</v>
      </c>
      <c r="I13" s="17">
        <v>12.74</v>
      </c>
      <c r="J13" s="17">
        <v>0.55</v>
      </c>
      <c r="K13" s="140">
        <f t="shared" si="0"/>
        <v>438.61000000000007</v>
      </c>
      <c r="L13" s="17">
        <v>306.3</v>
      </c>
      <c r="M13" s="17">
        <v>380.03</v>
      </c>
      <c r="N13" s="17">
        <v>11.23</v>
      </c>
      <c r="O13" s="140">
        <f t="shared" si="1"/>
        <v>697.56</v>
      </c>
      <c r="P13" s="17">
        <v>136.1</v>
      </c>
      <c r="Q13" s="17">
        <v>0</v>
      </c>
      <c r="R13" s="17">
        <v>144.12</v>
      </c>
      <c r="S13" s="17">
        <v>1.38</v>
      </c>
      <c r="T13" s="17">
        <v>1.14</v>
      </c>
      <c r="U13" s="140">
        <f t="shared" si="2"/>
        <v>282.74</v>
      </c>
      <c r="V13" s="16">
        <v>1.87</v>
      </c>
      <c r="W13" s="140">
        <f t="shared" si="3"/>
        <v>1418.91</v>
      </c>
      <c r="X13" s="126">
        <v>364.8</v>
      </c>
      <c r="Y13" s="137">
        <v>3.9</v>
      </c>
    </row>
    <row r="14" spans="2:25" ht="12.75">
      <c r="B14" s="70" t="s">
        <v>45</v>
      </c>
      <c r="C14" s="45" t="s">
        <v>54</v>
      </c>
      <c r="D14" s="45" t="s">
        <v>54</v>
      </c>
      <c r="E14" s="67">
        <v>2011</v>
      </c>
      <c r="F14" s="17">
        <v>436.06</v>
      </c>
      <c r="G14" s="17">
        <v>137.05</v>
      </c>
      <c r="H14" s="17">
        <v>0.22</v>
      </c>
      <c r="I14" s="17">
        <v>32.69</v>
      </c>
      <c r="J14" s="17">
        <v>0.25</v>
      </c>
      <c r="K14" s="140">
        <f t="shared" si="0"/>
        <v>606.27</v>
      </c>
      <c r="L14" s="17">
        <v>246.3</v>
      </c>
      <c r="M14" s="17">
        <v>315.54</v>
      </c>
      <c r="N14" s="17">
        <v>9.57</v>
      </c>
      <c r="O14" s="140">
        <f t="shared" si="1"/>
        <v>571.4100000000001</v>
      </c>
      <c r="P14" s="17">
        <v>200.34</v>
      </c>
      <c r="Q14" s="17">
        <v>0</v>
      </c>
      <c r="R14" s="17">
        <v>100.07</v>
      </c>
      <c r="S14" s="17">
        <v>8.92</v>
      </c>
      <c r="T14" s="17">
        <v>1.6</v>
      </c>
      <c r="U14" s="140">
        <f t="shared" si="2"/>
        <v>310.93</v>
      </c>
      <c r="V14" s="16">
        <v>0.46</v>
      </c>
      <c r="W14" s="140">
        <f t="shared" si="3"/>
        <v>1488.6100000000001</v>
      </c>
      <c r="X14" s="126">
        <v>339.3</v>
      </c>
      <c r="Y14" s="137">
        <v>4.4</v>
      </c>
    </row>
    <row r="15" spans="2:25" ht="12.75">
      <c r="B15" s="70" t="s">
        <v>45</v>
      </c>
      <c r="C15" s="45" t="s">
        <v>55</v>
      </c>
      <c r="D15" s="45" t="s">
        <v>55</v>
      </c>
      <c r="E15" s="67">
        <v>2011</v>
      </c>
      <c r="F15" s="17">
        <v>245.79</v>
      </c>
      <c r="G15" s="17">
        <v>109.29</v>
      </c>
      <c r="H15" s="17">
        <v>9.98</v>
      </c>
      <c r="I15" s="17">
        <v>19.91</v>
      </c>
      <c r="J15" s="17">
        <v>0.69</v>
      </c>
      <c r="K15" s="140">
        <f t="shared" si="0"/>
        <v>385.66</v>
      </c>
      <c r="L15" s="17">
        <v>257.15</v>
      </c>
      <c r="M15" s="17">
        <v>291.39</v>
      </c>
      <c r="N15" s="17">
        <v>8.95</v>
      </c>
      <c r="O15" s="140">
        <f t="shared" si="1"/>
        <v>557.49</v>
      </c>
      <c r="P15" s="17">
        <v>181.07</v>
      </c>
      <c r="Q15" s="17">
        <v>131.84</v>
      </c>
      <c r="R15" s="17">
        <v>66.3</v>
      </c>
      <c r="S15" s="17">
        <v>0.32</v>
      </c>
      <c r="T15" s="17">
        <v>1.26</v>
      </c>
      <c r="U15" s="140">
        <f t="shared" si="2"/>
        <v>380.78999999999996</v>
      </c>
      <c r="V15" s="16">
        <v>2.05</v>
      </c>
      <c r="W15" s="140">
        <f t="shared" si="3"/>
        <v>1323.94</v>
      </c>
      <c r="X15" s="126">
        <v>313.9</v>
      </c>
      <c r="Y15" s="137">
        <v>4.2</v>
      </c>
    </row>
    <row r="16" spans="2:25" ht="12.75">
      <c r="B16" s="70" t="s">
        <v>45</v>
      </c>
      <c r="C16" s="45" t="s">
        <v>56</v>
      </c>
      <c r="D16" s="45" t="s">
        <v>56</v>
      </c>
      <c r="E16" s="67">
        <v>2011</v>
      </c>
      <c r="F16" s="17">
        <v>184.55</v>
      </c>
      <c r="G16" s="17">
        <v>185.07</v>
      </c>
      <c r="H16" s="17">
        <v>0</v>
      </c>
      <c r="I16" s="17">
        <v>10.52</v>
      </c>
      <c r="J16" s="17">
        <v>0.16</v>
      </c>
      <c r="K16" s="140">
        <f t="shared" si="0"/>
        <v>380.3</v>
      </c>
      <c r="L16" s="17">
        <v>190.83</v>
      </c>
      <c r="M16" s="17">
        <v>215.26</v>
      </c>
      <c r="N16" s="17">
        <v>6.63</v>
      </c>
      <c r="O16" s="140">
        <f t="shared" si="1"/>
        <v>412.72</v>
      </c>
      <c r="P16" s="17">
        <v>181.86</v>
      </c>
      <c r="Q16" s="17">
        <v>0</v>
      </c>
      <c r="R16" s="17">
        <v>88.03</v>
      </c>
      <c r="S16" s="17">
        <v>0.05</v>
      </c>
      <c r="T16" s="17">
        <v>1.09</v>
      </c>
      <c r="U16" s="140">
        <f t="shared" si="2"/>
        <v>271.03</v>
      </c>
      <c r="V16" s="16">
        <v>1.82</v>
      </c>
      <c r="W16" s="140">
        <f t="shared" si="3"/>
        <v>1064.05</v>
      </c>
      <c r="X16" s="126">
        <v>255.5</v>
      </c>
      <c r="Y16" s="137">
        <v>4.2</v>
      </c>
    </row>
    <row r="17" spans="2:25" ht="12.75">
      <c r="B17" s="70" t="s">
        <v>45</v>
      </c>
      <c r="C17" s="45" t="s">
        <v>57</v>
      </c>
      <c r="D17" s="45" t="s">
        <v>57</v>
      </c>
      <c r="E17" s="67">
        <v>2011</v>
      </c>
      <c r="F17" s="17">
        <v>233.13</v>
      </c>
      <c r="G17" s="17">
        <v>50.15</v>
      </c>
      <c r="H17" s="17">
        <v>0</v>
      </c>
      <c r="I17" s="17">
        <v>6.12</v>
      </c>
      <c r="J17" s="17">
        <v>0.06</v>
      </c>
      <c r="K17" s="140">
        <f t="shared" si="0"/>
        <v>289.46</v>
      </c>
      <c r="L17" s="17">
        <v>175.53</v>
      </c>
      <c r="M17" s="17">
        <v>186.88</v>
      </c>
      <c r="N17" s="17">
        <v>6.48</v>
      </c>
      <c r="O17" s="140">
        <f t="shared" si="1"/>
        <v>368.89</v>
      </c>
      <c r="P17" s="17">
        <v>101.59</v>
      </c>
      <c r="Q17" s="17">
        <v>0</v>
      </c>
      <c r="R17" s="17">
        <v>52.58</v>
      </c>
      <c r="S17" s="17">
        <v>0.25</v>
      </c>
      <c r="T17" s="17">
        <v>0.66</v>
      </c>
      <c r="U17" s="140">
        <f t="shared" si="2"/>
        <v>155.08</v>
      </c>
      <c r="V17" s="16">
        <v>0.48</v>
      </c>
      <c r="W17" s="140">
        <f t="shared" si="3"/>
        <v>813.43</v>
      </c>
      <c r="X17" s="126">
        <v>247.2</v>
      </c>
      <c r="Y17" s="137">
        <v>3.3</v>
      </c>
    </row>
    <row r="18" spans="2:25" ht="12.75">
      <c r="B18" s="70" t="s">
        <v>45</v>
      </c>
      <c r="C18" s="45" t="s">
        <v>58</v>
      </c>
      <c r="D18" s="45" t="s">
        <v>58</v>
      </c>
      <c r="E18" s="67">
        <v>2011</v>
      </c>
      <c r="F18" s="17">
        <v>362.61</v>
      </c>
      <c r="G18" s="17">
        <v>111.25</v>
      </c>
      <c r="H18" s="17">
        <v>0.53</v>
      </c>
      <c r="I18" s="17">
        <v>10.95</v>
      </c>
      <c r="J18" s="17">
        <v>0.05</v>
      </c>
      <c r="K18" s="140">
        <f t="shared" si="0"/>
        <v>485.39</v>
      </c>
      <c r="L18" s="17">
        <v>144.08</v>
      </c>
      <c r="M18" s="17">
        <v>168.84</v>
      </c>
      <c r="N18" s="17">
        <v>5.34</v>
      </c>
      <c r="O18" s="140">
        <f t="shared" si="1"/>
        <v>318.26</v>
      </c>
      <c r="P18" s="17">
        <v>117.75</v>
      </c>
      <c r="Q18" s="17">
        <v>0</v>
      </c>
      <c r="R18" s="17">
        <v>40.23</v>
      </c>
      <c r="S18" s="17">
        <v>1.93</v>
      </c>
      <c r="T18" s="17">
        <v>0.69</v>
      </c>
      <c r="U18" s="140">
        <f t="shared" si="2"/>
        <v>160.6</v>
      </c>
      <c r="V18" s="16">
        <v>0.38</v>
      </c>
      <c r="W18" s="140">
        <f t="shared" si="3"/>
        <v>964.25</v>
      </c>
      <c r="X18" s="126">
        <v>182.4</v>
      </c>
      <c r="Y18" s="137">
        <v>5.3</v>
      </c>
    </row>
    <row r="19" spans="2:25" ht="12.75">
      <c r="B19" s="70" t="s">
        <v>45</v>
      </c>
      <c r="C19" s="45" t="s">
        <v>59</v>
      </c>
      <c r="D19" s="45" t="s">
        <v>59</v>
      </c>
      <c r="E19" s="67">
        <v>2011</v>
      </c>
      <c r="F19" s="17">
        <v>195.59</v>
      </c>
      <c r="G19" s="17">
        <v>60.2</v>
      </c>
      <c r="H19" s="17">
        <v>0</v>
      </c>
      <c r="I19" s="17">
        <v>8.62</v>
      </c>
      <c r="J19" s="17">
        <v>0.07</v>
      </c>
      <c r="K19" s="140">
        <f t="shared" si="0"/>
        <v>264.48</v>
      </c>
      <c r="L19" s="17">
        <v>191.46</v>
      </c>
      <c r="M19" s="17">
        <v>242.18</v>
      </c>
      <c r="N19" s="17">
        <v>7.38</v>
      </c>
      <c r="O19" s="140">
        <f t="shared" si="1"/>
        <v>441.02</v>
      </c>
      <c r="P19" s="17">
        <v>90.84</v>
      </c>
      <c r="Q19" s="17">
        <v>0</v>
      </c>
      <c r="R19" s="17">
        <v>72.34</v>
      </c>
      <c r="S19" s="17">
        <v>1.28</v>
      </c>
      <c r="T19" s="17">
        <v>1.08</v>
      </c>
      <c r="U19" s="140">
        <f t="shared" si="2"/>
        <v>165.54000000000002</v>
      </c>
      <c r="V19" s="16">
        <v>0.78</v>
      </c>
      <c r="W19" s="140">
        <f t="shared" si="3"/>
        <v>871.04</v>
      </c>
      <c r="X19" s="126">
        <v>255.5</v>
      </c>
      <c r="Y19" s="137">
        <v>3.4</v>
      </c>
    </row>
    <row r="20" spans="2:25" ht="12.75">
      <c r="B20" s="70" t="s">
        <v>45</v>
      </c>
      <c r="C20" s="45" t="s">
        <v>60</v>
      </c>
      <c r="D20" s="45" t="s">
        <v>60</v>
      </c>
      <c r="E20" s="67">
        <v>2011</v>
      </c>
      <c r="F20" s="17">
        <v>126.37</v>
      </c>
      <c r="G20" s="17">
        <v>85.99</v>
      </c>
      <c r="H20" s="17">
        <v>0.01</v>
      </c>
      <c r="I20" s="17">
        <v>7.78</v>
      </c>
      <c r="J20" s="17">
        <v>0.27</v>
      </c>
      <c r="K20" s="140">
        <f t="shared" si="0"/>
        <v>220.42000000000002</v>
      </c>
      <c r="L20" s="17">
        <v>182.15</v>
      </c>
      <c r="M20" s="17">
        <v>262.64</v>
      </c>
      <c r="N20" s="17">
        <v>6.89</v>
      </c>
      <c r="O20" s="140">
        <f t="shared" si="1"/>
        <v>451.67999999999995</v>
      </c>
      <c r="P20" s="17">
        <v>69.25</v>
      </c>
      <c r="Q20" s="17">
        <v>7.36</v>
      </c>
      <c r="R20" s="17">
        <v>62.44</v>
      </c>
      <c r="S20" s="17">
        <v>0.91</v>
      </c>
      <c r="T20" s="17">
        <v>0.99</v>
      </c>
      <c r="U20" s="140">
        <f t="shared" si="2"/>
        <v>140.95000000000002</v>
      </c>
      <c r="V20" s="16">
        <v>0.19</v>
      </c>
      <c r="W20" s="140">
        <f t="shared" si="3"/>
        <v>813.05</v>
      </c>
      <c r="X20" s="126">
        <v>240.5</v>
      </c>
      <c r="Y20" s="137">
        <v>3.4</v>
      </c>
    </row>
    <row r="21" spans="2:25" ht="12.75">
      <c r="B21" s="70" t="s">
        <v>45</v>
      </c>
      <c r="C21" s="45" t="s">
        <v>61</v>
      </c>
      <c r="D21" s="45" t="s">
        <v>61</v>
      </c>
      <c r="E21" s="67">
        <v>2011</v>
      </c>
      <c r="F21" s="17">
        <v>198.23</v>
      </c>
      <c r="G21" s="17">
        <v>39.8</v>
      </c>
      <c r="H21" s="17">
        <v>0.06</v>
      </c>
      <c r="I21" s="17">
        <v>16.86</v>
      </c>
      <c r="J21" s="17">
        <v>1</v>
      </c>
      <c r="K21" s="140">
        <f t="shared" si="0"/>
        <v>255.95</v>
      </c>
      <c r="L21" s="17">
        <v>210.37</v>
      </c>
      <c r="M21" s="17">
        <v>253.83</v>
      </c>
      <c r="N21" s="17">
        <v>7.64</v>
      </c>
      <c r="O21" s="140">
        <f t="shared" si="1"/>
        <v>471.84000000000003</v>
      </c>
      <c r="P21" s="17">
        <v>152.86</v>
      </c>
      <c r="Q21" s="17">
        <v>153.06</v>
      </c>
      <c r="R21" s="17">
        <v>95.3</v>
      </c>
      <c r="S21" s="17">
        <v>0.67</v>
      </c>
      <c r="T21" s="17">
        <v>1.09</v>
      </c>
      <c r="U21" s="140">
        <f t="shared" si="2"/>
        <v>402.98</v>
      </c>
      <c r="V21" s="16">
        <v>1.28</v>
      </c>
      <c r="W21" s="140">
        <f t="shared" si="3"/>
        <v>1130.77</v>
      </c>
      <c r="X21" s="126">
        <v>237.9</v>
      </c>
      <c r="Y21" s="137">
        <v>4.8</v>
      </c>
    </row>
    <row r="22" spans="2:25" ht="12.75">
      <c r="B22" s="70" t="s">
        <v>45</v>
      </c>
      <c r="C22" s="45" t="s">
        <v>62</v>
      </c>
      <c r="D22" s="45" t="s">
        <v>62</v>
      </c>
      <c r="E22" s="67">
        <v>2011</v>
      </c>
      <c r="F22" s="17">
        <v>519.68</v>
      </c>
      <c r="G22" s="17">
        <v>177.68</v>
      </c>
      <c r="H22" s="17">
        <v>9.21</v>
      </c>
      <c r="I22" s="17">
        <v>34.45</v>
      </c>
      <c r="J22" s="17">
        <v>1.15</v>
      </c>
      <c r="K22" s="140">
        <f t="shared" si="0"/>
        <v>742.17</v>
      </c>
      <c r="L22" s="17">
        <v>218.87</v>
      </c>
      <c r="M22" s="17">
        <v>267.16</v>
      </c>
      <c r="N22" s="17">
        <v>9.21</v>
      </c>
      <c r="O22" s="140">
        <f t="shared" si="1"/>
        <v>495.24</v>
      </c>
      <c r="P22" s="17">
        <v>186.93</v>
      </c>
      <c r="Q22" s="17">
        <v>112.6</v>
      </c>
      <c r="R22" s="17">
        <v>184.36</v>
      </c>
      <c r="S22" s="17">
        <v>8.55</v>
      </c>
      <c r="T22" s="17">
        <v>68.76</v>
      </c>
      <c r="U22" s="140">
        <f t="shared" si="2"/>
        <v>561.2</v>
      </c>
      <c r="V22" s="16">
        <v>0.84</v>
      </c>
      <c r="W22" s="140">
        <f t="shared" si="3"/>
        <v>1798.61</v>
      </c>
      <c r="X22" s="126">
        <v>275.5</v>
      </c>
      <c r="Y22" s="137">
        <v>6.5</v>
      </c>
    </row>
    <row r="23" spans="2:25" ht="12.75">
      <c r="B23" s="70" t="s">
        <v>45</v>
      </c>
      <c r="C23" s="45" t="s">
        <v>63</v>
      </c>
      <c r="D23" s="45" t="s">
        <v>63</v>
      </c>
      <c r="E23" s="67">
        <v>2011</v>
      </c>
      <c r="F23" s="17">
        <v>492.66</v>
      </c>
      <c r="G23" s="17">
        <v>116.73</v>
      </c>
      <c r="H23" s="17">
        <v>12.16</v>
      </c>
      <c r="I23" s="17">
        <v>15.28</v>
      </c>
      <c r="J23" s="17">
        <v>0.33</v>
      </c>
      <c r="K23" s="140">
        <f t="shared" si="0"/>
        <v>637.16</v>
      </c>
      <c r="L23" s="17">
        <v>195.49</v>
      </c>
      <c r="M23" s="17">
        <v>217.86</v>
      </c>
      <c r="N23" s="17">
        <v>7.82</v>
      </c>
      <c r="O23" s="140">
        <f t="shared" si="1"/>
        <v>421.17</v>
      </c>
      <c r="P23" s="17">
        <v>174.98</v>
      </c>
      <c r="Q23" s="17">
        <v>74.01</v>
      </c>
      <c r="R23" s="17">
        <v>103.84</v>
      </c>
      <c r="S23" s="17">
        <v>0.67</v>
      </c>
      <c r="T23" s="17">
        <v>1.26</v>
      </c>
      <c r="U23" s="140">
        <f t="shared" si="2"/>
        <v>354.76000000000005</v>
      </c>
      <c r="V23" s="16">
        <v>1.15</v>
      </c>
      <c r="W23" s="140">
        <f t="shared" si="3"/>
        <v>1413.09</v>
      </c>
      <c r="X23" s="126">
        <v>254.9</v>
      </c>
      <c r="Y23" s="137">
        <v>5.5</v>
      </c>
    </row>
    <row r="24" spans="2:25" ht="12.75">
      <c r="B24" s="70" t="s">
        <v>45</v>
      </c>
      <c r="C24" s="45" t="s">
        <v>64</v>
      </c>
      <c r="D24" s="45" t="s">
        <v>64</v>
      </c>
      <c r="E24" s="67">
        <v>2011</v>
      </c>
      <c r="F24" s="17">
        <v>444.48</v>
      </c>
      <c r="G24" s="17">
        <v>104.98</v>
      </c>
      <c r="H24" s="17">
        <v>0</v>
      </c>
      <c r="I24" s="17">
        <v>8.16</v>
      </c>
      <c r="J24" s="17">
        <v>0.01</v>
      </c>
      <c r="K24" s="140">
        <f t="shared" si="0"/>
        <v>557.63</v>
      </c>
      <c r="L24" s="17">
        <v>160.18</v>
      </c>
      <c r="M24" s="17">
        <v>174.33</v>
      </c>
      <c r="N24" s="17">
        <v>6.32</v>
      </c>
      <c r="O24" s="140">
        <f t="shared" si="1"/>
        <v>340.83</v>
      </c>
      <c r="P24" s="17">
        <v>77.17</v>
      </c>
      <c r="Q24" s="17">
        <v>0</v>
      </c>
      <c r="R24" s="17">
        <v>47.3</v>
      </c>
      <c r="S24" s="17">
        <v>0.61</v>
      </c>
      <c r="T24" s="17">
        <v>0.58</v>
      </c>
      <c r="U24" s="140">
        <f t="shared" si="2"/>
        <v>125.66</v>
      </c>
      <c r="V24" s="16">
        <v>0.38</v>
      </c>
      <c r="W24" s="140">
        <f t="shared" si="3"/>
        <v>1024.1200000000001</v>
      </c>
      <c r="X24" s="126">
        <v>206.3</v>
      </c>
      <c r="Y24" s="137">
        <v>5</v>
      </c>
    </row>
    <row r="25" spans="2:25" ht="12.75">
      <c r="B25" s="70" t="s">
        <v>45</v>
      </c>
      <c r="C25" s="45" t="s">
        <v>65</v>
      </c>
      <c r="D25" s="45" t="s">
        <v>65</v>
      </c>
      <c r="E25" s="67">
        <v>2011</v>
      </c>
      <c r="F25" s="17">
        <v>629.46</v>
      </c>
      <c r="G25" s="17">
        <v>164.76</v>
      </c>
      <c r="H25" s="17">
        <v>0.37</v>
      </c>
      <c r="I25" s="17">
        <v>2.73</v>
      </c>
      <c r="J25" s="17">
        <v>0.02</v>
      </c>
      <c r="K25" s="140">
        <f t="shared" si="0"/>
        <v>797.34</v>
      </c>
      <c r="L25" s="17">
        <v>190.23</v>
      </c>
      <c r="M25" s="17">
        <v>169.48</v>
      </c>
      <c r="N25" s="17">
        <v>5.15</v>
      </c>
      <c r="O25" s="140">
        <f t="shared" si="1"/>
        <v>364.85999999999996</v>
      </c>
      <c r="P25" s="17">
        <v>104.68</v>
      </c>
      <c r="Q25" s="17">
        <v>0</v>
      </c>
      <c r="R25" s="17">
        <v>49.58</v>
      </c>
      <c r="S25" s="17">
        <v>1.27</v>
      </c>
      <c r="T25" s="17">
        <v>0.88</v>
      </c>
      <c r="U25" s="140">
        <f t="shared" si="2"/>
        <v>156.41</v>
      </c>
      <c r="V25" s="16">
        <v>0.32</v>
      </c>
      <c r="W25" s="140">
        <f t="shared" si="3"/>
        <v>1318.6100000000001</v>
      </c>
      <c r="X25" s="126">
        <v>158.3</v>
      </c>
      <c r="Y25" s="137">
        <v>8.3</v>
      </c>
    </row>
    <row r="26" spans="2:25" ht="12.75">
      <c r="B26" s="70" t="s">
        <v>45</v>
      </c>
      <c r="C26" s="45" t="s">
        <v>66</v>
      </c>
      <c r="D26" s="45" t="s">
        <v>66</v>
      </c>
      <c r="E26" s="67">
        <v>2011</v>
      </c>
      <c r="F26" s="17">
        <v>160.44</v>
      </c>
      <c r="G26" s="17">
        <v>44.72</v>
      </c>
      <c r="H26" s="17">
        <v>0</v>
      </c>
      <c r="I26" s="17">
        <v>5.12</v>
      </c>
      <c r="J26" s="17">
        <v>0.3</v>
      </c>
      <c r="K26" s="140">
        <f t="shared" si="0"/>
        <v>210.58</v>
      </c>
      <c r="L26" s="17">
        <v>138.37</v>
      </c>
      <c r="M26" s="17">
        <v>166.15</v>
      </c>
      <c r="N26" s="17">
        <v>4.74</v>
      </c>
      <c r="O26" s="140">
        <f t="shared" si="1"/>
        <v>309.26</v>
      </c>
      <c r="P26" s="17">
        <v>127.77</v>
      </c>
      <c r="Q26" s="17">
        <v>0</v>
      </c>
      <c r="R26" s="17">
        <v>78.97</v>
      </c>
      <c r="S26" s="17">
        <v>0.62</v>
      </c>
      <c r="T26" s="17">
        <v>2.18</v>
      </c>
      <c r="U26" s="140">
        <f t="shared" si="2"/>
        <v>209.54000000000002</v>
      </c>
      <c r="V26" s="16">
        <v>0.82</v>
      </c>
      <c r="W26" s="140">
        <f t="shared" si="3"/>
        <v>729.3800000000001</v>
      </c>
      <c r="X26" s="126">
        <v>160.4</v>
      </c>
      <c r="Y26" s="137">
        <v>4.6</v>
      </c>
    </row>
    <row r="27" spans="2:25" ht="12.75">
      <c r="B27" s="70" t="s">
        <v>45</v>
      </c>
      <c r="C27" s="45" t="s">
        <v>67</v>
      </c>
      <c r="D27" s="45" t="s">
        <v>67</v>
      </c>
      <c r="E27" s="67">
        <v>2011</v>
      </c>
      <c r="F27" s="17">
        <v>336.43</v>
      </c>
      <c r="G27" s="17">
        <v>149.01</v>
      </c>
      <c r="H27" s="17">
        <v>0.1</v>
      </c>
      <c r="I27" s="17">
        <v>3.91</v>
      </c>
      <c r="J27" s="17">
        <v>0.04</v>
      </c>
      <c r="K27" s="140">
        <f t="shared" si="0"/>
        <v>489.49000000000007</v>
      </c>
      <c r="L27" s="17">
        <v>225.46</v>
      </c>
      <c r="M27" s="17">
        <v>265.35</v>
      </c>
      <c r="N27" s="17">
        <v>7.8</v>
      </c>
      <c r="O27" s="140">
        <f t="shared" si="1"/>
        <v>498.61000000000007</v>
      </c>
      <c r="P27" s="17">
        <v>134.12</v>
      </c>
      <c r="Q27" s="17">
        <v>0</v>
      </c>
      <c r="R27" s="17">
        <v>94.94</v>
      </c>
      <c r="S27" s="17">
        <v>0.61</v>
      </c>
      <c r="T27" s="17">
        <v>1.58</v>
      </c>
      <c r="U27" s="140">
        <f t="shared" si="2"/>
        <v>231.25000000000003</v>
      </c>
      <c r="V27" s="16">
        <v>0.59</v>
      </c>
      <c r="W27" s="140">
        <f t="shared" si="3"/>
        <v>1219.3500000000001</v>
      </c>
      <c r="X27" s="126">
        <v>304.5</v>
      </c>
      <c r="Y27" s="137">
        <v>4</v>
      </c>
    </row>
    <row r="28" spans="2:25" ht="12.75">
      <c r="B28" s="70" t="s">
        <v>45</v>
      </c>
      <c r="C28" s="45" t="s">
        <v>68</v>
      </c>
      <c r="D28" s="45" t="s">
        <v>68</v>
      </c>
      <c r="E28" s="67">
        <v>2011</v>
      </c>
      <c r="F28" s="17">
        <v>165.56</v>
      </c>
      <c r="G28" s="17">
        <v>57.62</v>
      </c>
      <c r="H28" s="17">
        <v>0</v>
      </c>
      <c r="I28" s="17">
        <v>5.18</v>
      </c>
      <c r="J28" s="17">
        <v>0.1</v>
      </c>
      <c r="K28" s="140">
        <f t="shared" si="0"/>
        <v>228.46</v>
      </c>
      <c r="L28" s="17">
        <v>212.58</v>
      </c>
      <c r="M28" s="17">
        <v>251.24</v>
      </c>
      <c r="N28" s="17">
        <v>8.07</v>
      </c>
      <c r="O28" s="140">
        <f t="shared" si="1"/>
        <v>471.89000000000004</v>
      </c>
      <c r="P28" s="17">
        <v>109.06</v>
      </c>
      <c r="Q28" s="17">
        <v>0</v>
      </c>
      <c r="R28" s="17">
        <v>119.58</v>
      </c>
      <c r="S28" s="17">
        <v>0.7</v>
      </c>
      <c r="T28" s="17">
        <v>1</v>
      </c>
      <c r="U28" s="140">
        <f t="shared" si="2"/>
        <v>230.33999999999997</v>
      </c>
      <c r="V28" s="16">
        <v>0.98</v>
      </c>
      <c r="W28" s="140">
        <f t="shared" si="3"/>
        <v>930.69</v>
      </c>
      <c r="X28" s="126">
        <v>276.9</v>
      </c>
      <c r="Y28" s="137">
        <v>3.4</v>
      </c>
    </row>
    <row r="29" spans="2:25" ht="12.75">
      <c r="B29" s="70" t="s">
        <v>45</v>
      </c>
      <c r="C29" s="45" t="s">
        <v>69</v>
      </c>
      <c r="D29" s="45" t="s">
        <v>69</v>
      </c>
      <c r="E29" s="67">
        <v>2011</v>
      </c>
      <c r="F29" s="17">
        <v>232.01</v>
      </c>
      <c r="G29" s="17">
        <v>60.14</v>
      </c>
      <c r="H29" s="17">
        <v>0</v>
      </c>
      <c r="I29" s="17">
        <v>10.99</v>
      </c>
      <c r="J29" s="17">
        <v>0.21</v>
      </c>
      <c r="K29" s="140">
        <f t="shared" si="0"/>
        <v>303.34999999999997</v>
      </c>
      <c r="L29" s="17">
        <v>161.75</v>
      </c>
      <c r="M29" s="17">
        <v>199.71</v>
      </c>
      <c r="N29" s="17">
        <v>7.17</v>
      </c>
      <c r="O29" s="140">
        <f t="shared" si="1"/>
        <v>368.63000000000005</v>
      </c>
      <c r="P29" s="17">
        <v>76.64</v>
      </c>
      <c r="Q29" s="17">
        <v>0</v>
      </c>
      <c r="R29" s="17">
        <v>67.03</v>
      </c>
      <c r="S29" s="17">
        <v>0.58</v>
      </c>
      <c r="T29" s="17">
        <v>0.86</v>
      </c>
      <c r="U29" s="140">
        <f t="shared" si="2"/>
        <v>145.11000000000004</v>
      </c>
      <c r="V29" s="16">
        <v>0.86</v>
      </c>
      <c r="W29" s="140">
        <f t="shared" si="3"/>
        <v>817.09</v>
      </c>
      <c r="X29" s="126">
        <v>200.5</v>
      </c>
      <c r="Y29" s="137">
        <v>4.1</v>
      </c>
    </row>
    <row r="30" spans="2:25" ht="12.75">
      <c r="B30" s="70" t="s">
        <v>45</v>
      </c>
      <c r="C30" s="45" t="s">
        <v>70</v>
      </c>
      <c r="D30" s="45" t="s">
        <v>70</v>
      </c>
      <c r="E30" s="67">
        <v>2011</v>
      </c>
      <c r="F30" s="17">
        <v>481.82</v>
      </c>
      <c r="G30" s="17">
        <v>246.49</v>
      </c>
      <c r="H30" s="17">
        <v>0.91</v>
      </c>
      <c r="I30" s="17">
        <v>14.89</v>
      </c>
      <c r="J30" s="17">
        <v>0.06</v>
      </c>
      <c r="K30" s="140">
        <f t="shared" si="0"/>
        <v>744.1699999999998</v>
      </c>
      <c r="L30" s="17">
        <v>191.13</v>
      </c>
      <c r="M30" s="17">
        <v>208.67</v>
      </c>
      <c r="N30" s="17">
        <v>8.24</v>
      </c>
      <c r="O30" s="140">
        <f t="shared" si="1"/>
        <v>408.03999999999996</v>
      </c>
      <c r="P30" s="17">
        <v>194.39</v>
      </c>
      <c r="Q30" s="17">
        <v>0</v>
      </c>
      <c r="R30" s="17">
        <v>66.68</v>
      </c>
      <c r="S30" s="17">
        <v>0.84</v>
      </c>
      <c r="T30" s="17">
        <v>13.84</v>
      </c>
      <c r="U30" s="140">
        <f t="shared" si="2"/>
        <v>275.74999999999994</v>
      </c>
      <c r="V30" s="16">
        <v>0.54</v>
      </c>
      <c r="W30" s="140">
        <f t="shared" si="3"/>
        <v>1427.9599999999998</v>
      </c>
      <c r="X30" s="126">
        <v>310.5</v>
      </c>
      <c r="Y30" s="137">
        <v>4.6</v>
      </c>
    </row>
    <row r="31" spans="2:25" ht="12.75">
      <c r="B31" s="70" t="s">
        <v>45</v>
      </c>
      <c r="C31" s="45" t="s">
        <v>71</v>
      </c>
      <c r="D31" s="45" t="s">
        <v>71</v>
      </c>
      <c r="E31" s="67">
        <v>2011</v>
      </c>
      <c r="F31" s="17">
        <v>139</v>
      </c>
      <c r="G31" s="17">
        <v>43.27</v>
      </c>
      <c r="H31" s="17">
        <v>0.04</v>
      </c>
      <c r="I31" s="17">
        <v>10.73</v>
      </c>
      <c r="J31" s="17">
        <v>0.31</v>
      </c>
      <c r="K31" s="140">
        <f t="shared" si="0"/>
        <v>193.35</v>
      </c>
      <c r="L31" s="17">
        <v>209.38</v>
      </c>
      <c r="M31" s="17">
        <v>269.89</v>
      </c>
      <c r="N31" s="17">
        <v>8</v>
      </c>
      <c r="O31" s="140">
        <f t="shared" si="1"/>
        <v>487.27</v>
      </c>
      <c r="P31" s="17">
        <v>195.97</v>
      </c>
      <c r="Q31" s="17">
        <v>21.91</v>
      </c>
      <c r="R31" s="17">
        <v>51.62</v>
      </c>
      <c r="S31" s="17">
        <v>0.18</v>
      </c>
      <c r="T31" s="17">
        <v>1.25</v>
      </c>
      <c r="U31" s="140">
        <f t="shared" si="2"/>
        <v>270.93</v>
      </c>
      <c r="V31" s="16">
        <v>0.75</v>
      </c>
      <c r="W31" s="140">
        <f t="shared" si="3"/>
        <v>951.55</v>
      </c>
      <c r="X31" s="126">
        <v>281.4</v>
      </c>
      <c r="Y31" s="137">
        <v>3.4</v>
      </c>
    </row>
    <row r="32" spans="2:25" ht="12.75">
      <c r="B32" s="70" t="s">
        <v>45</v>
      </c>
      <c r="C32" s="45" t="s">
        <v>72</v>
      </c>
      <c r="D32" s="45" t="s">
        <v>73</v>
      </c>
      <c r="E32" s="67">
        <v>2011</v>
      </c>
      <c r="F32" s="17">
        <v>171.11</v>
      </c>
      <c r="G32" s="17">
        <v>62.98</v>
      </c>
      <c r="H32" s="17">
        <v>0.16</v>
      </c>
      <c r="I32" s="17">
        <v>8.26</v>
      </c>
      <c r="J32" s="17">
        <v>0.3</v>
      </c>
      <c r="K32" s="140">
        <f t="shared" si="0"/>
        <v>242.81</v>
      </c>
      <c r="L32" s="17">
        <v>175.08</v>
      </c>
      <c r="M32" s="17">
        <v>224.12</v>
      </c>
      <c r="N32" s="17">
        <v>6.04</v>
      </c>
      <c r="O32" s="140">
        <f t="shared" si="1"/>
        <v>405.24000000000007</v>
      </c>
      <c r="P32" s="17">
        <v>106.79</v>
      </c>
      <c r="Q32" s="17">
        <v>0</v>
      </c>
      <c r="R32" s="17">
        <v>78.18</v>
      </c>
      <c r="S32" s="17">
        <v>0.04</v>
      </c>
      <c r="T32" s="17">
        <v>6.27</v>
      </c>
      <c r="U32" s="140">
        <f t="shared" si="2"/>
        <v>191.28000000000003</v>
      </c>
      <c r="V32" s="16">
        <v>1.17</v>
      </c>
      <c r="W32" s="140">
        <f t="shared" si="3"/>
        <v>839.3300000000002</v>
      </c>
      <c r="X32" s="126">
        <v>187.5</v>
      </c>
      <c r="Y32" s="137">
        <v>4.5</v>
      </c>
    </row>
    <row r="33" spans="2:25" ht="12.75">
      <c r="B33" s="70" t="s">
        <v>45</v>
      </c>
      <c r="C33" s="45" t="s">
        <v>74</v>
      </c>
      <c r="D33" s="45" t="s">
        <v>74</v>
      </c>
      <c r="E33" s="67">
        <v>2011</v>
      </c>
      <c r="F33" s="17">
        <v>559.47</v>
      </c>
      <c r="G33" s="17">
        <v>165.24</v>
      </c>
      <c r="H33" s="17">
        <v>0.28</v>
      </c>
      <c r="I33" s="17">
        <v>6.65</v>
      </c>
      <c r="J33" s="17">
        <v>0.11</v>
      </c>
      <c r="K33" s="140">
        <f t="shared" si="0"/>
        <v>731.75</v>
      </c>
      <c r="L33" s="17">
        <v>228.76</v>
      </c>
      <c r="M33" s="17">
        <v>199.22</v>
      </c>
      <c r="N33" s="17">
        <v>8.41</v>
      </c>
      <c r="O33" s="140">
        <f t="shared" si="1"/>
        <v>436.39000000000004</v>
      </c>
      <c r="P33" s="17">
        <v>125.49</v>
      </c>
      <c r="Q33" s="17">
        <v>0</v>
      </c>
      <c r="R33" s="17">
        <v>102.79</v>
      </c>
      <c r="S33" s="17">
        <v>0.48</v>
      </c>
      <c r="T33" s="17">
        <v>1.1</v>
      </c>
      <c r="U33" s="140">
        <f t="shared" si="2"/>
        <v>229.85999999999999</v>
      </c>
      <c r="V33" s="16">
        <v>0.73</v>
      </c>
      <c r="W33" s="140">
        <f t="shared" si="3"/>
        <v>1398</v>
      </c>
      <c r="X33" s="126">
        <v>288.7</v>
      </c>
      <c r="Y33" s="137">
        <v>4.8</v>
      </c>
    </row>
    <row r="34" spans="2:25" ht="12.75">
      <c r="B34" s="70" t="s">
        <v>45</v>
      </c>
      <c r="C34" s="45" t="s">
        <v>75</v>
      </c>
      <c r="D34" s="45" t="s">
        <v>75</v>
      </c>
      <c r="E34" s="67">
        <v>2011</v>
      </c>
      <c r="F34" s="17">
        <v>171.31</v>
      </c>
      <c r="G34" s="17">
        <v>45.21</v>
      </c>
      <c r="H34" s="17">
        <v>0.15</v>
      </c>
      <c r="I34" s="17">
        <v>12.68</v>
      </c>
      <c r="J34" s="17">
        <v>0.26</v>
      </c>
      <c r="K34" s="140">
        <f t="shared" si="0"/>
        <v>229.61</v>
      </c>
      <c r="L34" s="17">
        <v>171.53</v>
      </c>
      <c r="M34" s="17">
        <v>194.29</v>
      </c>
      <c r="N34" s="17">
        <v>5.97</v>
      </c>
      <c r="O34" s="140">
        <f t="shared" si="1"/>
        <v>371.79</v>
      </c>
      <c r="P34" s="17">
        <v>53.13</v>
      </c>
      <c r="Q34" s="17">
        <v>0</v>
      </c>
      <c r="R34" s="17">
        <v>92.44</v>
      </c>
      <c r="S34" s="17">
        <v>0.02</v>
      </c>
      <c r="T34" s="17">
        <v>0.84</v>
      </c>
      <c r="U34" s="140">
        <f t="shared" si="2"/>
        <v>146.43</v>
      </c>
      <c r="V34" s="16">
        <v>1.13</v>
      </c>
      <c r="W34" s="140">
        <f t="shared" si="3"/>
        <v>747.8300000000002</v>
      </c>
      <c r="X34" s="126">
        <v>191.1</v>
      </c>
      <c r="Y34" s="137">
        <v>3.9</v>
      </c>
    </row>
    <row r="35" spans="2:25" ht="12.75">
      <c r="B35" s="70" t="s">
        <v>45</v>
      </c>
      <c r="C35" s="45" t="s">
        <v>76</v>
      </c>
      <c r="D35" s="45" t="s">
        <v>76</v>
      </c>
      <c r="E35" s="67">
        <v>2011</v>
      </c>
      <c r="F35" s="17">
        <v>1169.41</v>
      </c>
      <c r="G35" s="17">
        <v>134.07</v>
      </c>
      <c r="H35" s="17">
        <v>0.55</v>
      </c>
      <c r="I35" s="17">
        <v>7.62</v>
      </c>
      <c r="J35" s="17">
        <v>0.04</v>
      </c>
      <c r="K35" s="140">
        <f t="shared" si="0"/>
        <v>1311.6899999999998</v>
      </c>
      <c r="L35" s="17">
        <v>198.85</v>
      </c>
      <c r="M35" s="17">
        <v>136.09</v>
      </c>
      <c r="N35" s="17">
        <v>6.26</v>
      </c>
      <c r="O35" s="140">
        <f t="shared" si="1"/>
        <v>341.2</v>
      </c>
      <c r="P35" s="17">
        <v>170.16</v>
      </c>
      <c r="Q35" s="17">
        <v>0</v>
      </c>
      <c r="R35" s="17">
        <v>94.83</v>
      </c>
      <c r="S35" s="17">
        <v>0.27</v>
      </c>
      <c r="T35" s="17">
        <v>0.99</v>
      </c>
      <c r="U35" s="140">
        <f t="shared" si="2"/>
        <v>266.25</v>
      </c>
      <c r="V35" s="16">
        <v>0.55</v>
      </c>
      <c r="W35" s="140">
        <f t="shared" si="3"/>
        <v>1919.1399999999999</v>
      </c>
      <c r="X35" s="126">
        <v>256</v>
      </c>
      <c r="Y35" s="137">
        <v>7.5</v>
      </c>
    </row>
    <row r="36" spans="2:25" ht="12.75">
      <c r="B36" s="70" t="s">
        <v>45</v>
      </c>
      <c r="C36" s="45" t="s">
        <v>77</v>
      </c>
      <c r="D36" s="45" t="s">
        <v>77</v>
      </c>
      <c r="E36" s="67">
        <v>2011</v>
      </c>
      <c r="F36" s="17">
        <v>180.74</v>
      </c>
      <c r="G36" s="17">
        <v>53.38</v>
      </c>
      <c r="H36" s="17">
        <v>0</v>
      </c>
      <c r="I36" s="17">
        <v>12.87</v>
      </c>
      <c r="J36" s="17">
        <v>0.14</v>
      </c>
      <c r="K36" s="140">
        <f t="shared" si="0"/>
        <v>247.13</v>
      </c>
      <c r="L36" s="17">
        <v>182.96</v>
      </c>
      <c r="M36" s="17">
        <v>226.49</v>
      </c>
      <c r="N36" s="17">
        <v>7.88</v>
      </c>
      <c r="O36" s="140">
        <f t="shared" si="1"/>
        <v>417.33000000000004</v>
      </c>
      <c r="P36" s="17">
        <v>123.65</v>
      </c>
      <c r="Q36" s="17">
        <v>0</v>
      </c>
      <c r="R36" s="17">
        <v>40.65</v>
      </c>
      <c r="S36" s="17">
        <v>1.13</v>
      </c>
      <c r="T36" s="17">
        <v>0.66</v>
      </c>
      <c r="U36" s="140">
        <f t="shared" si="2"/>
        <v>166.09</v>
      </c>
      <c r="V36" s="16">
        <v>1.05</v>
      </c>
      <c r="W36" s="140">
        <f t="shared" si="3"/>
        <v>830.5500000000001</v>
      </c>
      <c r="X36" s="126">
        <v>259.7</v>
      </c>
      <c r="Y36" s="137">
        <v>3.2</v>
      </c>
    </row>
    <row r="37" spans="2:25" ht="12.75">
      <c r="B37" s="70" t="s">
        <v>45</v>
      </c>
      <c r="C37" s="45" t="s">
        <v>78</v>
      </c>
      <c r="D37" s="45" t="s">
        <v>78</v>
      </c>
      <c r="E37" s="67">
        <v>2011</v>
      </c>
      <c r="F37" s="17">
        <v>235.25</v>
      </c>
      <c r="G37" s="17">
        <v>115.1</v>
      </c>
      <c r="H37" s="17">
        <v>0.1</v>
      </c>
      <c r="I37" s="17">
        <v>6.74</v>
      </c>
      <c r="J37" s="17">
        <v>0.14</v>
      </c>
      <c r="K37" s="140">
        <f t="shared" si="0"/>
        <v>357.33000000000004</v>
      </c>
      <c r="L37" s="17">
        <v>251.71</v>
      </c>
      <c r="M37" s="17">
        <v>287.33</v>
      </c>
      <c r="N37" s="17">
        <v>8.8</v>
      </c>
      <c r="O37" s="140">
        <f t="shared" si="1"/>
        <v>547.8399999999999</v>
      </c>
      <c r="P37" s="17">
        <v>148.21</v>
      </c>
      <c r="Q37" s="17">
        <v>0</v>
      </c>
      <c r="R37" s="17">
        <v>76.73</v>
      </c>
      <c r="S37" s="17">
        <v>1.11</v>
      </c>
      <c r="T37" s="17">
        <v>0.98</v>
      </c>
      <c r="U37" s="140">
        <f t="shared" si="2"/>
        <v>227.03</v>
      </c>
      <c r="V37" s="16">
        <v>0.84</v>
      </c>
      <c r="W37" s="140">
        <f t="shared" si="3"/>
        <v>1132.2</v>
      </c>
      <c r="X37" s="126">
        <v>307.7</v>
      </c>
      <c r="Y37" s="137">
        <v>3.7</v>
      </c>
    </row>
    <row r="38" spans="2:25" ht="12.75">
      <c r="B38" s="70" t="s">
        <v>45</v>
      </c>
      <c r="C38" s="45" t="s">
        <v>79</v>
      </c>
      <c r="D38" s="45" t="s">
        <v>79</v>
      </c>
      <c r="E38" s="149">
        <v>2011</v>
      </c>
      <c r="F38" s="17">
        <v>1684.53</v>
      </c>
      <c r="G38" s="17">
        <v>484.49</v>
      </c>
      <c r="H38" s="17">
        <v>0.01</v>
      </c>
      <c r="I38" s="17">
        <v>14.59</v>
      </c>
      <c r="J38" s="17">
        <v>0.07</v>
      </c>
      <c r="K38" s="140">
        <f t="shared" si="0"/>
        <v>2183.6900000000005</v>
      </c>
      <c r="L38" s="17">
        <v>247.91</v>
      </c>
      <c r="M38" s="17">
        <v>187.51</v>
      </c>
      <c r="N38" s="17">
        <v>6.22</v>
      </c>
      <c r="O38" s="140">
        <f t="shared" si="1"/>
        <v>441.64</v>
      </c>
      <c r="P38" s="17">
        <v>201.46</v>
      </c>
      <c r="Q38" s="17">
        <v>0</v>
      </c>
      <c r="R38" s="17">
        <v>80.77</v>
      </c>
      <c r="S38" s="17">
        <v>2.12</v>
      </c>
      <c r="T38" s="17">
        <v>1.21</v>
      </c>
      <c r="U38" s="140">
        <f t="shared" si="2"/>
        <v>285.56</v>
      </c>
      <c r="V38" s="16">
        <v>0.54</v>
      </c>
      <c r="W38" s="145">
        <f t="shared" si="3"/>
        <v>2910.8900000000003</v>
      </c>
      <c r="X38" s="126">
        <v>219.6</v>
      </c>
      <c r="Y38" s="137">
        <v>13.3</v>
      </c>
    </row>
    <row r="39" spans="2:25" ht="12.75">
      <c r="B39" s="133" t="s">
        <v>80</v>
      </c>
      <c r="C39" s="134" t="s">
        <v>80</v>
      </c>
      <c r="D39" s="134" t="s">
        <v>80</v>
      </c>
      <c r="E39" s="147"/>
      <c r="F39" s="133">
        <v>13152.95</v>
      </c>
      <c r="G39" s="134">
        <v>3943.64</v>
      </c>
      <c r="H39" s="134">
        <v>92.65</v>
      </c>
      <c r="I39" s="134">
        <v>424.52</v>
      </c>
      <c r="J39" s="134">
        <v>9.28</v>
      </c>
      <c r="K39" s="141">
        <f t="shared" si="0"/>
        <v>17623.04</v>
      </c>
      <c r="L39" s="134">
        <v>6620.03</v>
      </c>
      <c r="M39" s="134">
        <v>7598.88</v>
      </c>
      <c r="N39" s="134">
        <v>241.67</v>
      </c>
      <c r="O39" s="141">
        <f t="shared" si="1"/>
        <v>14460.58</v>
      </c>
      <c r="P39" s="134">
        <v>4462.25</v>
      </c>
      <c r="Q39" s="134">
        <v>554.76</v>
      </c>
      <c r="R39" s="134">
        <v>2613.17</v>
      </c>
      <c r="S39" s="134">
        <v>62.74</v>
      </c>
      <c r="T39" s="134">
        <v>129.69</v>
      </c>
      <c r="U39" s="141">
        <f t="shared" si="2"/>
        <v>7822.61</v>
      </c>
      <c r="V39" s="141">
        <v>33.59</v>
      </c>
      <c r="W39" s="144">
        <f>SUM(W6:W38)</f>
        <v>39906.35</v>
      </c>
      <c r="X39" s="138">
        <v>8204.099999999999</v>
      </c>
      <c r="Y39" s="135">
        <v>4.9</v>
      </c>
    </row>
  </sheetData>
  <sheetProtection/>
  <mergeCells count="4">
    <mergeCell ref="X4:Y4"/>
    <mergeCell ref="F4:K4"/>
    <mergeCell ref="L4:O4"/>
    <mergeCell ref="P4:U4"/>
  </mergeCells>
  <printOptions/>
  <pageMargins left="0.75" right="0.75" top="1" bottom="1" header="0.5" footer="0.5"/>
  <pageSetup horizontalDpi="600" verticalDpi="600" orientation="portrait" paperSize="9" scale="36" r:id="rId3"/>
  <colBreaks count="1" manualBreakCount="1">
    <brk id="23" max="65535" man="1"/>
  </colBreaks>
  <ignoredErrors>
    <ignoredError sqref="K6:K38" formulaRange="1"/>
  </ignoredError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R298"/>
  <sheetViews>
    <sheetView view="pageBreakPreview" zoomScaleSheetLayoutView="100" zoomScalePageLayoutView="0" workbookViewId="0" topLeftCell="A1">
      <pane xSplit="2" topLeftCell="C1" activePane="topRight" state="frozen"/>
      <selection pane="topLeft" activeCell="A46" sqref="A46"/>
      <selection pane="topRight" activeCell="E8" sqref="E8"/>
    </sheetView>
  </sheetViews>
  <sheetFormatPr defaultColWidth="9.140625" defaultRowHeight="12.75"/>
  <cols>
    <col min="1" max="1" width="2.57421875" style="419" customWidth="1"/>
    <col min="2" max="2" width="21.421875" style="115" customWidth="1"/>
    <col min="3" max="9" width="12.7109375" style="115" customWidth="1"/>
    <col min="10" max="10" width="13.140625" style="115" customWidth="1"/>
    <col min="11" max="17" width="12.7109375" style="115" customWidth="1"/>
    <col min="18" max="18" width="15.140625" style="115" customWidth="1"/>
    <col min="19" max="19" width="14.7109375" style="115" customWidth="1"/>
    <col min="20" max="45" width="12.7109375" style="115" customWidth="1"/>
    <col min="46" max="16384" width="9.140625" style="115" customWidth="1"/>
  </cols>
  <sheetData>
    <row r="1" spans="1:36" s="330" customFormat="1" ht="12.75">
      <c r="A1" s="331"/>
      <c r="I1" s="331"/>
      <c r="O1" s="331"/>
      <c r="P1" s="331"/>
      <c r="Q1" s="331"/>
      <c r="R1" s="331"/>
      <c r="S1" s="332"/>
      <c r="T1" s="332"/>
      <c r="U1" s="332"/>
      <c r="V1" s="332"/>
      <c r="W1" s="332"/>
      <c r="X1" s="331"/>
      <c r="Y1" s="331"/>
      <c r="Z1" s="331"/>
      <c r="AA1" s="331"/>
      <c r="AB1" s="331"/>
      <c r="AC1" s="331"/>
      <c r="AD1" s="331"/>
      <c r="AE1" s="331"/>
      <c r="AF1" s="331"/>
      <c r="AG1" s="331"/>
      <c r="AH1" s="331"/>
      <c r="AI1" s="331"/>
      <c r="AJ1" s="331"/>
    </row>
    <row r="2" spans="1:36" s="330" customFormat="1" ht="24">
      <c r="A2" s="331"/>
      <c r="B2" s="365" t="s">
        <v>208</v>
      </c>
      <c r="C2" s="365" t="s">
        <v>382</v>
      </c>
      <c r="D2" s="115"/>
      <c r="I2" s="331"/>
      <c r="O2" s="331"/>
      <c r="P2" s="331"/>
      <c r="Q2" s="331"/>
      <c r="R2" s="331"/>
      <c r="S2" s="332"/>
      <c r="T2" s="332"/>
      <c r="U2" s="332"/>
      <c r="V2" s="332"/>
      <c r="W2" s="332"/>
      <c r="X2" s="331"/>
      <c r="Y2" s="331"/>
      <c r="Z2" s="331"/>
      <c r="AA2" s="331"/>
      <c r="AB2" s="331"/>
      <c r="AC2" s="331"/>
      <c r="AD2" s="331"/>
      <c r="AE2" s="331"/>
      <c r="AF2" s="331"/>
      <c r="AG2" s="331"/>
      <c r="AH2" s="331"/>
      <c r="AI2" s="331"/>
      <c r="AJ2" s="331"/>
    </row>
    <row r="3" spans="1:36" s="330" customFormat="1" ht="13.5" thickBot="1">
      <c r="A3" s="331"/>
      <c r="C3" s="411"/>
      <c r="D3" s="412"/>
      <c r="E3" s="412"/>
      <c r="F3" s="412"/>
      <c r="G3" s="412"/>
      <c r="H3" s="412"/>
      <c r="I3" s="412"/>
      <c r="J3" s="412"/>
      <c r="K3" s="412"/>
      <c r="L3" s="412"/>
      <c r="M3" s="412"/>
      <c r="N3" s="412"/>
      <c r="O3" s="412"/>
      <c r="P3" s="412"/>
      <c r="Q3" s="331"/>
      <c r="R3" s="331"/>
      <c r="S3" s="332"/>
      <c r="T3" s="332"/>
      <c r="U3" s="332"/>
      <c r="V3" s="332"/>
      <c r="W3" s="332"/>
      <c r="X3" s="331"/>
      <c r="Y3" s="331"/>
      <c r="Z3" s="331"/>
      <c r="AA3" s="331"/>
      <c r="AB3" s="331"/>
      <c r="AC3" s="331"/>
      <c r="AD3" s="331"/>
      <c r="AE3" s="331"/>
      <c r="AF3" s="331"/>
      <c r="AG3" s="331"/>
      <c r="AH3" s="331"/>
      <c r="AI3" s="331"/>
      <c r="AJ3" s="331"/>
    </row>
    <row r="4" spans="1:36" s="330" customFormat="1" ht="12.75">
      <c r="A4" s="331"/>
      <c r="B4" s="434" t="s">
        <v>111</v>
      </c>
      <c r="C4" s="360" t="s">
        <v>112</v>
      </c>
      <c r="D4" s="380" t="s">
        <v>113</v>
      </c>
      <c r="E4" s="728" t="s">
        <v>284</v>
      </c>
      <c r="F4" s="729"/>
      <c r="G4" s="729"/>
      <c r="H4" s="729"/>
      <c r="I4" s="730"/>
      <c r="J4" s="726" t="s">
        <v>3</v>
      </c>
      <c r="K4" s="702"/>
      <c r="L4" s="702"/>
      <c r="M4" s="702"/>
      <c r="N4" s="727"/>
      <c r="Q4" s="725"/>
      <c r="R4" s="725"/>
      <c r="S4" s="725"/>
      <c r="T4" s="725"/>
      <c r="U4" s="332"/>
      <c r="V4" s="332"/>
      <c r="W4" s="332"/>
      <c r="X4" s="331"/>
      <c r="Y4" s="331"/>
      <c r="Z4" s="331"/>
      <c r="AA4" s="331"/>
      <c r="AB4" s="331"/>
      <c r="AC4" s="331"/>
      <c r="AD4" s="331"/>
      <c r="AE4" s="331"/>
      <c r="AF4" s="331"/>
      <c r="AG4" s="331"/>
      <c r="AH4" s="331"/>
      <c r="AI4" s="331"/>
      <c r="AJ4" s="331"/>
    </row>
    <row r="5" spans="1:36" s="411" customFormat="1" ht="12.75" customHeight="1">
      <c r="A5" s="412"/>
      <c r="B5" s="435"/>
      <c r="C5" s="358"/>
      <c r="D5" s="357"/>
      <c r="E5" s="535" t="s">
        <v>344</v>
      </c>
      <c r="F5" s="699" t="s">
        <v>153</v>
      </c>
      <c r="G5" s="700"/>
      <c r="H5" s="473" t="s">
        <v>313</v>
      </c>
      <c r="I5" s="416" t="s">
        <v>298</v>
      </c>
      <c r="J5" s="535" t="s">
        <v>285</v>
      </c>
      <c r="K5" s="699" t="s">
        <v>153</v>
      </c>
      <c r="L5" s="700"/>
      <c r="M5" s="473" t="s">
        <v>313</v>
      </c>
      <c r="N5" s="416" t="s">
        <v>298</v>
      </c>
      <c r="Q5" s="414"/>
      <c r="R5" s="414"/>
      <c r="S5" s="415"/>
      <c r="T5" s="414"/>
      <c r="U5" s="413"/>
      <c r="V5" s="413"/>
      <c r="W5" s="413"/>
      <c r="X5" s="412"/>
      <c r="Y5" s="412"/>
      <c r="Z5" s="412"/>
      <c r="AA5" s="412"/>
      <c r="AB5" s="412"/>
      <c r="AC5" s="412"/>
      <c r="AD5" s="412"/>
      <c r="AE5" s="412"/>
      <c r="AF5" s="412"/>
      <c r="AG5" s="412"/>
      <c r="AH5" s="412"/>
      <c r="AI5" s="412"/>
      <c r="AJ5" s="412"/>
    </row>
    <row r="6" spans="1:36" s="411" customFormat="1" ht="13.5" thickBot="1">
      <c r="A6" s="412"/>
      <c r="B6" s="431"/>
      <c r="C6" s="355"/>
      <c r="D6" s="354"/>
      <c r="E6" s="536" t="s">
        <v>345</v>
      </c>
      <c r="F6" s="353" t="s">
        <v>348</v>
      </c>
      <c r="G6" s="353" t="s">
        <v>346</v>
      </c>
      <c r="H6" s="353" t="s">
        <v>349</v>
      </c>
      <c r="I6" s="351" t="s">
        <v>345</v>
      </c>
      <c r="J6" s="536"/>
      <c r="K6" s="353" t="s">
        <v>171</v>
      </c>
      <c r="L6" s="353" t="s">
        <v>33</v>
      </c>
      <c r="M6" s="386"/>
      <c r="N6" s="351"/>
      <c r="Q6" s="414"/>
      <c r="R6" s="414"/>
      <c r="S6" s="415"/>
      <c r="T6" s="414"/>
      <c r="U6" s="413"/>
      <c r="V6" s="413"/>
      <c r="W6" s="413"/>
      <c r="X6" s="412"/>
      <c r="Y6" s="412"/>
      <c r="Z6" s="412"/>
      <c r="AA6" s="412"/>
      <c r="AB6" s="412"/>
      <c r="AC6" s="412"/>
      <c r="AD6" s="412"/>
      <c r="AE6" s="412"/>
      <c r="AF6" s="412"/>
      <c r="AG6" s="412"/>
      <c r="AH6" s="412"/>
      <c r="AI6" s="412"/>
      <c r="AJ6" s="412"/>
    </row>
    <row r="7" spans="1:36" s="330" customFormat="1" ht="12.75">
      <c r="A7" s="331"/>
      <c r="B7" s="432" t="s">
        <v>46</v>
      </c>
      <c r="C7" s="350" t="s">
        <v>114</v>
      </c>
      <c r="D7" s="348"/>
      <c r="E7" s="537">
        <f>L214</f>
        <v>133344.49671996397</v>
      </c>
      <c r="F7" s="374">
        <f aca="true" t="shared" si="0" ref="F7:F39">Z173</f>
        <v>1705.768264489559</v>
      </c>
      <c r="G7" s="374">
        <f aca="true" t="shared" si="1" ref="G7:G40">AB173</f>
        <v>19995.38776281698</v>
      </c>
      <c r="H7" s="374">
        <f aca="true" t="shared" si="2" ref="H7:H39">AM93</f>
        <v>0</v>
      </c>
      <c r="I7" s="409">
        <f aca="true" t="shared" si="3" ref="I7:I39">L133</f>
        <v>6368.751648044829</v>
      </c>
      <c r="J7" s="537">
        <f aca="true" t="shared" si="4" ref="J7:J39">R254</f>
        <v>547590499.221433</v>
      </c>
      <c r="K7" s="375">
        <f aca="true" t="shared" si="5" ref="K7:K39">Y173</f>
        <v>6173389.866707629</v>
      </c>
      <c r="L7" s="375">
        <f aca="true" t="shared" si="6" ref="L7:L40">AA173</f>
        <v>44501441.651422106</v>
      </c>
      <c r="M7" s="510">
        <f aca="true" t="shared" si="7" ref="M7:M38">AN49</f>
        <v>0</v>
      </c>
      <c r="N7" s="410">
        <f aca="true" t="shared" si="8" ref="N7:N39">K133</f>
        <v>9229235.864474505</v>
      </c>
      <c r="Q7" s="406"/>
      <c r="R7" s="406"/>
      <c r="S7" s="408"/>
      <c r="T7" s="408"/>
      <c r="U7" s="407"/>
      <c r="V7" s="332"/>
      <c r="W7" s="332"/>
      <c r="X7" s="331"/>
      <c r="Y7" s="331"/>
      <c r="Z7" s="331"/>
      <c r="AA7" s="331"/>
      <c r="AB7" s="331"/>
      <c r="AC7" s="331"/>
      <c r="AD7" s="331"/>
      <c r="AE7" s="331"/>
      <c r="AF7" s="331"/>
      <c r="AG7" s="331"/>
      <c r="AH7" s="331"/>
      <c r="AI7" s="331"/>
      <c r="AJ7" s="331"/>
    </row>
    <row r="8" spans="1:36" s="330" customFormat="1" ht="12.75">
      <c r="A8" s="331"/>
      <c r="B8" s="432" t="s">
        <v>47</v>
      </c>
      <c r="C8" s="350" t="s">
        <v>115</v>
      </c>
      <c r="D8" s="348"/>
      <c r="E8" s="537">
        <f aca="true" t="shared" si="9" ref="E8:E39">L215</f>
        <v>394127.26635057706</v>
      </c>
      <c r="F8" s="374">
        <f t="shared" si="0"/>
        <v>5419.713617011269</v>
      </c>
      <c r="G8" s="374">
        <f t="shared" si="1"/>
        <v>35632.87682464649</v>
      </c>
      <c r="H8" s="374">
        <f t="shared" si="2"/>
        <v>226.8364570250737</v>
      </c>
      <c r="I8" s="409">
        <f t="shared" si="3"/>
        <v>0</v>
      </c>
      <c r="J8" s="537">
        <f t="shared" si="4"/>
        <v>1591811026.6391704</v>
      </c>
      <c r="K8" s="375">
        <f t="shared" si="5"/>
        <v>19614625.163475428</v>
      </c>
      <c r="L8" s="375">
        <f t="shared" si="6"/>
        <v>79304007.88891324</v>
      </c>
      <c r="M8" s="374">
        <f t="shared" si="7"/>
        <v>916419.9363383173</v>
      </c>
      <c r="N8" s="410">
        <f t="shared" si="8"/>
        <v>0</v>
      </c>
      <c r="Q8" s="406"/>
      <c r="R8" s="406"/>
      <c r="S8" s="408"/>
      <c r="T8" s="408"/>
      <c r="U8" s="407"/>
      <c r="V8" s="332"/>
      <c r="W8" s="332"/>
      <c r="X8" s="331"/>
      <c r="Y8" s="331"/>
      <c r="Z8" s="331"/>
      <c r="AA8" s="331"/>
      <c r="AB8" s="331"/>
      <c r="AC8" s="331"/>
      <c r="AD8" s="331"/>
      <c r="AE8" s="331"/>
      <c r="AF8" s="331"/>
      <c r="AG8" s="331"/>
      <c r="AH8" s="331"/>
      <c r="AI8" s="331"/>
      <c r="AJ8" s="331"/>
    </row>
    <row r="9" spans="1:36" s="330" customFormat="1" ht="12.75">
      <c r="A9" s="331"/>
      <c r="B9" s="432" t="s">
        <v>48</v>
      </c>
      <c r="C9" s="350" t="s">
        <v>118</v>
      </c>
      <c r="D9" s="348"/>
      <c r="E9" s="537">
        <f t="shared" si="9"/>
        <v>193111.19044194178</v>
      </c>
      <c r="F9" s="374">
        <f t="shared" si="0"/>
        <v>881.8983989529486</v>
      </c>
      <c r="G9" s="374">
        <f t="shared" si="1"/>
        <v>9302.661612596481</v>
      </c>
      <c r="H9" s="374">
        <f t="shared" si="2"/>
        <v>8230.594259049265</v>
      </c>
      <c r="I9" s="409">
        <f t="shared" si="3"/>
        <v>4561.340066791499</v>
      </c>
      <c r="J9" s="537">
        <f t="shared" si="4"/>
        <v>767757522.6437726</v>
      </c>
      <c r="K9" s="375">
        <f t="shared" si="5"/>
        <v>3191701.2134066112</v>
      </c>
      <c r="L9" s="375">
        <f t="shared" si="6"/>
        <v>20703867.20510211</v>
      </c>
      <c r="M9" s="374">
        <f t="shared" si="7"/>
        <v>33251624.389772173</v>
      </c>
      <c r="N9" s="410">
        <f t="shared" si="8"/>
        <v>6743132.545721941</v>
      </c>
      <c r="Q9" s="406"/>
      <c r="R9" s="406"/>
      <c r="S9" s="408"/>
      <c r="T9" s="408"/>
      <c r="U9" s="407"/>
      <c r="V9" s="332"/>
      <c r="W9" s="332"/>
      <c r="X9" s="331"/>
      <c r="Y9" s="331"/>
      <c r="Z9" s="331"/>
      <c r="AA9" s="331"/>
      <c r="AB9" s="331"/>
      <c r="AC9" s="331"/>
      <c r="AD9" s="331"/>
      <c r="AE9" s="331"/>
      <c r="AF9" s="331"/>
      <c r="AG9" s="331"/>
      <c r="AH9" s="331"/>
      <c r="AI9" s="331"/>
      <c r="AJ9" s="331"/>
    </row>
    <row r="10" spans="1:36" s="330" customFormat="1" ht="12.75">
      <c r="A10" s="331"/>
      <c r="B10" s="432" t="s">
        <v>49</v>
      </c>
      <c r="C10" s="350" t="s">
        <v>119</v>
      </c>
      <c r="D10" s="348"/>
      <c r="E10" s="537">
        <f t="shared" si="9"/>
        <v>210324.09519641605</v>
      </c>
      <c r="F10" s="374">
        <f t="shared" si="0"/>
        <v>8948.791167878873</v>
      </c>
      <c r="G10" s="374">
        <f t="shared" si="1"/>
        <v>44151.609196144185</v>
      </c>
      <c r="H10" s="374">
        <f t="shared" si="2"/>
        <v>334.5084139994634</v>
      </c>
      <c r="I10" s="409">
        <f t="shared" si="3"/>
        <v>0</v>
      </c>
      <c r="J10" s="537">
        <f t="shared" si="4"/>
        <v>848860550.3451891</v>
      </c>
      <c r="K10" s="375">
        <f t="shared" si="5"/>
        <v>32386800.63707113</v>
      </c>
      <c r="L10" s="375">
        <f t="shared" si="6"/>
        <v>98263173.67609763</v>
      </c>
      <c r="M10" s="374">
        <f t="shared" si="7"/>
        <v>1351414.951028506</v>
      </c>
      <c r="N10" s="410">
        <f t="shared" si="8"/>
        <v>0</v>
      </c>
      <c r="Q10" s="406"/>
      <c r="R10" s="406"/>
      <c r="S10" s="408"/>
      <c r="T10" s="408"/>
      <c r="U10" s="407"/>
      <c r="V10" s="332"/>
      <c r="W10" s="332"/>
      <c r="X10" s="331"/>
      <c r="Y10" s="331"/>
      <c r="Z10" s="331"/>
      <c r="AA10" s="331"/>
      <c r="AB10" s="331"/>
      <c r="AC10" s="331"/>
      <c r="AD10" s="331"/>
      <c r="AE10" s="331"/>
      <c r="AF10" s="331"/>
      <c r="AG10" s="331"/>
      <c r="AH10" s="331"/>
      <c r="AI10" s="331"/>
      <c r="AJ10" s="331"/>
    </row>
    <row r="11" spans="1:36" s="330" customFormat="1" ht="12.75">
      <c r="A11" s="331"/>
      <c r="B11" s="432" t="s">
        <v>50</v>
      </c>
      <c r="C11" s="350" t="s">
        <v>120</v>
      </c>
      <c r="D11" s="348"/>
      <c r="E11" s="537">
        <f t="shared" si="9"/>
        <v>256061.8305627765</v>
      </c>
      <c r="F11" s="374">
        <f t="shared" si="0"/>
        <v>763.558900596945</v>
      </c>
      <c r="G11" s="374">
        <f t="shared" si="1"/>
        <v>22082.24758740025</v>
      </c>
      <c r="H11" s="374">
        <f t="shared" si="2"/>
        <v>1410.701573842952</v>
      </c>
      <c r="I11" s="409">
        <f t="shared" si="3"/>
        <v>0</v>
      </c>
      <c r="J11" s="537">
        <f t="shared" si="4"/>
        <v>1032836524.1769013</v>
      </c>
      <c r="K11" s="375">
        <f t="shared" si="5"/>
        <v>2763415.686473777</v>
      </c>
      <c r="L11" s="375">
        <f t="shared" si="6"/>
        <v>49145926.26057208</v>
      </c>
      <c r="M11" s="374">
        <f t="shared" si="7"/>
        <v>5699238.400424412</v>
      </c>
      <c r="N11" s="410">
        <f t="shared" si="8"/>
        <v>0</v>
      </c>
      <c r="Q11" s="406"/>
      <c r="R11" s="406"/>
      <c r="S11" s="408"/>
      <c r="T11" s="408"/>
      <c r="U11" s="407"/>
      <c r="V11" s="332"/>
      <c r="W11" s="332"/>
      <c r="X11" s="331"/>
      <c r="Y11" s="331"/>
      <c r="Z11" s="331"/>
      <c r="AA11" s="331"/>
      <c r="AB11" s="331"/>
      <c r="AC11" s="331"/>
      <c r="AD11" s="331"/>
      <c r="AE11" s="331"/>
      <c r="AF11" s="331"/>
      <c r="AG11" s="331"/>
      <c r="AH11" s="331"/>
      <c r="AI11" s="331"/>
      <c r="AJ11" s="331"/>
    </row>
    <row r="12" spans="1:36" s="330" customFormat="1" ht="12.75">
      <c r="A12" s="331"/>
      <c r="B12" s="432" t="s">
        <v>51</v>
      </c>
      <c r="C12" s="350" t="s">
        <v>121</v>
      </c>
      <c r="D12" s="348"/>
      <c r="E12" s="537">
        <f t="shared" si="9"/>
        <v>158286.74608287524</v>
      </c>
      <c r="F12" s="374">
        <f t="shared" si="0"/>
        <v>7006.704066270505</v>
      </c>
      <c r="G12" s="374">
        <f t="shared" si="1"/>
        <v>47008.21917198585</v>
      </c>
      <c r="H12" s="374">
        <f t="shared" si="2"/>
        <v>0</v>
      </c>
      <c r="I12" s="409">
        <f t="shared" si="3"/>
        <v>0</v>
      </c>
      <c r="J12" s="537">
        <f t="shared" si="4"/>
        <v>644805395.6956164</v>
      </c>
      <c r="K12" s="375">
        <f t="shared" si="5"/>
        <v>25358143.179359306</v>
      </c>
      <c r="L12" s="375">
        <f t="shared" si="6"/>
        <v>104620802.9288388</v>
      </c>
      <c r="M12" s="374">
        <f t="shared" si="7"/>
        <v>0</v>
      </c>
      <c r="N12" s="410">
        <f t="shared" si="8"/>
        <v>0</v>
      </c>
      <c r="Q12" s="406"/>
      <c r="R12" s="406"/>
      <c r="S12" s="408"/>
      <c r="T12" s="408"/>
      <c r="U12" s="407"/>
      <c r="V12" s="332"/>
      <c r="W12" s="332"/>
      <c r="X12" s="331"/>
      <c r="Y12" s="331"/>
      <c r="Z12" s="331"/>
      <c r="AA12" s="331"/>
      <c r="AB12" s="331"/>
      <c r="AC12" s="331"/>
      <c r="AD12" s="331"/>
      <c r="AE12" s="331"/>
      <c r="AF12" s="331"/>
      <c r="AG12" s="331"/>
      <c r="AH12" s="331"/>
      <c r="AI12" s="331"/>
      <c r="AJ12" s="331"/>
    </row>
    <row r="13" spans="1:36" s="330" customFormat="1" ht="12.75">
      <c r="A13" s="331"/>
      <c r="B13" s="432" t="s">
        <v>52</v>
      </c>
      <c r="C13" s="350" t="s">
        <v>122</v>
      </c>
      <c r="D13" s="348"/>
      <c r="E13" s="537">
        <f t="shared" si="9"/>
        <v>53776.871127506165</v>
      </c>
      <c r="F13" s="374">
        <f t="shared" si="0"/>
        <v>0</v>
      </c>
      <c r="G13" s="374">
        <f t="shared" si="1"/>
        <v>20206.80938661988</v>
      </c>
      <c r="H13" s="374">
        <f t="shared" si="2"/>
        <v>1277.3385548765991</v>
      </c>
      <c r="I13" s="409">
        <f t="shared" si="3"/>
        <v>2032.987017692793</v>
      </c>
      <c r="J13" s="537">
        <f t="shared" si="4"/>
        <v>217437394.8733334</v>
      </c>
      <c r="K13" s="375">
        <f t="shared" si="5"/>
        <v>0</v>
      </c>
      <c r="L13" s="375">
        <f t="shared" si="6"/>
        <v>44971978.51557883</v>
      </c>
      <c r="M13" s="374">
        <f t="shared" si="7"/>
        <v>5160451.421673808</v>
      </c>
      <c r="N13" s="410">
        <f t="shared" si="8"/>
        <v>7995761.2196087595</v>
      </c>
      <c r="Q13" s="406"/>
      <c r="R13" s="406"/>
      <c r="S13" s="408"/>
      <c r="T13" s="408"/>
      <c r="U13" s="407"/>
      <c r="V13" s="332"/>
      <c r="W13" s="332"/>
      <c r="X13" s="331"/>
      <c r="Y13" s="331"/>
      <c r="Z13" s="331"/>
      <c r="AA13" s="331"/>
      <c r="AB13" s="331"/>
      <c r="AC13" s="331"/>
      <c r="AD13" s="331"/>
      <c r="AE13" s="331"/>
      <c r="AF13" s="331"/>
      <c r="AG13" s="331"/>
      <c r="AH13" s="331"/>
      <c r="AI13" s="331"/>
      <c r="AJ13" s="331"/>
    </row>
    <row r="14" spans="1:36" s="330" customFormat="1" ht="12.75">
      <c r="A14" s="331"/>
      <c r="B14" s="432" t="s">
        <v>53</v>
      </c>
      <c r="C14" s="350" t="s">
        <v>123</v>
      </c>
      <c r="D14" s="348"/>
      <c r="E14" s="537">
        <f t="shared" si="9"/>
        <v>240493.73370065665</v>
      </c>
      <c r="F14" s="374">
        <f t="shared" si="0"/>
        <v>1359.4271940149497</v>
      </c>
      <c r="G14" s="374">
        <f t="shared" si="1"/>
        <v>26894.82152329502</v>
      </c>
      <c r="H14" s="374">
        <f t="shared" si="2"/>
        <v>282.96501333353604</v>
      </c>
      <c r="I14" s="409">
        <f t="shared" si="3"/>
        <v>0</v>
      </c>
      <c r="J14" s="537">
        <f t="shared" si="4"/>
        <v>968966454.9130285</v>
      </c>
      <c r="K14" s="375">
        <f t="shared" si="5"/>
        <v>4919937.976786086</v>
      </c>
      <c r="L14" s="375">
        <f t="shared" si="6"/>
        <v>59856720.20674579</v>
      </c>
      <c r="M14" s="374">
        <f t="shared" si="7"/>
        <v>1143179.4646502808</v>
      </c>
      <c r="N14" s="410">
        <f t="shared" si="8"/>
        <v>0</v>
      </c>
      <c r="Q14" s="406"/>
      <c r="R14" s="406"/>
      <c r="S14" s="408"/>
      <c r="T14" s="408"/>
      <c r="U14" s="407"/>
      <c r="V14" s="332"/>
      <c r="W14" s="332"/>
      <c r="X14" s="331"/>
      <c r="Y14" s="331"/>
      <c r="Z14" s="331"/>
      <c r="AA14" s="331"/>
      <c r="AB14" s="331"/>
      <c r="AC14" s="331"/>
      <c r="AD14" s="331"/>
      <c r="AE14" s="331"/>
      <c r="AF14" s="331"/>
      <c r="AG14" s="331"/>
      <c r="AH14" s="331"/>
      <c r="AI14" s="331"/>
      <c r="AJ14" s="331"/>
    </row>
    <row r="15" spans="1:36" s="330" customFormat="1" ht="12.75">
      <c r="A15" s="331"/>
      <c r="B15" s="432" t="s">
        <v>54</v>
      </c>
      <c r="C15" s="350" t="s">
        <v>124</v>
      </c>
      <c r="D15" s="348"/>
      <c r="E15" s="537">
        <f t="shared" si="9"/>
        <v>288239.0175892307</v>
      </c>
      <c r="F15" s="374">
        <f t="shared" si="0"/>
        <v>14453.970510133619</v>
      </c>
      <c r="G15" s="374">
        <f t="shared" si="1"/>
        <v>27426.853010633145</v>
      </c>
      <c r="H15" s="374">
        <f t="shared" si="2"/>
        <v>181.63692620808084</v>
      </c>
      <c r="I15" s="409">
        <f t="shared" si="3"/>
        <v>0</v>
      </c>
      <c r="J15" s="537">
        <f t="shared" si="4"/>
        <v>1155404867.7607849</v>
      </c>
      <c r="K15" s="375">
        <f t="shared" si="5"/>
        <v>52310737.00837746</v>
      </c>
      <c r="L15" s="375">
        <f t="shared" si="6"/>
        <v>61040801.67950046</v>
      </c>
      <c r="M15" s="374">
        <f t="shared" si="7"/>
        <v>733813.7023269485</v>
      </c>
      <c r="N15" s="410">
        <f t="shared" si="8"/>
        <v>0</v>
      </c>
      <c r="Q15" s="406"/>
      <c r="R15" s="406"/>
      <c r="S15" s="408"/>
      <c r="T15" s="408"/>
      <c r="U15" s="407"/>
      <c r="V15" s="332"/>
      <c r="W15" s="332"/>
      <c r="X15" s="331"/>
      <c r="Y15" s="331"/>
      <c r="Z15" s="331"/>
      <c r="AA15" s="331"/>
      <c r="AB15" s="331"/>
      <c r="AC15" s="331"/>
      <c r="AD15" s="331"/>
      <c r="AE15" s="331"/>
      <c r="AF15" s="331"/>
      <c r="AG15" s="331"/>
      <c r="AH15" s="331"/>
      <c r="AI15" s="331"/>
      <c r="AJ15" s="331"/>
    </row>
    <row r="16" spans="1:36" s="330" customFormat="1" ht="12.75">
      <c r="A16" s="331"/>
      <c r="B16" s="432" t="s">
        <v>55</v>
      </c>
      <c r="C16" s="350" t="s">
        <v>125</v>
      </c>
      <c r="D16" s="348"/>
      <c r="E16" s="537">
        <f t="shared" si="9"/>
        <v>365972.31825713854</v>
      </c>
      <c r="F16" s="374">
        <f t="shared" si="0"/>
        <v>614.1982148196785</v>
      </c>
      <c r="G16" s="374">
        <f t="shared" si="1"/>
        <v>19319.10760436502</v>
      </c>
      <c r="H16" s="374">
        <f t="shared" si="2"/>
        <v>322.3623346034104</v>
      </c>
      <c r="I16" s="409">
        <f t="shared" si="3"/>
        <v>0</v>
      </c>
      <c r="J16" s="537">
        <f t="shared" si="4"/>
        <v>1481956239.6410193</v>
      </c>
      <c r="K16" s="375">
        <f t="shared" si="5"/>
        <v>2222860.5810369896</v>
      </c>
      <c r="L16" s="375">
        <f t="shared" si="6"/>
        <v>42996322.45251718</v>
      </c>
      <c r="M16" s="374">
        <f t="shared" si="7"/>
        <v>1302344.7554661555</v>
      </c>
      <c r="N16" s="410">
        <f t="shared" si="8"/>
        <v>0</v>
      </c>
      <c r="Q16" s="406"/>
      <c r="R16" s="406"/>
      <c r="S16" s="408"/>
      <c r="T16" s="408"/>
      <c r="U16" s="407"/>
      <c r="V16" s="332"/>
      <c r="W16" s="332"/>
      <c r="X16" s="331"/>
      <c r="Y16" s="331"/>
      <c r="Z16" s="331"/>
      <c r="AA16" s="331"/>
      <c r="AB16" s="331"/>
      <c r="AC16" s="331"/>
      <c r="AD16" s="331"/>
      <c r="AE16" s="331"/>
      <c r="AF16" s="331"/>
      <c r="AG16" s="331"/>
      <c r="AH16" s="331"/>
      <c r="AI16" s="331"/>
      <c r="AJ16" s="331"/>
    </row>
    <row r="17" spans="1:36" s="330" customFormat="1" ht="12.75">
      <c r="A17" s="331"/>
      <c r="B17" s="432" t="s">
        <v>56</v>
      </c>
      <c r="C17" s="350" t="s">
        <v>126</v>
      </c>
      <c r="D17" s="348"/>
      <c r="E17" s="537">
        <f t="shared" si="9"/>
        <v>221355.00214989652</v>
      </c>
      <c r="F17" s="374">
        <f t="shared" si="0"/>
        <v>626.2630841098679</v>
      </c>
      <c r="G17" s="374">
        <f t="shared" si="1"/>
        <v>14219.644981598893</v>
      </c>
      <c r="H17" s="374">
        <f t="shared" si="2"/>
        <v>6612.4062060685865</v>
      </c>
      <c r="I17" s="409">
        <f t="shared" si="3"/>
        <v>4236.300108494937</v>
      </c>
      <c r="J17" s="537">
        <f t="shared" si="4"/>
        <v>894341943.9001644</v>
      </c>
      <c r="K17" s="375">
        <f t="shared" si="5"/>
        <v>2266524.8602768756</v>
      </c>
      <c r="L17" s="375">
        <f t="shared" si="6"/>
        <v>31647033.253803287</v>
      </c>
      <c r="M17" s="374">
        <f t="shared" si="7"/>
        <v>26714140.019118026</v>
      </c>
      <c r="N17" s="410">
        <f t="shared" si="8"/>
        <v>8608031.69679913</v>
      </c>
      <c r="Q17" s="406"/>
      <c r="R17" s="406"/>
      <c r="S17" s="408"/>
      <c r="T17" s="408"/>
      <c r="U17" s="407"/>
      <c r="V17" s="332"/>
      <c r="W17" s="332"/>
      <c r="X17" s="331"/>
      <c r="Y17" s="331"/>
      <c r="Z17" s="331"/>
      <c r="AA17" s="331"/>
      <c r="AB17" s="331"/>
      <c r="AC17" s="331"/>
      <c r="AD17" s="331"/>
      <c r="AE17" s="331"/>
      <c r="AF17" s="331"/>
      <c r="AG17" s="331"/>
      <c r="AH17" s="331"/>
      <c r="AI17" s="331"/>
      <c r="AJ17" s="331"/>
    </row>
    <row r="18" spans="1:36" s="330" customFormat="1" ht="12.75">
      <c r="A18" s="331"/>
      <c r="B18" s="432" t="s">
        <v>57</v>
      </c>
      <c r="C18" s="350" t="s">
        <v>127</v>
      </c>
      <c r="D18" s="348"/>
      <c r="E18" s="537">
        <f t="shared" si="9"/>
        <v>124299.73741962119</v>
      </c>
      <c r="F18" s="374">
        <f t="shared" si="0"/>
        <v>867.2191508600871</v>
      </c>
      <c r="G18" s="374">
        <f t="shared" si="1"/>
        <v>10777.470979190493</v>
      </c>
      <c r="H18" s="374">
        <f t="shared" si="2"/>
        <v>116.34028604589602</v>
      </c>
      <c r="I18" s="409">
        <f t="shared" si="3"/>
        <v>0</v>
      </c>
      <c r="J18" s="537">
        <f t="shared" si="4"/>
        <v>500924014.9635289</v>
      </c>
      <c r="K18" s="375">
        <f t="shared" si="5"/>
        <v>3138575.168495419</v>
      </c>
      <c r="L18" s="375">
        <f t="shared" si="6"/>
        <v>23986181.29437927</v>
      </c>
      <c r="M18" s="374">
        <f t="shared" si="7"/>
        <v>470015.08897653356</v>
      </c>
      <c r="N18" s="410">
        <f t="shared" si="8"/>
        <v>0</v>
      </c>
      <c r="Q18" s="406"/>
      <c r="R18" s="406"/>
      <c r="S18" s="408"/>
      <c r="T18" s="408"/>
      <c r="U18" s="407"/>
      <c r="V18" s="332"/>
      <c r="W18" s="332"/>
      <c r="X18" s="331"/>
      <c r="Y18" s="331"/>
      <c r="Z18" s="331"/>
      <c r="AA18" s="331"/>
      <c r="AB18" s="331"/>
      <c r="AC18" s="331"/>
      <c r="AD18" s="331"/>
      <c r="AE18" s="331"/>
      <c r="AF18" s="331"/>
      <c r="AG18" s="331"/>
      <c r="AH18" s="331"/>
      <c r="AI18" s="331"/>
      <c r="AJ18" s="331"/>
    </row>
    <row r="19" spans="1:36" s="330" customFormat="1" ht="12.75">
      <c r="A19" s="331"/>
      <c r="B19" s="432" t="s">
        <v>58</v>
      </c>
      <c r="C19" s="350" t="s">
        <v>128</v>
      </c>
      <c r="D19" s="348"/>
      <c r="E19" s="537">
        <f t="shared" si="9"/>
        <v>115527.88271990384</v>
      </c>
      <c r="F19" s="374">
        <f t="shared" si="0"/>
        <v>2884.4800592592615</v>
      </c>
      <c r="G19" s="374">
        <f t="shared" si="1"/>
        <v>20459.29575155757</v>
      </c>
      <c r="H19" s="374">
        <f t="shared" si="2"/>
        <v>15099.112741007939</v>
      </c>
      <c r="I19" s="409">
        <f t="shared" si="3"/>
        <v>80.50976106473773</v>
      </c>
      <c r="J19" s="537">
        <f t="shared" si="4"/>
        <v>464063939.4444453</v>
      </c>
      <c r="K19" s="375">
        <f t="shared" si="5"/>
        <v>10439296.086845648</v>
      </c>
      <c r="L19" s="375">
        <f t="shared" si="6"/>
        <v>45533908.46514192</v>
      </c>
      <c r="M19" s="374">
        <f t="shared" si="7"/>
        <v>61000458.7373275</v>
      </c>
      <c r="N19" s="410">
        <f t="shared" si="8"/>
        <v>310738.8298498286</v>
      </c>
      <c r="Q19" s="406"/>
      <c r="R19" s="406"/>
      <c r="S19" s="408"/>
      <c r="T19" s="408"/>
      <c r="U19" s="407"/>
      <c r="V19" s="332"/>
      <c r="W19" s="332"/>
      <c r="X19" s="331"/>
      <c r="Y19" s="331"/>
      <c r="Z19" s="331"/>
      <c r="AA19" s="331"/>
      <c r="AB19" s="331"/>
      <c r="AC19" s="331"/>
      <c r="AD19" s="331"/>
      <c r="AE19" s="331"/>
      <c r="AF19" s="331"/>
      <c r="AG19" s="331"/>
      <c r="AH19" s="331"/>
      <c r="AI19" s="331"/>
      <c r="AJ19" s="331"/>
    </row>
    <row r="20" spans="1:36" s="330" customFormat="1" ht="12.75">
      <c r="A20" s="331"/>
      <c r="B20" s="432" t="s">
        <v>59</v>
      </c>
      <c r="C20" s="350" t="s">
        <v>129</v>
      </c>
      <c r="D20" s="348"/>
      <c r="E20" s="537">
        <f t="shared" si="9"/>
        <v>136993.39016531743</v>
      </c>
      <c r="F20" s="374">
        <f t="shared" si="0"/>
        <v>2474.5900002099884</v>
      </c>
      <c r="G20" s="374">
        <f t="shared" si="1"/>
        <v>27328.40248878632</v>
      </c>
      <c r="H20" s="374">
        <f t="shared" si="2"/>
        <v>0</v>
      </c>
      <c r="I20" s="409">
        <f t="shared" si="3"/>
        <v>0</v>
      </c>
      <c r="J20" s="537">
        <f t="shared" si="4"/>
        <v>555833424.4935162</v>
      </c>
      <c r="K20" s="375">
        <f t="shared" si="5"/>
        <v>8955852.415347759</v>
      </c>
      <c r="L20" s="375">
        <f t="shared" si="6"/>
        <v>60821691.64245153</v>
      </c>
      <c r="M20" s="374">
        <f t="shared" si="7"/>
        <v>0</v>
      </c>
      <c r="N20" s="410">
        <f t="shared" si="8"/>
        <v>0</v>
      </c>
      <c r="Q20" s="406"/>
      <c r="R20" s="406"/>
      <c r="S20" s="408"/>
      <c r="T20" s="408"/>
      <c r="U20" s="407"/>
      <c r="V20" s="332"/>
      <c r="W20" s="332"/>
      <c r="X20" s="331"/>
      <c r="Y20" s="331"/>
      <c r="Z20" s="331"/>
      <c r="AA20" s="331"/>
      <c r="AB20" s="331"/>
      <c r="AC20" s="331"/>
      <c r="AD20" s="331"/>
      <c r="AE20" s="331"/>
      <c r="AF20" s="331"/>
      <c r="AG20" s="331"/>
      <c r="AH20" s="331"/>
      <c r="AI20" s="331"/>
      <c r="AJ20" s="331"/>
    </row>
    <row r="21" spans="1:36" s="330" customFormat="1" ht="12.75">
      <c r="A21" s="331"/>
      <c r="B21" s="432" t="s">
        <v>60</v>
      </c>
      <c r="C21" s="350" t="s">
        <v>130</v>
      </c>
      <c r="D21" s="348"/>
      <c r="E21" s="537">
        <f t="shared" si="9"/>
        <v>142080.74025364692</v>
      </c>
      <c r="F21" s="374">
        <f t="shared" si="0"/>
        <v>3726.7869092023097</v>
      </c>
      <c r="G21" s="374">
        <f t="shared" si="1"/>
        <v>20381.63742581816</v>
      </c>
      <c r="H21" s="374">
        <f t="shared" si="2"/>
        <v>239.30013649122435</v>
      </c>
      <c r="I21" s="409">
        <f t="shared" si="3"/>
        <v>0</v>
      </c>
      <c r="J21" s="537">
        <f t="shared" si="4"/>
        <v>567918861.6548083</v>
      </c>
      <c r="K21" s="375">
        <f t="shared" si="5"/>
        <v>13487710.505349834</v>
      </c>
      <c r="L21" s="375">
        <f t="shared" si="6"/>
        <v>45361073.23470613</v>
      </c>
      <c r="M21" s="374">
        <f t="shared" si="7"/>
        <v>966773.2370938851</v>
      </c>
      <c r="N21" s="410">
        <f t="shared" si="8"/>
        <v>0</v>
      </c>
      <c r="Q21" s="406"/>
      <c r="R21" s="406"/>
      <c r="S21" s="408"/>
      <c r="T21" s="408"/>
      <c r="U21" s="407"/>
      <c r="V21" s="332"/>
      <c r="W21" s="332"/>
      <c r="X21" s="331"/>
      <c r="Y21" s="331"/>
      <c r="Z21" s="331"/>
      <c r="AA21" s="331"/>
      <c r="AB21" s="331"/>
      <c r="AC21" s="331"/>
      <c r="AD21" s="331"/>
      <c r="AE21" s="331"/>
      <c r="AF21" s="331"/>
      <c r="AG21" s="331"/>
      <c r="AH21" s="331"/>
      <c r="AI21" s="331"/>
      <c r="AJ21" s="331"/>
    </row>
    <row r="22" spans="1:36" s="330" customFormat="1" ht="12.75">
      <c r="A22" s="331"/>
      <c r="B22" s="432" t="s">
        <v>61</v>
      </c>
      <c r="C22" s="350" t="s">
        <v>131</v>
      </c>
      <c r="D22" s="348"/>
      <c r="E22" s="537">
        <f t="shared" si="9"/>
        <v>354149.93573937914</v>
      </c>
      <c r="F22" s="374">
        <f t="shared" si="0"/>
        <v>2076.4920643560426</v>
      </c>
      <c r="G22" s="374">
        <f t="shared" si="1"/>
        <v>20440.292553989428</v>
      </c>
      <c r="H22" s="374">
        <f t="shared" si="2"/>
        <v>2929.437696871765</v>
      </c>
      <c r="I22" s="409">
        <f t="shared" si="3"/>
        <v>438.16638348248654</v>
      </c>
      <c r="J22" s="537">
        <f t="shared" si="4"/>
        <v>1424117628.8288407</v>
      </c>
      <c r="K22" s="375">
        <f t="shared" si="5"/>
        <v>7515085.920671884</v>
      </c>
      <c r="L22" s="375">
        <f t="shared" si="6"/>
        <v>45491615.2274313</v>
      </c>
      <c r="M22" s="374">
        <f t="shared" si="7"/>
        <v>11834936.689112298</v>
      </c>
      <c r="N22" s="410">
        <f t="shared" si="8"/>
        <v>683803.2458701252</v>
      </c>
      <c r="Q22" s="406"/>
      <c r="R22" s="406"/>
      <c r="S22" s="408"/>
      <c r="T22" s="408"/>
      <c r="U22" s="407"/>
      <c r="V22" s="332"/>
      <c r="W22" s="332"/>
      <c r="X22" s="331"/>
      <c r="Y22" s="331"/>
      <c r="Z22" s="331"/>
      <c r="AA22" s="331"/>
      <c r="AB22" s="331"/>
      <c r="AC22" s="331"/>
      <c r="AD22" s="331"/>
      <c r="AE22" s="331"/>
      <c r="AF22" s="331"/>
      <c r="AG22" s="331"/>
      <c r="AH22" s="331"/>
      <c r="AI22" s="331"/>
      <c r="AJ22" s="331"/>
    </row>
    <row r="23" spans="1:36" s="330" customFormat="1" ht="12.75">
      <c r="A23" s="331"/>
      <c r="B23" s="432" t="s">
        <v>62</v>
      </c>
      <c r="C23" s="350" t="s">
        <v>132</v>
      </c>
      <c r="D23" s="348"/>
      <c r="E23" s="537">
        <f t="shared" si="9"/>
        <v>422990.52982069453</v>
      </c>
      <c r="F23" s="374">
        <f t="shared" si="0"/>
        <v>11484.646119881472</v>
      </c>
      <c r="G23" s="374">
        <f t="shared" si="1"/>
        <v>23433.338353942403</v>
      </c>
      <c r="H23" s="374">
        <f t="shared" si="2"/>
        <v>674745.2069495784</v>
      </c>
      <c r="I23" s="409">
        <f t="shared" si="3"/>
        <v>0</v>
      </c>
      <c r="J23" s="537">
        <f t="shared" si="4"/>
        <v>1669304920.8050873</v>
      </c>
      <c r="K23" s="375">
        <f t="shared" si="5"/>
        <v>41564378.617640376</v>
      </c>
      <c r="L23" s="375">
        <f t="shared" si="6"/>
        <v>52152894.04865665</v>
      </c>
      <c r="M23" s="374">
        <f t="shared" si="7"/>
        <v>2727078943.659251</v>
      </c>
      <c r="N23" s="410">
        <f t="shared" si="8"/>
        <v>0</v>
      </c>
      <c r="Q23" s="406"/>
      <c r="R23" s="406"/>
      <c r="S23" s="408"/>
      <c r="T23" s="408"/>
      <c r="U23" s="407"/>
      <c r="V23" s="332"/>
      <c r="W23" s="332"/>
      <c r="X23" s="331"/>
      <c r="Y23" s="331"/>
      <c r="Z23" s="331"/>
      <c r="AA23" s="331"/>
      <c r="AB23" s="331"/>
      <c r="AC23" s="331"/>
      <c r="AD23" s="331"/>
      <c r="AE23" s="331"/>
      <c r="AF23" s="331"/>
      <c r="AG23" s="331"/>
      <c r="AH23" s="331"/>
      <c r="AI23" s="331"/>
      <c r="AJ23" s="331"/>
    </row>
    <row r="24" spans="1:36" s="330" customFormat="1" ht="12.75">
      <c r="A24" s="331"/>
      <c r="B24" s="432" t="s">
        <v>63</v>
      </c>
      <c r="C24" s="350" t="s">
        <v>133</v>
      </c>
      <c r="D24" s="348"/>
      <c r="E24" s="537">
        <f t="shared" si="9"/>
        <v>297468.64997429436</v>
      </c>
      <c r="F24" s="374">
        <f t="shared" si="0"/>
        <v>392.4462608093811</v>
      </c>
      <c r="G24" s="374">
        <f t="shared" si="1"/>
        <v>19077.215575985145</v>
      </c>
      <c r="H24" s="374">
        <f t="shared" si="2"/>
        <v>105489.44574399415</v>
      </c>
      <c r="I24" s="409">
        <f t="shared" si="3"/>
        <v>98.25246436120092</v>
      </c>
      <c r="J24" s="537">
        <f t="shared" si="4"/>
        <v>1174431367.9914436</v>
      </c>
      <c r="K24" s="375">
        <f t="shared" si="5"/>
        <v>1420312.3719346004</v>
      </c>
      <c r="L24" s="375">
        <f t="shared" si="6"/>
        <v>42457971.102967024</v>
      </c>
      <c r="M24" s="374">
        <f t="shared" si="7"/>
        <v>426177774.8626538</v>
      </c>
      <c r="N24" s="410">
        <f t="shared" si="8"/>
        <v>380117.13676492276</v>
      </c>
      <c r="Q24" s="406"/>
      <c r="R24" s="406"/>
      <c r="S24" s="408"/>
      <c r="T24" s="408"/>
      <c r="U24" s="407"/>
      <c r="V24" s="332"/>
      <c r="W24" s="332"/>
      <c r="X24" s="331"/>
      <c r="Y24" s="331"/>
      <c r="Z24" s="331"/>
      <c r="AA24" s="331"/>
      <c r="AB24" s="331"/>
      <c r="AC24" s="331"/>
      <c r="AD24" s="331"/>
      <c r="AE24" s="331"/>
      <c r="AF24" s="331"/>
      <c r="AG24" s="331"/>
      <c r="AH24" s="331"/>
      <c r="AI24" s="331"/>
      <c r="AJ24" s="331"/>
    </row>
    <row r="25" spans="1:36" s="330" customFormat="1" ht="12.75">
      <c r="A25" s="331"/>
      <c r="B25" s="432" t="s">
        <v>64</v>
      </c>
      <c r="C25" s="350" t="s">
        <v>134</v>
      </c>
      <c r="D25" s="348"/>
      <c r="E25" s="537">
        <f t="shared" si="9"/>
        <v>102282.81516447425</v>
      </c>
      <c r="F25" s="374">
        <f t="shared" si="0"/>
        <v>1820.358665113667</v>
      </c>
      <c r="G25" s="374">
        <f t="shared" si="1"/>
        <v>24560.96002501238</v>
      </c>
      <c r="H25" s="374">
        <f t="shared" si="2"/>
        <v>0</v>
      </c>
      <c r="I25" s="409">
        <f t="shared" si="3"/>
        <v>0</v>
      </c>
      <c r="J25" s="537">
        <f t="shared" si="4"/>
        <v>411862233.5978168</v>
      </c>
      <c r="K25" s="375">
        <f t="shared" si="5"/>
        <v>6588106.937461976</v>
      </c>
      <c r="L25" s="375">
        <f t="shared" si="6"/>
        <v>54662512.296386495</v>
      </c>
      <c r="M25" s="374">
        <f t="shared" si="7"/>
        <v>0</v>
      </c>
      <c r="N25" s="410">
        <f t="shared" si="8"/>
        <v>0</v>
      </c>
      <c r="Q25" s="406"/>
      <c r="R25" s="406"/>
      <c r="S25" s="408"/>
      <c r="T25" s="408"/>
      <c r="U25" s="407"/>
      <c r="V25" s="332"/>
      <c r="W25" s="332"/>
      <c r="X25" s="331"/>
      <c r="Y25" s="331"/>
      <c r="Z25" s="331"/>
      <c r="AA25" s="331"/>
      <c r="AB25" s="331"/>
      <c r="AC25" s="331"/>
      <c r="AD25" s="331"/>
      <c r="AE25" s="331"/>
      <c r="AF25" s="331"/>
      <c r="AG25" s="331"/>
      <c r="AH25" s="331"/>
      <c r="AI25" s="331"/>
      <c r="AJ25" s="331"/>
    </row>
    <row r="26" spans="1:36" s="330" customFormat="1" ht="12.75">
      <c r="A26" s="331"/>
      <c r="B26" s="432" t="s">
        <v>65</v>
      </c>
      <c r="C26" s="350" t="s">
        <v>135</v>
      </c>
      <c r="D26" s="348"/>
      <c r="E26" s="537">
        <f t="shared" si="9"/>
        <v>121175.93675992847</v>
      </c>
      <c r="F26" s="374">
        <f t="shared" si="0"/>
        <v>2164.33385353989</v>
      </c>
      <c r="G26" s="374">
        <f t="shared" si="1"/>
        <v>25613.740489102882</v>
      </c>
      <c r="H26" s="374">
        <f t="shared" si="2"/>
        <v>1909.301506780963</v>
      </c>
      <c r="I26" s="409">
        <f t="shared" si="3"/>
        <v>15.149973977348866</v>
      </c>
      <c r="J26" s="537">
        <f t="shared" si="4"/>
        <v>486946380.1872778</v>
      </c>
      <c r="K26" s="375">
        <f t="shared" si="5"/>
        <v>7832996.402716937</v>
      </c>
      <c r="L26" s="375">
        <f t="shared" si="6"/>
        <v>57005565.05186256</v>
      </c>
      <c r="M26" s="374">
        <f t="shared" si="7"/>
        <v>7713583.558137903</v>
      </c>
      <c r="N26" s="410">
        <f t="shared" si="8"/>
        <v>58601.02180373342</v>
      </c>
      <c r="Q26" s="406"/>
      <c r="R26" s="406"/>
      <c r="S26" s="408"/>
      <c r="T26" s="408"/>
      <c r="U26" s="407"/>
      <c r="V26" s="332"/>
      <c r="W26" s="332"/>
      <c r="X26" s="331"/>
      <c r="Y26" s="331"/>
      <c r="Z26" s="331"/>
      <c r="AA26" s="331"/>
      <c r="AB26" s="331"/>
      <c r="AC26" s="331"/>
      <c r="AD26" s="331"/>
      <c r="AE26" s="331"/>
      <c r="AF26" s="331"/>
      <c r="AG26" s="331"/>
      <c r="AH26" s="331"/>
      <c r="AI26" s="331"/>
      <c r="AJ26" s="331"/>
    </row>
    <row r="27" spans="1:36" s="330" customFormat="1" ht="12.75">
      <c r="A27" s="331"/>
      <c r="B27" s="432" t="s">
        <v>66</v>
      </c>
      <c r="C27" s="350" t="s">
        <v>136</v>
      </c>
      <c r="D27" s="348"/>
      <c r="E27" s="537">
        <f t="shared" si="9"/>
        <v>162875.31204028663</v>
      </c>
      <c r="F27" s="374">
        <f t="shared" si="0"/>
        <v>575.971582112088</v>
      </c>
      <c r="G27" s="374">
        <f t="shared" si="1"/>
        <v>7760.048277500357</v>
      </c>
      <c r="H27" s="374">
        <f t="shared" si="2"/>
        <v>0</v>
      </c>
      <c r="I27" s="409">
        <f t="shared" si="3"/>
        <v>36.29690413702491</v>
      </c>
      <c r="J27" s="537">
        <f t="shared" si="4"/>
        <v>646668191.6645634</v>
      </c>
      <c r="K27" s="375">
        <f t="shared" si="5"/>
        <v>2084513.5898845822</v>
      </c>
      <c r="L27" s="375">
        <f t="shared" si="6"/>
        <v>17270649.598282643</v>
      </c>
      <c r="M27" s="374">
        <f t="shared" si="7"/>
        <v>0</v>
      </c>
      <c r="N27" s="410">
        <f t="shared" si="8"/>
        <v>140424.72485245</v>
      </c>
      <c r="Q27" s="406"/>
      <c r="R27" s="406"/>
      <c r="S27" s="408"/>
      <c r="T27" s="408"/>
      <c r="U27" s="407"/>
      <c r="V27" s="332"/>
      <c r="W27" s="332"/>
      <c r="X27" s="331"/>
      <c r="Y27" s="331"/>
      <c r="Z27" s="331"/>
      <c r="AA27" s="331"/>
      <c r="AB27" s="331"/>
      <c r="AC27" s="331"/>
      <c r="AD27" s="331"/>
      <c r="AE27" s="331"/>
      <c r="AF27" s="331"/>
      <c r="AG27" s="331"/>
      <c r="AH27" s="331"/>
      <c r="AI27" s="331"/>
      <c r="AJ27" s="331"/>
    </row>
    <row r="28" spans="1:36" s="330" customFormat="1" ht="12.75">
      <c r="A28" s="331"/>
      <c r="B28" s="432" t="s">
        <v>67</v>
      </c>
      <c r="C28" s="350" t="s">
        <v>137</v>
      </c>
      <c r="D28" s="348"/>
      <c r="E28" s="537">
        <f t="shared" si="9"/>
        <v>168444.30190400506</v>
      </c>
      <c r="F28" s="374">
        <f t="shared" si="0"/>
        <v>958.9840262259856</v>
      </c>
      <c r="G28" s="374">
        <f t="shared" si="1"/>
        <v>49415.01285455559</v>
      </c>
      <c r="H28" s="374">
        <f t="shared" si="2"/>
        <v>0</v>
      </c>
      <c r="I28" s="409">
        <f t="shared" si="3"/>
        <v>1181.241393519847</v>
      </c>
      <c r="J28" s="537">
        <f t="shared" si="4"/>
        <v>681525304.7365276</v>
      </c>
      <c r="K28" s="375">
        <f t="shared" si="5"/>
        <v>3470683.792800871</v>
      </c>
      <c r="L28" s="375">
        <f t="shared" si="6"/>
        <v>109977327.63855514</v>
      </c>
      <c r="M28" s="374">
        <f t="shared" si="7"/>
        <v>0</v>
      </c>
      <c r="N28" s="410">
        <f t="shared" si="8"/>
        <v>4617325.408788037</v>
      </c>
      <c r="Q28" s="406"/>
      <c r="R28" s="406"/>
      <c r="S28" s="408"/>
      <c r="T28" s="408"/>
      <c r="U28" s="407"/>
      <c r="V28" s="332"/>
      <c r="W28" s="332"/>
      <c r="X28" s="331"/>
      <c r="Y28" s="331"/>
      <c r="Z28" s="331"/>
      <c r="AA28" s="331"/>
      <c r="AB28" s="331"/>
      <c r="AC28" s="331"/>
      <c r="AD28" s="331"/>
      <c r="AE28" s="331"/>
      <c r="AF28" s="331"/>
      <c r="AG28" s="331"/>
      <c r="AH28" s="331"/>
      <c r="AI28" s="331"/>
      <c r="AJ28" s="331"/>
    </row>
    <row r="29" spans="1:36" s="330" customFormat="1" ht="12.75">
      <c r="A29" s="331"/>
      <c r="B29" s="432" t="s">
        <v>68</v>
      </c>
      <c r="C29" s="350" t="s">
        <v>138</v>
      </c>
      <c r="D29" s="348"/>
      <c r="E29" s="537">
        <f t="shared" si="9"/>
        <v>156615.78967011644</v>
      </c>
      <c r="F29" s="374">
        <f t="shared" si="0"/>
        <v>1408.0461977603316</v>
      </c>
      <c r="G29" s="374">
        <f t="shared" si="1"/>
        <v>22360.544955094974</v>
      </c>
      <c r="H29" s="374">
        <f t="shared" si="2"/>
        <v>9.393936140351851</v>
      </c>
      <c r="I29" s="409">
        <f t="shared" si="3"/>
        <v>1.5888499151990485</v>
      </c>
      <c r="J29" s="537">
        <f t="shared" si="4"/>
        <v>631967069.3293657</v>
      </c>
      <c r="K29" s="375">
        <f t="shared" si="5"/>
        <v>5095896.265669471</v>
      </c>
      <c r="L29" s="375">
        <f t="shared" si="6"/>
        <v>49765300.799196504</v>
      </c>
      <c r="M29" s="374">
        <f t="shared" si="7"/>
        <v>37951.52892357103</v>
      </c>
      <c r="N29" s="410">
        <f t="shared" si="8"/>
        <v>2459.092090634327</v>
      </c>
      <c r="Q29" s="406"/>
      <c r="R29" s="406"/>
      <c r="S29" s="408"/>
      <c r="T29" s="408"/>
      <c r="U29" s="407"/>
      <c r="V29" s="332"/>
      <c r="W29" s="332"/>
      <c r="X29" s="331"/>
      <c r="Y29" s="331"/>
      <c r="Z29" s="331"/>
      <c r="AA29" s="331"/>
      <c r="AB29" s="331"/>
      <c r="AC29" s="331"/>
      <c r="AD29" s="331"/>
      <c r="AE29" s="331"/>
      <c r="AF29" s="331"/>
      <c r="AG29" s="331"/>
      <c r="AH29" s="331"/>
      <c r="AI29" s="331"/>
      <c r="AJ29" s="331"/>
    </row>
    <row r="30" spans="1:36" s="330" customFormat="1" ht="12.75">
      <c r="A30" s="331"/>
      <c r="B30" s="432" t="s">
        <v>69</v>
      </c>
      <c r="C30" s="350" t="s">
        <v>139</v>
      </c>
      <c r="D30" s="348"/>
      <c r="E30" s="537">
        <f t="shared" si="9"/>
        <v>133910.5967984051</v>
      </c>
      <c r="F30" s="374">
        <f t="shared" si="0"/>
        <v>743.8109756223126</v>
      </c>
      <c r="G30" s="374">
        <f t="shared" si="1"/>
        <v>23623.14779011091</v>
      </c>
      <c r="H30" s="374">
        <f t="shared" si="2"/>
        <v>0</v>
      </c>
      <c r="I30" s="409">
        <f t="shared" si="3"/>
        <v>0</v>
      </c>
      <c r="J30" s="537">
        <f t="shared" si="4"/>
        <v>540711708.3834524</v>
      </c>
      <c r="K30" s="375">
        <f t="shared" si="5"/>
        <v>2691945.4624903454</v>
      </c>
      <c r="L30" s="375">
        <f t="shared" si="6"/>
        <v>52575331.145087935</v>
      </c>
      <c r="M30" s="374">
        <f t="shared" si="7"/>
        <v>0</v>
      </c>
      <c r="N30" s="410">
        <f t="shared" si="8"/>
        <v>0</v>
      </c>
      <c r="Q30" s="406"/>
      <c r="R30" s="406"/>
      <c r="S30" s="408"/>
      <c r="T30" s="408"/>
      <c r="U30" s="407"/>
      <c r="V30" s="332"/>
      <c r="W30" s="332"/>
      <c r="X30" s="331"/>
      <c r="Y30" s="331"/>
      <c r="Z30" s="331"/>
      <c r="AA30" s="331"/>
      <c r="AB30" s="331"/>
      <c r="AC30" s="331"/>
      <c r="AD30" s="331"/>
      <c r="AE30" s="331"/>
      <c r="AF30" s="331"/>
      <c r="AG30" s="331"/>
      <c r="AH30" s="331"/>
      <c r="AI30" s="331"/>
      <c r="AJ30" s="331"/>
    </row>
    <row r="31" spans="1:36" s="330" customFormat="1" ht="12.75">
      <c r="A31" s="331"/>
      <c r="B31" s="432" t="s">
        <v>70</v>
      </c>
      <c r="C31" s="350" t="s">
        <v>140</v>
      </c>
      <c r="D31" s="348"/>
      <c r="E31" s="537">
        <f t="shared" si="9"/>
        <v>182082.06010294217</v>
      </c>
      <c r="F31" s="374">
        <f t="shared" si="0"/>
        <v>2476.4570453984006</v>
      </c>
      <c r="G31" s="374">
        <f t="shared" si="1"/>
        <v>45575.41485746296</v>
      </c>
      <c r="H31" s="374">
        <f t="shared" si="2"/>
        <v>37940.85385762103</v>
      </c>
      <c r="I31" s="409">
        <f t="shared" si="3"/>
        <v>1463.3248835998274</v>
      </c>
      <c r="J31" s="537">
        <f t="shared" si="4"/>
        <v>742543778.951281</v>
      </c>
      <c r="K31" s="375">
        <f t="shared" si="5"/>
        <v>8962609.486684337</v>
      </c>
      <c r="L31" s="375">
        <f t="shared" si="6"/>
        <v>101431974.66719258</v>
      </c>
      <c r="M31" s="374">
        <f t="shared" si="7"/>
        <v>153293500.4211546</v>
      </c>
      <c r="N31" s="410">
        <f t="shared" si="8"/>
        <v>4190802.020883593</v>
      </c>
      <c r="Q31" s="406"/>
      <c r="R31" s="406"/>
      <c r="S31" s="408"/>
      <c r="T31" s="408"/>
      <c r="U31" s="407"/>
      <c r="V31" s="332"/>
      <c r="W31" s="332"/>
      <c r="X31" s="331"/>
      <c r="Y31" s="331"/>
      <c r="Z31" s="331"/>
      <c r="AA31" s="331"/>
      <c r="AB31" s="331"/>
      <c r="AC31" s="331"/>
      <c r="AD31" s="331"/>
      <c r="AE31" s="331"/>
      <c r="AF31" s="331"/>
      <c r="AG31" s="331"/>
      <c r="AH31" s="331"/>
      <c r="AI31" s="331"/>
      <c r="AJ31" s="331"/>
    </row>
    <row r="32" spans="1:36" s="330" customFormat="1" ht="12.75">
      <c r="A32" s="331"/>
      <c r="B32" s="432" t="s">
        <v>71</v>
      </c>
      <c r="C32" s="350" t="s">
        <v>141</v>
      </c>
      <c r="D32" s="348"/>
      <c r="E32" s="537">
        <f t="shared" si="9"/>
        <v>259535.0872621517</v>
      </c>
      <c r="F32" s="374">
        <f t="shared" si="0"/>
        <v>735.4883484533606</v>
      </c>
      <c r="G32" s="374">
        <f t="shared" si="1"/>
        <v>19918.70414505784</v>
      </c>
      <c r="H32" s="374">
        <f t="shared" si="2"/>
        <v>845.2853805089114</v>
      </c>
      <c r="I32" s="409">
        <f t="shared" si="3"/>
        <v>0</v>
      </c>
      <c r="J32" s="537">
        <f t="shared" si="4"/>
        <v>1031807529.2289011</v>
      </c>
      <c r="K32" s="375">
        <f t="shared" si="5"/>
        <v>2661824.828111813</v>
      </c>
      <c r="L32" s="375">
        <f t="shared" si="6"/>
        <v>44330775.71676721</v>
      </c>
      <c r="M32" s="374">
        <f t="shared" si="7"/>
        <v>3414955.359261591</v>
      </c>
      <c r="N32" s="410">
        <f t="shared" si="8"/>
        <v>0</v>
      </c>
      <c r="Q32" s="406"/>
      <c r="R32" s="406"/>
      <c r="S32" s="408"/>
      <c r="T32" s="408"/>
      <c r="U32" s="407"/>
      <c r="V32" s="332"/>
      <c r="W32" s="332"/>
      <c r="X32" s="331"/>
      <c r="Y32" s="331"/>
      <c r="Z32" s="331"/>
      <c r="AA32" s="331"/>
      <c r="AB32" s="331"/>
      <c r="AC32" s="331"/>
      <c r="AD32" s="331"/>
      <c r="AE32" s="331"/>
      <c r="AF32" s="331"/>
      <c r="AG32" s="331"/>
      <c r="AH32" s="331"/>
      <c r="AI32" s="331"/>
      <c r="AJ32" s="331"/>
    </row>
    <row r="33" spans="1:36" s="330" customFormat="1" ht="12.75">
      <c r="A33" s="331"/>
      <c r="B33" s="432" t="s">
        <v>72</v>
      </c>
      <c r="C33" s="350" t="s">
        <v>142</v>
      </c>
      <c r="D33" s="348"/>
      <c r="E33" s="537">
        <f t="shared" si="9"/>
        <v>168079.09172289845</v>
      </c>
      <c r="F33" s="374">
        <f t="shared" si="0"/>
        <v>136.72935096813663</v>
      </c>
      <c r="G33" s="374">
        <f t="shared" si="1"/>
        <v>10070.244659761658</v>
      </c>
      <c r="H33" s="374">
        <f t="shared" si="2"/>
        <v>44674.44809455198</v>
      </c>
      <c r="I33" s="409">
        <f t="shared" si="3"/>
        <v>241.15537637478485</v>
      </c>
      <c r="J33" s="537">
        <f t="shared" si="4"/>
        <v>667423348.2965164</v>
      </c>
      <c r="K33" s="375">
        <f t="shared" si="5"/>
        <v>494840.7162451181</v>
      </c>
      <c r="L33" s="375">
        <f t="shared" si="6"/>
        <v>22412188.77361715</v>
      </c>
      <c r="M33" s="374">
        <f t="shared" si="7"/>
        <v>180484898.3081823</v>
      </c>
      <c r="N33" s="410">
        <f t="shared" si="8"/>
        <v>932977.0177169129</v>
      </c>
      <c r="Q33" s="406"/>
      <c r="R33" s="406"/>
      <c r="S33" s="408"/>
      <c r="T33" s="408"/>
      <c r="U33" s="407"/>
      <c r="V33" s="332"/>
      <c r="W33" s="332"/>
      <c r="X33" s="331"/>
      <c r="Y33" s="331"/>
      <c r="Z33" s="331"/>
      <c r="AA33" s="331"/>
      <c r="AB33" s="331"/>
      <c r="AC33" s="331"/>
      <c r="AD33" s="331"/>
      <c r="AE33" s="331"/>
      <c r="AF33" s="331"/>
      <c r="AG33" s="331"/>
      <c r="AH33" s="331"/>
      <c r="AI33" s="331"/>
      <c r="AJ33" s="331"/>
    </row>
    <row r="34" spans="1:36" s="330" customFormat="1" ht="12.75">
      <c r="A34" s="331"/>
      <c r="B34" s="432" t="s">
        <v>74</v>
      </c>
      <c r="C34" s="350" t="s">
        <v>143</v>
      </c>
      <c r="D34" s="348"/>
      <c r="E34" s="537">
        <f t="shared" si="9"/>
        <v>165037.4235650445</v>
      </c>
      <c r="F34" s="374">
        <f t="shared" si="0"/>
        <v>709.204208722781</v>
      </c>
      <c r="G34" s="374">
        <f t="shared" si="1"/>
        <v>30602.86848132842</v>
      </c>
      <c r="H34" s="374">
        <f t="shared" si="2"/>
        <v>1271.4805202912469</v>
      </c>
      <c r="I34" s="409">
        <f t="shared" si="3"/>
        <v>2403.4349738972924</v>
      </c>
      <c r="J34" s="537">
        <f t="shared" si="4"/>
        <v>666409248.0134374</v>
      </c>
      <c r="K34" s="375">
        <f t="shared" si="5"/>
        <v>2566699.2209318457</v>
      </c>
      <c r="L34" s="375">
        <f t="shared" si="6"/>
        <v>68109295.11557113</v>
      </c>
      <c r="M34" s="374">
        <f t="shared" si="7"/>
        <v>5136784.945163893</v>
      </c>
      <c r="N34" s="410">
        <f t="shared" si="8"/>
        <v>8190690.621455643</v>
      </c>
      <c r="Q34" s="406"/>
      <c r="R34" s="406"/>
      <c r="S34" s="408"/>
      <c r="T34" s="408"/>
      <c r="U34" s="407"/>
      <c r="V34" s="332"/>
      <c r="W34" s="332"/>
      <c r="X34" s="331"/>
      <c r="Y34" s="331"/>
      <c r="Z34" s="331"/>
      <c r="AA34" s="331"/>
      <c r="AB34" s="331"/>
      <c r="AC34" s="331"/>
      <c r="AD34" s="331"/>
      <c r="AE34" s="331"/>
      <c r="AF34" s="331"/>
      <c r="AG34" s="331"/>
      <c r="AH34" s="331"/>
      <c r="AI34" s="331"/>
      <c r="AJ34" s="331"/>
    </row>
    <row r="35" spans="1:36" s="330" customFormat="1" ht="12.75">
      <c r="A35" s="331"/>
      <c r="B35" s="432" t="s">
        <v>75</v>
      </c>
      <c r="C35" s="350" t="s">
        <v>144</v>
      </c>
      <c r="D35" s="348"/>
      <c r="E35" s="537">
        <f t="shared" si="9"/>
        <v>114911.47952274235</v>
      </c>
      <c r="F35" s="374">
        <f t="shared" si="0"/>
        <v>0</v>
      </c>
      <c r="G35" s="374">
        <f t="shared" si="1"/>
        <v>4565.793502383288</v>
      </c>
      <c r="H35" s="374">
        <f t="shared" si="2"/>
        <v>44.17897279659739</v>
      </c>
      <c r="I35" s="409">
        <f t="shared" si="3"/>
        <v>0</v>
      </c>
      <c r="J35" s="537">
        <f t="shared" si="4"/>
        <v>460409764.4938053</v>
      </c>
      <c r="K35" s="375">
        <f t="shared" si="5"/>
        <v>0</v>
      </c>
      <c r="L35" s="375">
        <f t="shared" si="6"/>
        <v>10161563.033880726</v>
      </c>
      <c r="M35" s="374">
        <f t="shared" si="7"/>
        <v>178483.17668475484</v>
      </c>
      <c r="N35" s="410">
        <f t="shared" si="8"/>
        <v>0</v>
      </c>
      <c r="Q35" s="406"/>
      <c r="R35" s="406"/>
      <c r="S35" s="408"/>
      <c r="T35" s="408"/>
      <c r="U35" s="407"/>
      <c r="V35" s="332"/>
      <c r="W35" s="332"/>
      <c r="X35" s="331"/>
      <c r="Y35" s="331"/>
      <c r="Z35" s="331"/>
      <c r="AA35" s="331"/>
      <c r="AB35" s="331"/>
      <c r="AC35" s="331"/>
      <c r="AD35" s="331"/>
      <c r="AE35" s="331"/>
      <c r="AF35" s="331"/>
      <c r="AG35" s="331"/>
      <c r="AH35" s="331"/>
      <c r="AI35" s="331"/>
      <c r="AJ35" s="331"/>
    </row>
    <row r="36" spans="1:36" s="330" customFormat="1" ht="12.75">
      <c r="A36" s="331"/>
      <c r="B36" s="432" t="s">
        <v>76</v>
      </c>
      <c r="C36" s="350" t="s">
        <v>145</v>
      </c>
      <c r="D36" s="348"/>
      <c r="E36" s="537">
        <f t="shared" si="9"/>
        <v>161300.48965360635</v>
      </c>
      <c r="F36" s="374">
        <f t="shared" si="0"/>
        <v>1.9191339806967886</v>
      </c>
      <c r="G36" s="374">
        <f t="shared" si="1"/>
        <v>42749.47912241968</v>
      </c>
      <c r="H36" s="374">
        <f t="shared" si="2"/>
        <v>12663.282574598079</v>
      </c>
      <c r="I36" s="409">
        <f t="shared" si="3"/>
        <v>6196.435750582631</v>
      </c>
      <c r="J36" s="537">
        <f t="shared" si="4"/>
        <v>650534765.1469373</v>
      </c>
      <c r="K36" s="375">
        <f t="shared" si="5"/>
        <v>6945.587226546943</v>
      </c>
      <c r="L36" s="375">
        <f t="shared" si="6"/>
        <v>95142613.55474868</v>
      </c>
      <c r="M36" s="374">
        <f t="shared" si="7"/>
        <v>51159697.88562043</v>
      </c>
      <c r="N36" s="410">
        <f t="shared" si="8"/>
        <v>19158302.62935994</v>
      </c>
      <c r="Q36" s="406"/>
      <c r="R36" s="406"/>
      <c r="S36" s="408"/>
      <c r="T36" s="408"/>
      <c r="U36" s="407"/>
      <c r="V36" s="332"/>
      <c r="W36" s="332"/>
      <c r="X36" s="331"/>
      <c r="Y36" s="331"/>
      <c r="Z36" s="331"/>
      <c r="AA36" s="331"/>
      <c r="AB36" s="331"/>
      <c r="AC36" s="331"/>
      <c r="AD36" s="331"/>
      <c r="AE36" s="331"/>
      <c r="AF36" s="331"/>
      <c r="AG36" s="331"/>
      <c r="AH36" s="331"/>
      <c r="AI36" s="331"/>
      <c r="AJ36" s="331"/>
    </row>
    <row r="37" spans="1:36" s="330" customFormat="1" ht="12.75">
      <c r="A37" s="331"/>
      <c r="B37" s="432" t="s">
        <v>77</v>
      </c>
      <c r="C37" s="350" t="s">
        <v>146</v>
      </c>
      <c r="D37" s="348"/>
      <c r="E37" s="537">
        <f t="shared" si="9"/>
        <v>181099.2803252253</v>
      </c>
      <c r="F37" s="374">
        <f t="shared" si="0"/>
        <v>2101.1465460772383</v>
      </c>
      <c r="G37" s="374">
        <f t="shared" si="1"/>
        <v>14004.438433619713</v>
      </c>
      <c r="H37" s="374">
        <f t="shared" si="2"/>
        <v>586.0370930634886</v>
      </c>
      <c r="I37" s="409">
        <f t="shared" si="3"/>
        <v>0</v>
      </c>
      <c r="J37" s="537">
        <f t="shared" si="4"/>
        <v>726038424.3012115</v>
      </c>
      <c r="K37" s="375">
        <f t="shared" si="5"/>
        <v>7604313.590570001</v>
      </c>
      <c r="L37" s="375">
        <f t="shared" si="6"/>
        <v>31168072.717928678</v>
      </c>
      <c r="M37" s="374">
        <f t="shared" si="7"/>
        <v>2367591.535155085</v>
      </c>
      <c r="N37" s="410">
        <f t="shared" si="8"/>
        <v>0</v>
      </c>
      <c r="Q37" s="406"/>
      <c r="R37" s="406"/>
      <c r="S37" s="408"/>
      <c r="T37" s="408"/>
      <c r="U37" s="407"/>
      <c r="V37" s="332"/>
      <c r="W37" s="332"/>
      <c r="X37" s="331"/>
      <c r="Y37" s="331"/>
      <c r="Z37" s="331"/>
      <c r="AA37" s="331"/>
      <c r="AB37" s="331"/>
      <c r="AC37" s="331"/>
      <c r="AD37" s="331"/>
      <c r="AE37" s="331"/>
      <c r="AF37" s="331"/>
      <c r="AG37" s="331"/>
      <c r="AH37" s="331"/>
      <c r="AI37" s="331"/>
      <c r="AJ37" s="331"/>
    </row>
    <row r="38" spans="1:36" s="330" customFormat="1" ht="12.75">
      <c r="A38" s="331"/>
      <c r="B38" s="432" t="s">
        <v>78</v>
      </c>
      <c r="C38" s="350" t="s">
        <v>147</v>
      </c>
      <c r="D38" s="348"/>
      <c r="E38" s="537">
        <f t="shared" si="9"/>
        <v>172623.71797021996</v>
      </c>
      <c r="F38" s="374">
        <f t="shared" si="0"/>
        <v>1456.241723960691</v>
      </c>
      <c r="G38" s="374">
        <f t="shared" si="1"/>
        <v>43289.22016837532</v>
      </c>
      <c r="H38" s="374">
        <f t="shared" si="2"/>
        <v>13489.907897858257</v>
      </c>
      <c r="I38" s="409">
        <f t="shared" si="3"/>
        <v>109.73551340451604</v>
      </c>
      <c r="J38" s="537">
        <f t="shared" si="4"/>
        <v>699212916.2819012</v>
      </c>
      <c r="K38" s="375">
        <f t="shared" si="5"/>
        <v>5270321.936060855</v>
      </c>
      <c r="L38" s="375">
        <f t="shared" si="6"/>
        <v>96343853.30805512</v>
      </c>
      <c r="M38" s="374">
        <f t="shared" si="7"/>
        <v>54499266.56013027</v>
      </c>
      <c r="N38" s="410">
        <f t="shared" si="8"/>
        <v>255808.47330916717</v>
      </c>
      <c r="Q38" s="406"/>
      <c r="R38" s="406"/>
      <c r="S38" s="408"/>
      <c r="T38" s="408"/>
      <c r="U38" s="407"/>
      <c r="V38" s="332"/>
      <c r="W38" s="332"/>
      <c r="X38" s="331"/>
      <c r="Y38" s="331"/>
      <c r="Z38" s="331"/>
      <c r="AA38" s="331"/>
      <c r="AB38" s="331"/>
      <c r="AC38" s="331"/>
      <c r="AD38" s="331"/>
      <c r="AE38" s="331"/>
      <c r="AF38" s="331"/>
      <c r="AG38" s="331"/>
      <c r="AH38" s="331"/>
      <c r="AI38" s="331"/>
      <c r="AJ38" s="331"/>
    </row>
    <row r="39" spans="1:36" s="330" customFormat="1" ht="12.75">
      <c r="A39" s="331"/>
      <c r="B39" s="432" t="s">
        <v>79</v>
      </c>
      <c r="C39" s="350" t="s">
        <v>148</v>
      </c>
      <c r="D39" s="348"/>
      <c r="E39" s="537">
        <f t="shared" si="9"/>
        <v>261642.0080802897</v>
      </c>
      <c r="F39" s="374">
        <f t="shared" si="0"/>
        <v>2974.162546482167</v>
      </c>
      <c r="G39" s="374">
        <f t="shared" si="1"/>
        <v>69016.50760137245</v>
      </c>
      <c r="H39" s="374">
        <f t="shared" si="2"/>
        <v>0</v>
      </c>
      <c r="I39" s="409">
        <f t="shared" si="3"/>
        <v>1740.4499974328698</v>
      </c>
      <c r="J39" s="537">
        <f t="shared" si="4"/>
        <v>1056463686.7590213</v>
      </c>
      <c r="K39" s="375">
        <f t="shared" si="5"/>
        <v>10763868.286580348</v>
      </c>
      <c r="L39" s="375">
        <f t="shared" si="6"/>
        <v>153602126.77239484</v>
      </c>
      <c r="M39" s="374">
        <f>AN54</f>
        <v>0</v>
      </c>
      <c r="N39" s="410">
        <f t="shared" si="8"/>
        <v>6764097.782431014</v>
      </c>
      <c r="Q39" s="406"/>
      <c r="R39" s="406"/>
      <c r="S39" s="408"/>
      <c r="T39" s="408"/>
      <c r="U39" s="407"/>
      <c r="V39" s="332"/>
      <c r="W39" s="332"/>
      <c r="X39" s="331"/>
      <c r="Y39" s="331"/>
      <c r="Z39" s="331"/>
      <c r="AA39" s="331"/>
      <c r="AB39" s="331"/>
      <c r="AC39" s="331"/>
      <c r="AD39" s="331"/>
      <c r="AE39" s="331"/>
      <c r="AF39" s="331"/>
      <c r="AG39" s="331"/>
      <c r="AH39" s="331"/>
      <c r="AI39" s="331"/>
      <c r="AJ39" s="331"/>
    </row>
    <row r="40" spans="1:36" s="330" customFormat="1" ht="13.5" thickBot="1">
      <c r="A40" s="331"/>
      <c r="B40" s="463" t="s">
        <v>321</v>
      </c>
      <c r="C40" s="381"/>
      <c r="D40" s="418"/>
      <c r="E40" s="538"/>
      <c r="F40" s="451"/>
      <c r="G40" s="374">
        <f t="shared" si="1"/>
        <v>47027.228152799995</v>
      </c>
      <c r="H40" s="451"/>
      <c r="I40" s="459"/>
      <c r="J40" s="538"/>
      <c r="K40" s="451"/>
      <c r="L40" s="375">
        <f t="shared" si="6"/>
        <v>52551435</v>
      </c>
      <c r="M40" s="458"/>
      <c r="N40" s="459"/>
      <c r="Q40" s="406"/>
      <c r="R40" s="406"/>
      <c r="S40" s="408"/>
      <c r="T40" s="408"/>
      <c r="U40" s="407"/>
      <c r="V40" s="332"/>
      <c r="W40" s="332"/>
      <c r="X40" s="331"/>
      <c r="Y40" s="331"/>
      <c r="Z40" s="331"/>
      <c r="AA40" s="331"/>
      <c r="AB40" s="331"/>
      <c r="AC40" s="331"/>
      <c r="AD40" s="331"/>
      <c r="AE40" s="331"/>
      <c r="AF40" s="331"/>
      <c r="AG40" s="331"/>
      <c r="AH40" s="331"/>
      <c r="AI40" s="331"/>
      <c r="AJ40" s="331"/>
    </row>
    <row r="41" spans="2:20" ht="13.5" thickBot="1">
      <c r="B41" s="428" t="s">
        <v>166</v>
      </c>
      <c r="C41" s="731"/>
      <c r="D41" s="732"/>
      <c r="E41" s="514">
        <f>SUM(E7:E39)</f>
        <v>6620218.824814172</v>
      </c>
      <c r="F41" s="368">
        <f>SUM(F7:F39)</f>
        <v>83949.8081872745</v>
      </c>
      <c r="G41" s="368">
        <f>SUM(G7:G40)</f>
        <v>908291.24530733</v>
      </c>
      <c r="H41" s="368">
        <f>SUM(H7:H39)</f>
        <v>930932.3631272074</v>
      </c>
      <c r="I41" s="367">
        <f>SUM(I7:I39)</f>
        <v>31205.121066773823</v>
      </c>
      <c r="J41" s="514">
        <f>SUM(J7:J39)</f>
        <v>26608886927.364105</v>
      </c>
      <c r="K41" s="368">
        <f>SUM(K7:K39)</f>
        <v>303824913.3626918</v>
      </c>
      <c r="L41" s="368">
        <f>SUM(L7:L40)</f>
        <v>1969367995.9243531</v>
      </c>
      <c r="M41" s="368">
        <f>SUM(M7:M39)</f>
        <v>3762088242.593628</v>
      </c>
      <c r="N41" s="367">
        <f>SUM(N7:N39)</f>
        <v>78262309.33178034</v>
      </c>
      <c r="Q41" s="406"/>
      <c r="R41" s="406"/>
      <c r="S41" s="406"/>
      <c r="T41" s="406"/>
    </row>
    <row r="42" spans="7:20" ht="12.75">
      <c r="G42" s="343"/>
      <c r="H42" s="343"/>
      <c r="M42" s="343"/>
      <c r="R42" s="437"/>
      <c r="S42" s="437"/>
      <c r="T42" s="437"/>
    </row>
    <row r="43" spans="2:3" ht="21">
      <c r="B43" s="267" t="s">
        <v>261</v>
      </c>
      <c r="C43" s="365" t="s">
        <v>381</v>
      </c>
    </row>
    <row r="44" ht="13.5" thickBot="1"/>
    <row r="45" spans="2:44" ht="12.75">
      <c r="B45" s="716" t="s">
        <v>111</v>
      </c>
      <c r="C45" s="719" t="s">
        <v>112</v>
      </c>
      <c r="D45" s="719" t="s">
        <v>113</v>
      </c>
      <c r="E45" s="701" t="s">
        <v>313</v>
      </c>
      <c r="F45" s="702"/>
      <c r="G45" s="702"/>
      <c r="H45" s="702"/>
      <c r="I45" s="702"/>
      <c r="J45" s="702"/>
      <c r="K45" s="702"/>
      <c r="L45" s="702"/>
      <c r="M45" s="702"/>
      <c r="N45" s="702"/>
      <c r="O45" s="702"/>
      <c r="P45" s="702"/>
      <c r="Q45" s="702"/>
      <c r="R45" s="702"/>
      <c r="S45" s="702"/>
      <c r="T45" s="702"/>
      <c r="U45" s="702"/>
      <c r="V45" s="702"/>
      <c r="W45" s="702"/>
      <c r="X45" s="702"/>
      <c r="Y45" s="702"/>
      <c r="Z45" s="702"/>
      <c r="AA45" s="702"/>
      <c r="AB45" s="702"/>
      <c r="AC45" s="702"/>
      <c r="AD45" s="702"/>
      <c r="AE45" s="702"/>
      <c r="AF45" s="702"/>
      <c r="AG45" s="702"/>
      <c r="AH45" s="702"/>
      <c r="AI45" s="702"/>
      <c r="AJ45" s="702"/>
      <c r="AK45" s="702"/>
      <c r="AL45" s="702"/>
      <c r="AM45" s="703"/>
      <c r="AN45" s="704" t="s">
        <v>89</v>
      </c>
      <c r="AO45" s="270"/>
      <c r="AP45" s="270"/>
      <c r="AQ45" s="270"/>
      <c r="AR45" s="270"/>
    </row>
    <row r="46" spans="2:40" ht="12.75" customHeight="1">
      <c r="B46" s="717"/>
      <c r="C46" s="720"/>
      <c r="D46" s="720"/>
      <c r="E46" s="699" t="s">
        <v>269</v>
      </c>
      <c r="F46" s="733"/>
      <c r="G46" s="733"/>
      <c r="H46" s="733"/>
      <c r="I46" s="733"/>
      <c r="J46" s="733"/>
      <c r="K46" s="733"/>
      <c r="L46" s="733"/>
      <c r="M46" s="733"/>
      <c r="N46" s="733"/>
      <c r="O46" s="733"/>
      <c r="P46" s="700"/>
      <c r="Q46" s="710" t="s">
        <v>267</v>
      </c>
      <c r="R46" s="711"/>
      <c r="S46" s="711"/>
      <c r="T46" s="711"/>
      <c r="U46" s="711"/>
      <c r="V46" s="711"/>
      <c r="W46" s="711"/>
      <c r="X46" s="711"/>
      <c r="Y46" s="711"/>
      <c r="Z46" s="711"/>
      <c r="AA46" s="753"/>
      <c r="AB46" s="710" t="s">
        <v>270</v>
      </c>
      <c r="AC46" s="711"/>
      <c r="AD46" s="710" t="s">
        <v>275</v>
      </c>
      <c r="AE46" s="711"/>
      <c r="AF46" s="710" t="s">
        <v>273</v>
      </c>
      <c r="AG46" s="711"/>
      <c r="AH46" s="710" t="s">
        <v>271</v>
      </c>
      <c r="AI46" s="711"/>
      <c r="AJ46" s="710" t="s">
        <v>272</v>
      </c>
      <c r="AK46" s="711"/>
      <c r="AL46" s="710" t="s">
        <v>274</v>
      </c>
      <c r="AM46" s="711"/>
      <c r="AN46" s="705"/>
    </row>
    <row r="47" spans="2:40" ht="12.75">
      <c r="B47" s="717"/>
      <c r="C47" s="720"/>
      <c r="D47" s="720"/>
      <c r="E47" s="472" t="s">
        <v>308</v>
      </c>
      <c r="F47" s="472" t="s">
        <v>309</v>
      </c>
      <c r="G47" s="722" t="s">
        <v>312</v>
      </c>
      <c r="H47" s="722"/>
      <c r="I47" s="722"/>
      <c r="J47" s="722"/>
      <c r="K47" s="712" t="s">
        <v>311</v>
      </c>
      <c r="L47" s="712"/>
      <c r="M47" s="699" t="s">
        <v>310</v>
      </c>
      <c r="N47" s="733"/>
      <c r="O47" s="733"/>
      <c r="P47" s="700"/>
      <c r="Q47" s="472" t="s">
        <v>308</v>
      </c>
      <c r="R47" s="472" t="s">
        <v>309</v>
      </c>
      <c r="S47" s="722" t="s">
        <v>312</v>
      </c>
      <c r="T47" s="722"/>
      <c r="U47" s="722"/>
      <c r="V47" s="722"/>
      <c r="W47" s="712" t="s">
        <v>311</v>
      </c>
      <c r="X47" s="712"/>
      <c r="Y47" s="712" t="s">
        <v>310</v>
      </c>
      <c r="Z47" s="712"/>
      <c r="AA47" s="712"/>
      <c r="AB47" s="472" t="s">
        <v>308</v>
      </c>
      <c r="AC47" s="472" t="s">
        <v>309</v>
      </c>
      <c r="AD47" s="472" t="s">
        <v>308</v>
      </c>
      <c r="AE47" s="472" t="s">
        <v>309</v>
      </c>
      <c r="AF47" s="472" t="s">
        <v>308</v>
      </c>
      <c r="AG47" s="472" t="s">
        <v>309</v>
      </c>
      <c r="AH47" s="472" t="s">
        <v>308</v>
      </c>
      <c r="AI47" s="472" t="s">
        <v>309</v>
      </c>
      <c r="AJ47" s="472" t="s">
        <v>308</v>
      </c>
      <c r="AK47" s="472" t="s">
        <v>309</v>
      </c>
      <c r="AL47" s="472" t="s">
        <v>308</v>
      </c>
      <c r="AM47" s="469" t="s">
        <v>309</v>
      </c>
      <c r="AN47" s="706"/>
    </row>
    <row r="48" spans="1:40" s="270" customFormat="1" ht="25.5">
      <c r="A48" s="420"/>
      <c r="B48" s="718"/>
      <c r="C48" s="721"/>
      <c r="D48" s="721"/>
      <c r="E48" s="401" t="s">
        <v>299</v>
      </c>
      <c r="F48" s="401" t="s">
        <v>299</v>
      </c>
      <c r="G48" s="402" t="s">
        <v>305</v>
      </c>
      <c r="H48" s="402" t="s">
        <v>337</v>
      </c>
      <c r="I48" s="402" t="s">
        <v>303</v>
      </c>
      <c r="J48" s="402" t="s">
        <v>302</v>
      </c>
      <c r="K48" s="403" t="s">
        <v>301</v>
      </c>
      <c r="L48" s="402" t="s">
        <v>300</v>
      </c>
      <c r="M48" s="401" t="s">
        <v>391</v>
      </c>
      <c r="N48" s="400" t="s">
        <v>392</v>
      </c>
      <c r="O48" s="401" t="s">
        <v>393</v>
      </c>
      <c r="P48" s="401" t="s">
        <v>394</v>
      </c>
      <c r="Q48" s="400" t="s">
        <v>299</v>
      </c>
      <c r="R48" s="400" t="s">
        <v>299</v>
      </c>
      <c r="S48" s="402" t="s">
        <v>305</v>
      </c>
      <c r="T48" s="402" t="s">
        <v>304</v>
      </c>
      <c r="U48" s="402" t="s">
        <v>303</v>
      </c>
      <c r="V48" s="402" t="s">
        <v>302</v>
      </c>
      <c r="W48" s="402" t="s">
        <v>301</v>
      </c>
      <c r="X48" s="402" t="s">
        <v>300</v>
      </c>
      <c r="Y48" s="400" t="s">
        <v>395</v>
      </c>
      <c r="Z48" s="400" t="s">
        <v>396</v>
      </c>
      <c r="AA48" s="400" t="s">
        <v>397</v>
      </c>
      <c r="AB48" s="438" t="s">
        <v>299</v>
      </c>
      <c r="AC48" s="401" t="s">
        <v>299</v>
      </c>
      <c r="AD48" s="401" t="s">
        <v>299</v>
      </c>
      <c r="AE48" s="401" t="s">
        <v>299</v>
      </c>
      <c r="AF48" s="401" t="s">
        <v>299</v>
      </c>
      <c r="AG48" s="401" t="s">
        <v>299</v>
      </c>
      <c r="AH48" s="401" t="s">
        <v>299</v>
      </c>
      <c r="AI48" s="401" t="s">
        <v>299</v>
      </c>
      <c r="AJ48" s="401" t="s">
        <v>299</v>
      </c>
      <c r="AK48" s="401" t="s">
        <v>299</v>
      </c>
      <c r="AL48" s="401" t="s">
        <v>299</v>
      </c>
      <c r="AM48" s="401" t="s">
        <v>299</v>
      </c>
      <c r="AN48" s="447" t="s">
        <v>3</v>
      </c>
    </row>
    <row r="49" spans="1:40" ht="12.75">
      <c r="A49" s="329"/>
      <c r="B49" s="432" t="s">
        <v>46</v>
      </c>
      <c r="C49" s="350" t="s">
        <v>114</v>
      </c>
      <c r="D49" s="348"/>
      <c r="E49" s="397">
        <v>0</v>
      </c>
      <c r="F49" s="397">
        <v>0</v>
      </c>
      <c r="G49" s="397">
        <v>0</v>
      </c>
      <c r="H49" s="398">
        <v>0</v>
      </c>
      <c r="I49" s="397">
        <v>0</v>
      </c>
      <c r="J49" s="397">
        <v>0</v>
      </c>
      <c r="K49" s="397">
        <v>0</v>
      </c>
      <c r="L49" s="398">
        <v>0</v>
      </c>
      <c r="M49" s="397">
        <v>0</v>
      </c>
      <c r="N49" s="397">
        <v>0</v>
      </c>
      <c r="O49" s="398">
        <v>0</v>
      </c>
      <c r="P49" s="398">
        <v>0</v>
      </c>
      <c r="Q49" s="398">
        <v>0</v>
      </c>
      <c r="R49" s="398">
        <v>0</v>
      </c>
      <c r="S49" s="398">
        <v>0</v>
      </c>
      <c r="T49" s="372">
        <v>0</v>
      </c>
      <c r="U49" s="372">
        <v>0</v>
      </c>
      <c r="V49" s="372">
        <v>0</v>
      </c>
      <c r="W49" s="372">
        <v>0</v>
      </c>
      <c r="X49" s="372">
        <v>0</v>
      </c>
      <c r="Y49" s="372">
        <v>0</v>
      </c>
      <c r="Z49" s="372">
        <v>0</v>
      </c>
      <c r="AA49" s="372">
        <v>0</v>
      </c>
      <c r="AB49" s="442">
        <v>0</v>
      </c>
      <c r="AC49" s="442">
        <v>0</v>
      </c>
      <c r="AD49" s="442">
        <v>0</v>
      </c>
      <c r="AE49" s="442">
        <v>0</v>
      </c>
      <c r="AF49" s="442">
        <v>0</v>
      </c>
      <c r="AG49" s="442">
        <v>0</v>
      </c>
      <c r="AH49" s="442">
        <v>0</v>
      </c>
      <c r="AI49" s="442">
        <v>0</v>
      </c>
      <c r="AJ49" s="442">
        <v>0</v>
      </c>
      <c r="AK49" s="442">
        <v>0</v>
      </c>
      <c r="AL49" s="442">
        <v>0</v>
      </c>
      <c r="AM49" s="396">
        <v>0</v>
      </c>
      <c r="AN49" s="382">
        <f>((E49+F49+Q49+R49+SUM(AB49:AM49))*$C$298)+((G49+S49)*$C$295)+((H49+T49)*$C$296)+((I49+U49)*$C$297)+((J49+V49)*$C$294)+((K49+W49)*$C$291)+((L49+X49)*$C$290)</f>
        <v>0</v>
      </c>
    </row>
    <row r="50" spans="1:40" ht="12.75">
      <c r="A50" s="329"/>
      <c r="B50" s="432" t="s">
        <v>47</v>
      </c>
      <c r="C50" s="350" t="s">
        <v>115</v>
      </c>
      <c r="D50" s="348"/>
      <c r="E50" s="397">
        <v>0</v>
      </c>
      <c r="F50" s="397">
        <v>6.9869542306002295</v>
      </c>
      <c r="G50" s="397">
        <v>0</v>
      </c>
      <c r="H50" s="398">
        <v>0</v>
      </c>
      <c r="I50" s="397">
        <v>0</v>
      </c>
      <c r="J50" s="397">
        <v>0</v>
      </c>
      <c r="K50" s="397">
        <v>0</v>
      </c>
      <c r="L50" s="398">
        <v>0</v>
      </c>
      <c r="M50" s="397">
        <v>0</v>
      </c>
      <c r="N50" s="397">
        <v>0</v>
      </c>
      <c r="O50" s="398">
        <v>0</v>
      </c>
      <c r="P50" s="398">
        <v>0</v>
      </c>
      <c r="Q50" s="398">
        <v>0</v>
      </c>
      <c r="R50" s="398">
        <v>0</v>
      </c>
      <c r="S50" s="398">
        <v>0</v>
      </c>
      <c r="T50" s="372">
        <v>0</v>
      </c>
      <c r="U50" s="372">
        <v>0</v>
      </c>
      <c r="V50" s="372">
        <v>0</v>
      </c>
      <c r="W50" s="372">
        <v>0</v>
      </c>
      <c r="X50" s="372">
        <v>0</v>
      </c>
      <c r="Y50" s="372">
        <v>0</v>
      </c>
      <c r="Z50" s="372">
        <v>0</v>
      </c>
      <c r="AA50" s="372">
        <v>0</v>
      </c>
      <c r="AB50" s="372">
        <v>0</v>
      </c>
      <c r="AC50" s="372">
        <v>0</v>
      </c>
      <c r="AD50" s="372">
        <v>0</v>
      </c>
      <c r="AE50" s="372">
        <v>0</v>
      </c>
      <c r="AF50" s="372">
        <v>0</v>
      </c>
      <c r="AG50" s="443">
        <v>64.31867418041108</v>
      </c>
      <c r="AH50" s="372">
        <v>0</v>
      </c>
      <c r="AI50" s="372">
        <v>0</v>
      </c>
      <c r="AJ50" s="372">
        <v>0</v>
      </c>
      <c r="AK50" s="372">
        <v>0</v>
      </c>
      <c r="AL50" s="372">
        <v>0</v>
      </c>
      <c r="AM50" s="396">
        <v>0</v>
      </c>
      <c r="AN50" s="382">
        <f aca="true" t="shared" si="10" ref="AN50:AN81">((E50+F50+Q50+R50+SUM(AB50:AM50))*$C$298)+((G50+S50)*$C$295)+((H50+T50)*$C$296)+((I50+U50)*$C$297)+((J50+V50)*$C$294)+((K50+W50)*$C$291)+((L50+X50)*$C$290)</f>
        <v>916419.9363383173</v>
      </c>
    </row>
    <row r="51" spans="1:40" ht="12.75">
      <c r="A51" s="329"/>
      <c r="B51" s="432" t="s">
        <v>48</v>
      </c>
      <c r="C51" s="350" t="s">
        <v>118</v>
      </c>
      <c r="D51" s="348"/>
      <c r="E51" s="397">
        <v>0</v>
      </c>
      <c r="F51" s="397">
        <v>0</v>
      </c>
      <c r="G51" s="397">
        <v>0</v>
      </c>
      <c r="H51" s="398">
        <v>0</v>
      </c>
      <c r="I51" s="397">
        <v>0</v>
      </c>
      <c r="J51" s="397">
        <v>0</v>
      </c>
      <c r="K51" s="397">
        <v>0</v>
      </c>
      <c r="L51" s="398">
        <v>0</v>
      </c>
      <c r="M51" s="397">
        <v>0</v>
      </c>
      <c r="N51" s="397">
        <v>0</v>
      </c>
      <c r="O51" s="398">
        <v>0</v>
      </c>
      <c r="P51" s="398">
        <v>0</v>
      </c>
      <c r="Q51" s="398">
        <v>0</v>
      </c>
      <c r="R51" s="398">
        <v>2545.5486771754668</v>
      </c>
      <c r="S51" s="398">
        <v>0</v>
      </c>
      <c r="T51" s="372">
        <v>0</v>
      </c>
      <c r="U51" s="372">
        <v>0</v>
      </c>
      <c r="V51" s="372">
        <v>0</v>
      </c>
      <c r="W51" s="372">
        <v>0</v>
      </c>
      <c r="X51" s="372">
        <v>0</v>
      </c>
      <c r="Y51" s="372">
        <v>0</v>
      </c>
      <c r="Z51" s="372">
        <v>0</v>
      </c>
      <c r="AA51" s="372">
        <v>0</v>
      </c>
      <c r="AB51" s="372">
        <v>0</v>
      </c>
      <c r="AC51" s="372">
        <v>0</v>
      </c>
      <c r="AD51" s="372">
        <v>0</v>
      </c>
      <c r="AE51" s="443">
        <v>41.72368430696166</v>
      </c>
      <c r="AF51" s="372">
        <v>0</v>
      </c>
      <c r="AG51" s="372">
        <v>0</v>
      </c>
      <c r="AH51" s="372">
        <v>0</v>
      </c>
      <c r="AI51" s="372">
        <v>0</v>
      </c>
      <c r="AJ51" s="372">
        <v>0</v>
      </c>
      <c r="AK51" s="372">
        <v>0</v>
      </c>
      <c r="AL51" s="372">
        <v>0</v>
      </c>
      <c r="AM51" s="396">
        <v>0</v>
      </c>
      <c r="AN51" s="382">
        <f t="shared" si="10"/>
        <v>33251624.389772173</v>
      </c>
    </row>
    <row r="52" spans="1:40" ht="12.75">
      <c r="A52" s="329"/>
      <c r="B52" s="432" t="s">
        <v>49</v>
      </c>
      <c r="C52" s="350" t="s">
        <v>119</v>
      </c>
      <c r="D52" s="348"/>
      <c r="E52" s="397">
        <v>0</v>
      </c>
      <c r="F52" s="397">
        <v>43.79394397900561</v>
      </c>
      <c r="G52" s="397">
        <v>0</v>
      </c>
      <c r="H52" s="398">
        <v>0</v>
      </c>
      <c r="I52" s="397">
        <v>0</v>
      </c>
      <c r="J52" s="397">
        <v>0</v>
      </c>
      <c r="K52" s="397">
        <v>0</v>
      </c>
      <c r="L52" s="398">
        <v>0</v>
      </c>
      <c r="M52" s="397">
        <v>0</v>
      </c>
      <c r="N52" s="397">
        <v>0</v>
      </c>
      <c r="O52" s="398">
        <v>0</v>
      </c>
      <c r="P52" s="398">
        <v>0</v>
      </c>
      <c r="Q52" s="398">
        <v>0</v>
      </c>
      <c r="R52" s="398">
        <v>0</v>
      </c>
      <c r="S52" s="398">
        <v>0</v>
      </c>
      <c r="T52" s="372">
        <v>0</v>
      </c>
      <c r="U52" s="372">
        <v>0</v>
      </c>
      <c r="V52" s="372">
        <v>0</v>
      </c>
      <c r="W52" s="372">
        <v>0</v>
      </c>
      <c r="X52" s="372">
        <v>0</v>
      </c>
      <c r="Y52" s="372">
        <v>0</v>
      </c>
      <c r="Z52" s="372">
        <v>0</v>
      </c>
      <c r="AA52" s="372">
        <v>0</v>
      </c>
      <c r="AB52" s="372">
        <v>0</v>
      </c>
      <c r="AC52" s="372">
        <v>0</v>
      </c>
      <c r="AD52" s="372">
        <v>0</v>
      </c>
      <c r="AE52" s="372">
        <v>0</v>
      </c>
      <c r="AF52" s="372">
        <v>0</v>
      </c>
      <c r="AG52" s="443">
        <v>61.35816861269264</v>
      </c>
      <c r="AH52" s="372">
        <v>0</v>
      </c>
      <c r="AI52" s="372">
        <v>0</v>
      </c>
      <c r="AJ52" s="372">
        <v>0</v>
      </c>
      <c r="AK52" s="372">
        <v>0</v>
      </c>
      <c r="AL52" s="372">
        <v>0</v>
      </c>
      <c r="AM52" s="396">
        <v>0</v>
      </c>
      <c r="AN52" s="382">
        <f t="shared" si="10"/>
        <v>1351414.951028506</v>
      </c>
    </row>
    <row r="53" spans="1:40" ht="12.75">
      <c r="A53" s="329"/>
      <c r="B53" s="432" t="s">
        <v>50</v>
      </c>
      <c r="C53" s="350" t="s">
        <v>120</v>
      </c>
      <c r="D53" s="348"/>
      <c r="E53" s="397">
        <v>0</v>
      </c>
      <c r="F53" s="397">
        <v>0</v>
      </c>
      <c r="G53" s="397">
        <v>0</v>
      </c>
      <c r="H53" s="398">
        <v>0</v>
      </c>
      <c r="I53" s="397">
        <v>0</v>
      </c>
      <c r="J53" s="397">
        <v>0</v>
      </c>
      <c r="K53" s="397">
        <v>0</v>
      </c>
      <c r="L53" s="398">
        <v>0</v>
      </c>
      <c r="M53" s="397">
        <v>0</v>
      </c>
      <c r="N53" s="397">
        <v>0</v>
      </c>
      <c r="O53" s="398">
        <v>0</v>
      </c>
      <c r="P53" s="398">
        <v>0</v>
      </c>
      <c r="Q53" s="398">
        <v>0</v>
      </c>
      <c r="R53" s="398">
        <v>0</v>
      </c>
      <c r="S53" s="398">
        <v>0</v>
      </c>
      <c r="T53" s="372">
        <v>0</v>
      </c>
      <c r="U53" s="372">
        <v>0</v>
      </c>
      <c r="V53" s="372">
        <v>0</v>
      </c>
      <c r="W53" s="372">
        <v>0</v>
      </c>
      <c r="X53" s="372">
        <v>0</v>
      </c>
      <c r="Y53" s="372">
        <v>0</v>
      </c>
      <c r="Z53" s="372">
        <v>0</v>
      </c>
      <c r="AA53" s="372">
        <v>0</v>
      </c>
      <c r="AB53" s="372">
        <v>0</v>
      </c>
      <c r="AC53" s="372">
        <v>0</v>
      </c>
      <c r="AD53" s="443">
        <v>247.55120782945338</v>
      </c>
      <c r="AE53" s="443">
        <v>195.90027057269515</v>
      </c>
      <c r="AF53" s="372">
        <v>0</v>
      </c>
      <c r="AG53" s="372">
        <v>0</v>
      </c>
      <c r="AH53" s="372">
        <v>0</v>
      </c>
      <c r="AI53" s="372">
        <v>0</v>
      </c>
      <c r="AJ53" s="372">
        <v>0</v>
      </c>
      <c r="AK53" s="372">
        <v>0</v>
      </c>
      <c r="AL53" s="372">
        <v>0</v>
      </c>
      <c r="AM53" s="396">
        <v>0</v>
      </c>
      <c r="AN53" s="382">
        <f t="shared" si="10"/>
        <v>5699238.400424412</v>
      </c>
    </row>
    <row r="54" spans="1:40" ht="12.75">
      <c r="A54" s="329"/>
      <c r="B54" s="432" t="s">
        <v>51</v>
      </c>
      <c r="C54" s="350" t="s">
        <v>121</v>
      </c>
      <c r="D54" s="348"/>
      <c r="E54" s="397">
        <v>0</v>
      </c>
      <c r="F54" s="397">
        <v>0</v>
      </c>
      <c r="G54" s="397">
        <v>0</v>
      </c>
      <c r="H54" s="398">
        <v>0</v>
      </c>
      <c r="I54" s="397">
        <v>0</v>
      </c>
      <c r="J54" s="397">
        <v>0</v>
      </c>
      <c r="K54" s="397">
        <v>0</v>
      </c>
      <c r="L54" s="398">
        <v>0</v>
      </c>
      <c r="M54" s="397">
        <v>0</v>
      </c>
      <c r="N54" s="397">
        <v>0</v>
      </c>
      <c r="O54" s="398">
        <v>0</v>
      </c>
      <c r="P54" s="398">
        <v>0</v>
      </c>
      <c r="Q54" s="398">
        <v>0</v>
      </c>
      <c r="R54" s="398">
        <v>0</v>
      </c>
      <c r="S54" s="398">
        <v>0</v>
      </c>
      <c r="T54" s="372">
        <v>0</v>
      </c>
      <c r="U54" s="372">
        <v>0</v>
      </c>
      <c r="V54" s="372">
        <v>0</v>
      </c>
      <c r="W54" s="372">
        <v>0</v>
      </c>
      <c r="X54" s="372">
        <v>0</v>
      </c>
      <c r="Y54" s="372">
        <v>0</v>
      </c>
      <c r="Z54" s="372">
        <v>0</v>
      </c>
      <c r="AA54" s="372">
        <v>0</v>
      </c>
      <c r="AB54" s="372">
        <v>0</v>
      </c>
      <c r="AC54" s="372">
        <v>0</v>
      </c>
      <c r="AD54" s="372">
        <v>0</v>
      </c>
      <c r="AE54" s="372">
        <v>0</v>
      </c>
      <c r="AF54" s="372">
        <v>0</v>
      </c>
      <c r="AG54" s="372">
        <v>0</v>
      </c>
      <c r="AH54" s="372">
        <v>0</v>
      </c>
      <c r="AI54" s="372">
        <v>0</v>
      </c>
      <c r="AJ54" s="372">
        <v>0</v>
      </c>
      <c r="AK54" s="372">
        <v>0</v>
      </c>
      <c r="AL54" s="372">
        <v>0</v>
      </c>
      <c r="AM54" s="396">
        <v>0</v>
      </c>
      <c r="AN54" s="382">
        <f t="shared" si="10"/>
        <v>0</v>
      </c>
    </row>
    <row r="55" spans="1:40" ht="12.75">
      <c r="A55" s="329"/>
      <c r="B55" s="432" t="s">
        <v>52</v>
      </c>
      <c r="C55" s="350" t="s">
        <v>122</v>
      </c>
      <c r="D55" s="348"/>
      <c r="E55" s="397">
        <v>0</v>
      </c>
      <c r="F55" s="397">
        <v>0</v>
      </c>
      <c r="G55" s="397">
        <v>0</v>
      </c>
      <c r="H55" s="398">
        <v>0</v>
      </c>
      <c r="I55" s="397">
        <v>0</v>
      </c>
      <c r="J55" s="397">
        <v>0</v>
      </c>
      <c r="K55" s="397">
        <v>0</v>
      </c>
      <c r="L55" s="398">
        <v>0</v>
      </c>
      <c r="M55" s="397">
        <v>0</v>
      </c>
      <c r="N55" s="397">
        <v>0</v>
      </c>
      <c r="O55" s="398">
        <v>0</v>
      </c>
      <c r="P55" s="398">
        <v>0</v>
      </c>
      <c r="Q55" s="398">
        <v>0</v>
      </c>
      <c r="R55" s="398">
        <v>401.5290555301749</v>
      </c>
      <c r="S55" s="398">
        <v>0</v>
      </c>
      <c r="T55" s="372">
        <v>0</v>
      </c>
      <c r="U55" s="372">
        <v>0</v>
      </c>
      <c r="V55" s="372">
        <v>0</v>
      </c>
      <c r="W55" s="372">
        <v>0</v>
      </c>
      <c r="X55" s="372">
        <v>0</v>
      </c>
      <c r="Y55" s="372">
        <v>0</v>
      </c>
      <c r="Z55" s="372">
        <v>0</v>
      </c>
      <c r="AA55" s="372">
        <v>0</v>
      </c>
      <c r="AB55" s="372">
        <v>0</v>
      </c>
      <c r="AC55" s="372">
        <v>0</v>
      </c>
      <c r="AD55" s="372">
        <v>0</v>
      </c>
      <c r="AE55" s="372">
        <v>0</v>
      </c>
      <c r="AF55" s="372">
        <v>0</v>
      </c>
      <c r="AG55" s="372">
        <v>0</v>
      </c>
      <c r="AH55" s="372">
        <v>0</v>
      </c>
      <c r="AI55" s="372">
        <v>0</v>
      </c>
      <c r="AJ55" s="372">
        <v>0</v>
      </c>
      <c r="AK55" s="372">
        <v>0</v>
      </c>
      <c r="AL55" s="372">
        <v>0</v>
      </c>
      <c r="AM55" s="396">
        <v>0</v>
      </c>
      <c r="AN55" s="382">
        <f t="shared" si="10"/>
        <v>5160451.421673808</v>
      </c>
    </row>
    <row r="56" spans="1:40" ht="12.75">
      <c r="A56" s="329"/>
      <c r="B56" s="432" t="s">
        <v>53</v>
      </c>
      <c r="C56" s="350" t="s">
        <v>123</v>
      </c>
      <c r="D56" s="348"/>
      <c r="E56" s="397">
        <v>0</v>
      </c>
      <c r="F56" s="397">
        <v>0</v>
      </c>
      <c r="G56" s="397">
        <v>0</v>
      </c>
      <c r="H56" s="398">
        <v>0</v>
      </c>
      <c r="I56" s="397">
        <v>0</v>
      </c>
      <c r="J56" s="397">
        <v>0</v>
      </c>
      <c r="K56" s="397">
        <v>0</v>
      </c>
      <c r="L56" s="398">
        <v>0</v>
      </c>
      <c r="M56" s="397">
        <v>0</v>
      </c>
      <c r="N56" s="397">
        <v>0</v>
      </c>
      <c r="O56" s="398">
        <v>0</v>
      </c>
      <c r="P56" s="398">
        <v>0</v>
      </c>
      <c r="Q56" s="398">
        <v>0</v>
      </c>
      <c r="R56" s="398">
        <v>0</v>
      </c>
      <c r="S56" s="398">
        <v>0</v>
      </c>
      <c r="T56" s="372">
        <v>0</v>
      </c>
      <c r="U56" s="372">
        <v>0</v>
      </c>
      <c r="V56" s="372">
        <v>0</v>
      </c>
      <c r="W56" s="372">
        <v>0</v>
      </c>
      <c r="X56" s="372">
        <v>0</v>
      </c>
      <c r="Y56" s="372">
        <v>0</v>
      </c>
      <c r="Z56" s="372">
        <v>0</v>
      </c>
      <c r="AA56" s="372">
        <v>0</v>
      </c>
      <c r="AB56" s="372">
        <v>0</v>
      </c>
      <c r="AC56" s="372">
        <v>0</v>
      </c>
      <c r="AD56" s="443">
        <v>0.6880915435216027</v>
      </c>
      <c r="AE56" s="443">
        <v>88.26144663343769</v>
      </c>
      <c r="AF56" s="372">
        <v>0</v>
      </c>
      <c r="AG56" s="372">
        <v>0</v>
      </c>
      <c r="AH56" s="372">
        <v>0</v>
      </c>
      <c r="AI56" s="372">
        <v>0</v>
      </c>
      <c r="AJ56" s="372">
        <v>0</v>
      </c>
      <c r="AK56" s="372">
        <v>0</v>
      </c>
      <c r="AL56" s="372">
        <v>0</v>
      </c>
      <c r="AM56" s="396">
        <v>0</v>
      </c>
      <c r="AN56" s="382">
        <f t="shared" si="10"/>
        <v>1143179.4646502808</v>
      </c>
    </row>
    <row r="57" spans="1:40" ht="12.75">
      <c r="A57" s="329"/>
      <c r="B57" s="432" t="s">
        <v>54</v>
      </c>
      <c r="C57" s="350" t="s">
        <v>124</v>
      </c>
      <c r="D57" s="348"/>
      <c r="E57" s="397">
        <v>0</v>
      </c>
      <c r="F57" s="397">
        <v>57.0972379650598</v>
      </c>
      <c r="G57" s="397">
        <v>0</v>
      </c>
      <c r="H57" s="398">
        <v>0</v>
      </c>
      <c r="I57" s="397">
        <v>0</v>
      </c>
      <c r="J57" s="397">
        <v>0</v>
      </c>
      <c r="K57" s="397">
        <v>0</v>
      </c>
      <c r="L57" s="398">
        <v>0</v>
      </c>
      <c r="M57" s="397">
        <v>0</v>
      </c>
      <c r="N57" s="397">
        <v>0</v>
      </c>
      <c r="O57" s="398">
        <v>0</v>
      </c>
      <c r="P57" s="398">
        <v>0</v>
      </c>
      <c r="Q57" s="398">
        <v>0</v>
      </c>
      <c r="R57" s="398">
        <v>0</v>
      </c>
      <c r="S57" s="398">
        <v>0</v>
      </c>
      <c r="T57" s="372">
        <v>0</v>
      </c>
      <c r="U57" s="372">
        <v>0</v>
      </c>
      <c r="V57" s="372">
        <v>0</v>
      </c>
      <c r="W57" s="372">
        <v>0</v>
      </c>
      <c r="X57" s="372">
        <v>0</v>
      </c>
      <c r="Y57" s="372">
        <v>0</v>
      </c>
      <c r="Z57" s="372">
        <v>0</v>
      </c>
      <c r="AA57" s="372">
        <v>0</v>
      </c>
      <c r="AB57" s="372">
        <v>0</v>
      </c>
      <c r="AC57" s="372">
        <v>0</v>
      </c>
      <c r="AD57" s="372">
        <v>0</v>
      </c>
      <c r="AE57" s="372">
        <v>0</v>
      </c>
      <c r="AF57" s="372">
        <v>0</v>
      </c>
      <c r="AG57" s="372">
        <v>0</v>
      </c>
      <c r="AH57" s="372">
        <v>0</v>
      </c>
      <c r="AI57" s="372">
        <v>0</v>
      </c>
      <c r="AJ57" s="372">
        <v>0</v>
      </c>
      <c r="AK57" s="372">
        <v>0</v>
      </c>
      <c r="AL57" s="372">
        <v>0</v>
      </c>
      <c r="AM57" s="396">
        <v>0</v>
      </c>
      <c r="AN57" s="382">
        <f t="shared" si="10"/>
        <v>733813.7023269485</v>
      </c>
    </row>
    <row r="58" spans="1:40" ht="12.75">
      <c r="A58" s="329"/>
      <c r="B58" s="432" t="s">
        <v>55</v>
      </c>
      <c r="C58" s="350" t="s">
        <v>125</v>
      </c>
      <c r="D58" s="348"/>
      <c r="E58" s="397">
        <v>0</v>
      </c>
      <c r="F58" s="397">
        <v>0</v>
      </c>
      <c r="G58" s="397">
        <v>0</v>
      </c>
      <c r="H58" s="398">
        <v>0</v>
      </c>
      <c r="I58" s="397">
        <v>0</v>
      </c>
      <c r="J58" s="397">
        <v>0</v>
      </c>
      <c r="K58" s="397">
        <v>0</v>
      </c>
      <c r="L58" s="398">
        <v>0</v>
      </c>
      <c r="M58" s="397">
        <v>0</v>
      </c>
      <c r="N58" s="397">
        <v>0</v>
      </c>
      <c r="O58" s="398">
        <v>0</v>
      </c>
      <c r="P58" s="398">
        <v>0</v>
      </c>
      <c r="Q58" s="398">
        <v>0</v>
      </c>
      <c r="R58" s="398">
        <v>90.6333646993275</v>
      </c>
      <c r="S58" s="398">
        <v>0</v>
      </c>
      <c r="T58" s="372">
        <v>0</v>
      </c>
      <c r="U58" s="372">
        <v>0</v>
      </c>
      <c r="V58" s="372">
        <v>0</v>
      </c>
      <c r="W58" s="372">
        <v>0</v>
      </c>
      <c r="X58" s="372">
        <v>0</v>
      </c>
      <c r="Y58" s="372">
        <v>0</v>
      </c>
      <c r="Z58" s="372">
        <v>0</v>
      </c>
      <c r="AA58" s="372">
        <v>0</v>
      </c>
      <c r="AB58" s="372">
        <v>0</v>
      </c>
      <c r="AC58" s="372">
        <v>0</v>
      </c>
      <c r="AD58" s="372">
        <v>0</v>
      </c>
      <c r="AE58" s="372">
        <v>0</v>
      </c>
      <c r="AF58" s="372">
        <v>0</v>
      </c>
      <c r="AG58" s="372">
        <v>0</v>
      </c>
      <c r="AH58" s="372">
        <v>0</v>
      </c>
      <c r="AI58" s="372">
        <v>0</v>
      </c>
      <c r="AJ58" s="372">
        <v>0</v>
      </c>
      <c r="AK58" s="443">
        <v>10.700649887208087</v>
      </c>
      <c r="AL58" s="372">
        <v>0</v>
      </c>
      <c r="AM58" s="396">
        <v>0</v>
      </c>
      <c r="AN58" s="382">
        <f t="shared" si="10"/>
        <v>1302344.7554661555</v>
      </c>
    </row>
    <row r="59" spans="1:40" ht="12.75">
      <c r="A59" s="329"/>
      <c r="B59" s="432" t="s">
        <v>56</v>
      </c>
      <c r="C59" s="350" t="s">
        <v>126</v>
      </c>
      <c r="D59" s="348"/>
      <c r="E59" s="397">
        <v>0</v>
      </c>
      <c r="F59" s="397">
        <v>0</v>
      </c>
      <c r="G59" s="397">
        <v>0</v>
      </c>
      <c r="H59" s="398">
        <v>0</v>
      </c>
      <c r="I59" s="397">
        <v>0</v>
      </c>
      <c r="J59" s="397">
        <v>0</v>
      </c>
      <c r="K59" s="397">
        <v>0</v>
      </c>
      <c r="L59" s="398">
        <v>0</v>
      </c>
      <c r="M59" s="397">
        <v>0</v>
      </c>
      <c r="N59" s="397">
        <v>0</v>
      </c>
      <c r="O59" s="398">
        <v>0</v>
      </c>
      <c r="P59" s="398">
        <v>0</v>
      </c>
      <c r="Q59" s="398">
        <v>0</v>
      </c>
      <c r="R59" s="398">
        <v>2078.5978850854362</v>
      </c>
      <c r="S59" s="398">
        <v>0</v>
      </c>
      <c r="T59" s="372">
        <v>0</v>
      </c>
      <c r="U59" s="372">
        <v>0</v>
      </c>
      <c r="V59" s="372">
        <v>0</v>
      </c>
      <c r="W59" s="372">
        <v>0</v>
      </c>
      <c r="X59" s="372">
        <v>0</v>
      </c>
      <c r="Y59" s="372">
        <v>0</v>
      </c>
      <c r="Z59" s="372">
        <v>0</v>
      </c>
      <c r="AA59" s="372">
        <v>0</v>
      </c>
      <c r="AB59" s="372">
        <v>0</v>
      </c>
      <c r="AC59" s="372">
        <v>0</v>
      </c>
      <c r="AD59" s="372">
        <v>0</v>
      </c>
      <c r="AE59" s="372">
        <v>0</v>
      </c>
      <c r="AF59" s="372">
        <v>0</v>
      </c>
      <c r="AG59" s="372">
        <v>0</v>
      </c>
      <c r="AH59" s="372">
        <v>0</v>
      </c>
      <c r="AI59" s="372">
        <v>0</v>
      </c>
      <c r="AJ59" s="372">
        <v>0</v>
      </c>
      <c r="AK59" s="372">
        <v>0</v>
      </c>
      <c r="AL59" s="372">
        <v>0</v>
      </c>
      <c r="AM59" s="396">
        <v>0</v>
      </c>
      <c r="AN59" s="382">
        <f t="shared" si="10"/>
        <v>26714140.019118026</v>
      </c>
    </row>
    <row r="60" spans="1:40" ht="12.75">
      <c r="A60" s="329"/>
      <c r="B60" s="432" t="s">
        <v>57</v>
      </c>
      <c r="C60" s="350" t="s">
        <v>127</v>
      </c>
      <c r="D60" s="348"/>
      <c r="E60" s="397">
        <v>0</v>
      </c>
      <c r="F60" s="397">
        <v>0</v>
      </c>
      <c r="G60" s="397">
        <v>0</v>
      </c>
      <c r="H60" s="398">
        <v>0</v>
      </c>
      <c r="I60" s="397">
        <v>0</v>
      </c>
      <c r="J60" s="397">
        <v>0</v>
      </c>
      <c r="K60" s="397">
        <v>0</v>
      </c>
      <c r="L60" s="398">
        <v>0</v>
      </c>
      <c r="M60" s="397">
        <v>0</v>
      </c>
      <c r="N60" s="397">
        <v>0</v>
      </c>
      <c r="O60" s="398">
        <v>0</v>
      </c>
      <c r="P60" s="398">
        <v>0</v>
      </c>
      <c r="Q60" s="398">
        <v>0</v>
      </c>
      <c r="R60" s="398">
        <v>36.571357685693556</v>
      </c>
      <c r="S60" s="398">
        <v>0</v>
      </c>
      <c r="T60" s="372">
        <v>0</v>
      </c>
      <c r="U60" s="372">
        <v>0</v>
      </c>
      <c r="V60" s="372">
        <v>0</v>
      </c>
      <c r="W60" s="372">
        <v>0</v>
      </c>
      <c r="X60" s="372">
        <v>0</v>
      </c>
      <c r="Y60" s="372">
        <v>0</v>
      </c>
      <c r="Z60" s="372">
        <v>0</v>
      </c>
      <c r="AA60" s="372">
        <v>0</v>
      </c>
      <c r="AB60" s="372">
        <v>0</v>
      </c>
      <c r="AC60" s="372">
        <v>0</v>
      </c>
      <c r="AD60" s="372">
        <v>0</v>
      </c>
      <c r="AE60" s="372">
        <v>0</v>
      </c>
      <c r="AF60" s="372">
        <v>0</v>
      </c>
      <c r="AG60" s="372">
        <v>0</v>
      </c>
      <c r="AH60" s="372">
        <v>0</v>
      </c>
      <c r="AI60" s="372">
        <v>0</v>
      </c>
      <c r="AJ60" s="372">
        <v>0</v>
      </c>
      <c r="AK60" s="372">
        <v>0</v>
      </c>
      <c r="AL60" s="372">
        <v>0</v>
      </c>
      <c r="AM60" s="396">
        <v>0</v>
      </c>
      <c r="AN60" s="382">
        <f t="shared" si="10"/>
        <v>470015.08897653356</v>
      </c>
    </row>
    <row r="61" spans="1:40" ht="12.75">
      <c r="A61" s="329"/>
      <c r="B61" s="432" t="s">
        <v>58</v>
      </c>
      <c r="C61" s="350" t="s">
        <v>128</v>
      </c>
      <c r="D61" s="348"/>
      <c r="E61" s="397">
        <v>0</v>
      </c>
      <c r="F61" s="397">
        <v>4746.378675484555</v>
      </c>
      <c r="G61" s="397">
        <v>0</v>
      </c>
      <c r="H61" s="398">
        <v>0</v>
      </c>
      <c r="I61" s="397">
        <v>0</v>
      </c>
      <c r="J61" s="397">
        <v>0</v>
      </c>
      <c r="K61" s="397">
        <v>0</v>
      </c>
      <c r="L61" s="398">
        <v>0</v>
      </c>
      <c r="M61" s="397">
        <v>0</v>
      </c>
      <c r="N61" s="397">
        <v>0</v>
      </c>
      <c r="O61" s="398">
        <v>0</v>
      </c>
      <c r="P61" s="398">
        <v>0</v>
      </c>
      <c r="Q61" s="398">
        <v>0</v>
      </c>
      <c r="R61" s="398">
        <v>0</v>
      </c>
      <c r="S61" s="398">
        <v>0</v>
      </c>
      <c r="T61" s="372">
        <v>0</v>
      </c>
      <c r="U61" s="372">
        <v>0</v>
      </c>
      <c r="V61" s="372">
        <v>0</v>
      </c>
      <c r="W61" s="372">
        <v>0</v>
      </c>
      <c r="X61" s="372">
        <v>0</v>
      </c>
      <c r="Y61" s="372">
        <v>0</v>
      </c>
      <c r="Z61" s="372">
        <v>0</v>
      </c>
      <c r="AA61" s="372">
        <v>0</v>
      </c>
      <c r="AB61" s="372">
        <v>0</v>
      </c>
      <c r="AC61" s="372">
        <v>0</v>
      </c>
      <c r="AD61" s="372">
        <v>0</v>
      </c>
      <c r="AE61" s="372">
        <v>0</v>
      </c>
      <c r="AF61" s="372">
        <v>0</v>
      </c>
      <c r="AG61" s="372">
        <v>0</v>
      </c>
      <c r="AH61" s="372">
        <v>0</v>
      </c>
      <c r="AI61" s="372">
        <v>0</v>
      </c>
      <c r="AJ61" s="372">
        <v>0</v>
      </c>
      <c r="AK61" s="372">
        <v>0</v>
      </c>
      <c r="AL61" s="372">
        <v>0</v>
      </c>
      <c r="AM61" s="396">
        <v>0</v>
      </c>
      <c r="AN61" s="382">
        <f t="shared" si="10"/>
        <v>61000458.7373275</v>
      </c>
    </row>
    <row r="62" spans="1:40" ht="12.75">
      <c r="A62" s="329"/>
      <c r="B62" s="432" t="s">
        <v>59</v>
      </c>
      <c r="C62" s="350" t="s">
        <v>129</v>
      </c>
      <c r="D62" s="348"/>
      <c r="E62" s="397">
        <v>0</v>
      </c>
      <c r="F62" s="397">
        <v>0</v>
      </c>
      <c r="G62" s="397">
        <v>0</v>
      </c>
      <c r="H62" s="398">
        <v>0</v>
      </c>
      <c r="I62" s="397">
        <v>0</v>
      </c>
      <c r="J62" s="397">
        <v>0</v>
      </c>
      <c r="K62" s="397">
        <v>0</v>
      </c>
      <c r="L62" s="398">
        <v>0</v>
      </c>
      <c r="M62" s="397">
        <v>0</v>
      </c>
      <c r="N62" s="397">
        <v>0</v>
      </c>
      <c r="O62" s="398">
        <v>0</v>
      </c>
      <c r="P62" s="398">
        <v>0</v>
      </c>
      <c r="Q62" s="398">
        <v>0</v>
      </c>
      <c r="R62" s="398">
        <v>0</v>
      </c>
      <c r="S62" s="398">
        <v>0</v>
      </c>
      <c r="T62" s="372">
        <v>0</v>
      </c>
      <c r="U62" s="372">
        <v>0</v>
      </c>
      <c r="V62" s="372">
        <v>0</v>
      </c>
      <c r="W62" s="372">
        <v>0</v>
      </c>
      <c r="X62" s="372">
        <v>0</v>
      </c>
      <c r="Y62" s="372">
        <v>0</v>
      </c>
      <c r="Z62" s="372">
        <v>0</v>
      </c>
      <c r="AA62" s="372">
        <v>0</v>
      </c>
      <c r="AB62" s="372">
        <v>0</v>
      </c>
      <c r="AC62" s="372">
        <v>0</v>
      </c>
      <c r="AD62" s="372">
        <v>0</v>
      </c>
      <c r="AE62" s="372">
        <v>0</v>
      </c>
      <c r="AF62" s="372">
        <v>0</v>
      </c>
      <c r="AG62" s="372">
        <v>0</v>
      </c>
      <c r="AH62" s="372">
        <v>0</v>
      </c>
      <c r="AI62" s="372">
        <v>0</v>
      </c>
      <c r="AJ62" s="372">
        <v>0</v>
      </c>
      <c r="AK62" s="372">
        <v>0</v>
      </c>
      <c r="AL62" s="372">
        <v>0</v>
      </c>
      <c r="AM62" s="396">
        <v>0</v>
      </c>
      <c r="AN62" s="382">
        <f t="shared" si="10"/>
        <v>0</v>
      </c>
    </row>
    <row r="63" spans="1:40" ht="12.75">
      <c r="A63" s="329"/>
      <c r="B63" s="432" t="s">
        <v>60</v>
      </c>
      <c r="C63" s="350" t="s">
        <v>130</v>
      </c>
      <c r="D63" s="348"/>
      <c r="E63" s="397">
        <v>0</v>
      </c>
      <c r="F63" s="397">
        <v>0</v>
      </c>
      <c r="G63" s="397">
        <v>0</v>
      </c>
      <c r="H63" s="398">
        <v>0</v>
      </c>
      <c r="I63" s="397">
        <v>0</v>
      </c>
      <c r="J63" s="397">
        <v>0</v>
      </c>
      <c r="K63" s="397">
        <v>0</v>
      </c>
      <c r="L63" s="398">
        <v>0</v>
      </c>
      <c r="M63" s="397">
        <v>0</v>
      </c>
      <c r="N63" s="397">
        <v>0</v>
      </c>
      <c r="O63" s="398">
        <v>0</v>
      </c>
      <c r="P63" s="398">
        <v>0</v>
      </c>
      <c r="Q63" s="398">
        <v>0</v>
      </c>
      <c r="R63" s="398">
        <v>0</v>
      </c>
      <c r="S63" s="398">
        <v>0</v>
      </c>
      <c r="T63" s="372">
        <v>0</v>
      </c>
      <c r="U63" s="372">
        <v>0</v>
      </c>
      <c r="V63" s="372">
        <v>0</v>
      </c>
      <c r="W63" s="372">
        <v>0</v>
      </c>
      <c r="X63" s="372">
        <v>0</v>
      </c>
      <c r="Y63" s="372">
        <v>0</v>
      </c>
      <c r="Z63" s="372">
        <v>0</v>
      </c>
      <c r="AA63" s="372">
        <v>0</v>
      </c>
      <c r="AB63" s="372">
        <v>0</v>
      </c>
      <c r="AC63" s="372">
        <v>0</v>
      </c>
      <c r="AD63" s="372">
        <v>0</v>
      </c>
      <c r="AE63" s="372">
        <v>0</v>
      </c>
      <c r="AF63" s="372">
        <v>0</v>
      </c>
      <c r="AG63" s="443">
        <v>75.22356342155969</v>
      </c>
      <c r="AH63" s="372">
        <v>0</v>
      </c>
      <c r="AI63" s="372">
        <v>0</v>
      </c>
      <c r="AJ63" s="372">
        <v>0</v>
      </c>
      <c r="AK63" s="372">
        <v>0</v>
      </c>
      <c r="AL63" s="372">
        <v>0</v>
      </c>
      <c r="AM63" s="396">
        <v>0</v>
      </c>
      <c r="AN63" s="382">
        <f t="shared" si="10"/>
        <v>966773.2370938851</v>
      </c>
    </row>
    <row r="64" spans="1:40" ht="12.75">
      <c r="A64" s="329"/>
      <c r="B64" s="432" t="s">
        <v>61</v>
      </c>
      <c r="C64" s="350" t="s">
        <v>131</v>
      </c>
      <c r="D64" s="348"/>
      <c r="E64" s="397">
        <v>0</v>
      </c>
      <c r="F64" s="397">
        <v>0</v>
      </c>
      <c r="G64" s="397">
        <v>0</v>
      </c>
      <c r="H64" s="398">
        <v>0</v>
      </c>
      <c r="I64" s="397">
        <v>0</v>
      </c>
      <c r="J64" s="397">
        <v>0</v>
      </c>
      <c r="K64" s="397">
        <v>0</v>
      </c>
      <c r="L64" s="398">
        <v>0</v>
      </c>
      <c r="M64" s="397">
        <v>0</v>
      </c>
      <c r="N64" s="397">
        <v>0</v>
      </c>
      <c r="O64" s="398">
        <v>0</v>
      </c>
      <c r="P64" s="398">
        <v>0</v>
      </c>
      <c r="Q64" s="398">
        <v>0</v>
      </c>
      <c r="R64" s="398">
        <v>920.8634211883208</v>
      </c>
      <c r="S64" s="398">
        <v>0</v>
      </c>
      <c r="T64" s="372">
        <v>0</v>
      </c>
      <c r="U64" s="372">
        <v>0</v>
      </c>
      <c r="V64" s="372">
        <v>0</v>
      </c>
      <c r="W64" s="372">
        <v>0</v>
      </c>
      <c r="X64" s="372">
        <v>0</v>
      </c>
      <c r="Y64" s="372">
        <v>0</v>
      </c>
      <c r="Z64" s="372">
        <v>0</v>
      </c>
      <c r="AA64" s="372">
        <v>0</v>
      </c>
      <c r="AB64" s="372">
        <v>0</v>
      </c>
      <c r="AC64" s="372">
        <v>0</v>
      </c>
      <c r="AD64" s="372">
        <v>0</v>
      </c>
      <c r="AE64" s="372">
        <v>0</v>
      </c>
      <c r="AF64" s="372">
        <v>0</v>
      </c>
      <c r="AG64" s="372">
        <v>0</v>
      </c>
      <c r="AH64" s="372">
        <v>0</v>
      </c>
      <c r="AI64" s="372">
        <v>0</v>
      </c>
      <c r="AJ64" s="372">
        <v>0</v>
      </c>
      <c r="AK64" s="372">
        <v>0</v>
      </c>
      <c r="AL64" s="372">
        <v>0</v>
      </c>
      <c r="AM64" s="396">
        <v>0</v>
      </c>
      <c r="AN64" s="382">
        <f t="shared" si="10"/>
        <v>11834936.689112298</v>
      </c>
    </row>
    <row r="65" spans="1:40" ht="12.75">
      <c r="A65" s="329"/>
      <c r="B65" s="432" t="s">
        <v>62</v>
      </c>
      <c r="C65" s="350" t="s">
        <v>132</v>
      </c>
      <c r="D65" s="348"/>
      <c r="E65" s="397">
        <v>176941.08270719324</v>
      </c>
      <c r="F65" s="397">
        <v>23206.40234389307</v>
      </c>
      <c r="G65" s="397">
        <v>1523.2468348024238</v>
      </c>
      <c r="H65" s="398">
        <v>7931.243096636251</v>
      </c>
      <c r="I65" s="397">
        <v>2.081053332339514</v>
      </c>
      <c r="J65" s="398">
        <v>115.08946680438275</v>
      </c>
      <c r="K65" s="397">
        <v>1338871.7035638283</v>
      </c>
      <c r="L65" s="398">
        <v>1264277.5570513473</v>
      </c>
      <c r="M65" s="397">
        <v>270338888.92036</v>
      </c>
      <c r="N65" s="397">
        <v>6722222.22191094</v>
      </c>
      <c r="O65" s="398">
        <v>29300</v>
      </c>
      <c r="P65" s="398">
        <v>6355</v>
      </c>
      <c r="Q65" s="398">
        <v>0</v>
      </c>
      <c r="R65" s="398">
        <v>0</v>
      </c>
      <c r="S65" s="398">
        <v>0</v>
      </c>
      <c r="T65" s="372">
        <v>0</v>
      </c>
      <c r="U65" s="372">
        <v>0</v>
      </c>
      <c r="V65" s="372">
        <v>0</v>
      </c>
      <c r="W65" s="372">
        <v>0</v>
      </c>
      <c r="X65" s="372">
        <v>0</v>
      </c>
      <c r="Y65" s="372">
        <v>0</v>
      </c>
      <c r="Z65" s="372">
        <v>0</v>
      </c>
      <c r="AA65" s="372">
        <v>0</v>
      </c>
      <c r="AB65" s="372">
        <v>0</v>
      </c>
      <c r="AC65" s="372">
        <v>0</v>
      </c>
      <c r="AD65" s="372">
        <v>0</v>
      </c>
      <c r="AE65" s="372">
        <v>0</v>
      </c>
      <c r="AF65" s="443">
        <v>303.7263161408837</v>
      </c>
      <c r="AG65" s="443">
        <v>306.0357421172032</v>
      </c>
      <c r="AH65" s="372">
        <v>0</v>
      </c>
      <c r="AI65" s="443">
        <v>26.640374883763528</v>
      </c>
      <c r="AJ65" s="372">
        <v>0</v>
      </c>
      <c r="AK65" s="372">
        <v>0</v>
      </c>
      <c r="AL65" s="372">
        <v>0</v>
      </c>
      <c r="AM65" s="396">
        <v>0</v>
      </c>
      <c r="AN65" s="382">
        <f t="shared" si="10"/>
        <v>2727078943.659251</v>
      </c>
    </row>
    <row r="66" spans="1:40" ht="12.75">
      <c r="A66" s="329"/>
      <c r="B66" s="432" t="s">
        <v>63</v>
      </c>
      <c r="C66" s="350" t="s">
        <v>133</v>
      </c>
      <c r="D66" s="348"/>
      <c r="E66" s="397">
        <v>0</v>
      </c>
      <c r="F66" s="397">
        <v>33160.13682203083</v>
      </c>
      <c r="G66" s="397">
        <v>0</v>
      </c>
      <c r="H66" s="398">
        <v>0</v>
      </c>
      <c r="I66" s="397">
        <v>0</v>
      </c>
      <c r="J66" s="397">
        <v>0</v>
      </c>
      <c r="K66" s="397">
        <v>174.03246552716655</v>
      </c>
      <c r="L66" s="398">
        <v>196.98742329242089</v>
      </c>
      <c r="M66" s="397">
        <v>0</v>
      </c>
      <c r="N66" s="397">
        <v>0</v>
      </c>
      <c r="O66" s="398">
        <v>0</v>
      </c>
      <c r="P66" s="398">
        <v>0</v>
      </c>
      <c r="Q66" s="398">
        <v>0</v>
      </c>
      <c r="R66" s="398">
        <v>0</v>
      </c>
      <c r="S66" s="398">
        <v>0</v>
      </c>
      <c r="T66" s="372">
        <v>0</v>
      </c>
      <c r="U66" s="372">
        <v>0</v>
      </c>
      <c r="V66" s="372">
        <v>0</v>
      </c>
      <c r="W66" s="372">
        <v>0</v>
      </c>
      <c r="X66" s="372">
        <v>0</v>
      </c>
      <c r="Y66" s="372">
        <v>0</v>
      </c>
      <c r="Z66" s="372">
        <v>0</v>
      </c>
      <c r="AA66" s="372">
        <v>0</v>
      </c>
      <c r="AB66" s="372">
        <v>0</v>
      </c>
      <c r="AC66" s="372">
        <v>0</v>
      </c>
      <c r="AD66" s="372">
        <v>0</v>
      </c>
      <c r="AE66" s="372">
        <v>0</v>
      </c>
      <c r="AF66" s="372">
        <v>0</v>
      </c>
      <c r="AG66" s="372">
        <v>0</v>
      </c>
      <c r="AH66" s="372">
        <v>0</v>
      </c>
      <c r="AI66" s="372">
        <v>0</v>
      </c>
      <c r="AJ66" s="372">
        <v>0</v>
      </c>
      <c r="AK66" s="372">
        <v>0</v>
      </c>
      <c r="AL66" s="372">
        <v>0</v>
      </c>
      <c r="AM66" s="396">
        <v>0</v>
      </c>
      <c r="AN66" s="382">
        <f t="shared" si="10"/>
        <v>426177774.8626538</v>
      </c>
    </row>
    <row r="67" spans="1:40" ht="12.75">
      <c r="A67" s="329"/>
      <c r="B67" s="432" t="s">
        <v>64</v>
      </c>
      <c r="C67" s="350" t="s">
        <v>134</v>
      </c>
      <c r="D67" s="348"/>
      <c r="E67" s="397">
        <v>0</v>
      </c>
      <c r="F67" s="397">
        <v>0</v>
      </c>
      <c r="G67" s="397">
        <v>0</v>
      </c>
      <c r="H67" s="398">
        <v>0</v>
      </c>
      <c r="I67" s="397">
        <v>0</v>
      </c>
      <c r="J67" s="397">
        <v>0</v>
      </c>
      <c r="K67" s="397">
        <v>0</v>
      </c>
      <c r="L67" s="398">
        <v>0</v>
      </c>
      <c r="M67" s="397">
        <v>0</v>
      </c>
      <c r="N67" s="397">
        <v>0</v>
      </c>
      <c r="O67" s="398">
        <v>0</v>
      </c>
      <c r="P67" s="398">
        <v>0</v>
      </c>
      <c r="Q67" s="398">
        <v>0</v>
      </c>
      <c r="R67" s="398">
        <v>0</v>
      </c>
      <c r="S67" s="398">
        <v>0</v>
      </c>
      <c r="T67" s="372">
        <v>0</v>
      </c>
      <c r="U67" s="372">
        <v>0</v>
      </c>
      <c r="V67" s="372">
        <v>0</v>
      </c>
      <c r="W67" s="372">
        <v>0</v>
      </c>
      <c r="X67" s="372">
        <v>0</v>
      </c>
      <c r="Y67" s="372">
        <v>0</v>
      </c>
      <c r="Z67" s="372">
        <v>0</v>
      </c>
      <c r="AA67" s="372">
        <v>0</v>
      </c>
      <c r="AB67" s="372">
        <v>0</v>
      </c>
      <c r="AC67" s="372">
        <v>0</v>
      </c>
      <c r="AD67" s="372">
        <v>0</v>
      </c>
      <c r="AE67" s="372">
        <v>0</v>
      </c>
      <c r="AF67" s="372">
        <v>0</v>
      </c>
      <c r="AG67" s="372">
        <v>0</v>
      </c>
      <c r="AH67" s="372">
        <v>0</v>
      </c>
      <c r="AI67" s="372">
        <v>0</v>
      </c>
      <c r="AJ67" s="372">
        <v>0</v>
      </c>
      <c r="AK67" s="372">
        <v>0</v>
      </c>
      <c r="AL67" s="372">
        <v>0</v>
      </c>
      <c r="AM67" s="396">
        <v>0</v>
      </c>
      <c r="AN67" s="382">
        <f t="shared" si="10"/>
        <v>0</v>
      </c>
    </row>
    <row r="68" spans="1:40" ht="12.75">
      <c r="A68" s="329"/>
      <c r="B68" s="432" t="s">
        <v>65</v>
      </c>
      <c r="C68" s="350" t="s">
        <v>135</v>
      </c>
      <c r="D68" s="348"/>
      <c r="E68" s="397">
        <v>0</v>
      </c>
      <c r="F68" s="397">
        <v>600.1854620399862</v>
      </c>
      <c r="G68" s="397">
        <v>0</v>
      </c>
      <c r="H68" s="398">
        <v>0</v>
      </c>
      <c r="I68" s="397">
        <v>0</v>
      </c>
      <c r="J68" s="397">
        <v>0</v>
      </c>
      <c r="K68" s="397">
        <v>0</v>
      </c>
      <c r="L68" s="398">
        <v>0</v>
      </c>
      <c r="M68" s="397">
        <v>0</v>
      </c>
      <c r="N68" s="397">
        <v>0</v>
      </c>
      <c r="O68" s="398">
        <v>0</v>
      </c>
      <c r="P68" s="398">
        <v>0</v>
      </c>
      <c r="Q68" s="398">
        <v>0</v>
      </c>
      <c r="R68" s="398">
        <v>0</v>
      </c>
      <c r="S68" s="398">
        <v>0</v>
      </c>
      <c r="T68" s="372">
        <v>0</v>
      </c>
      <c r="U68" s="372">
        <v>0</v>
      </c>
      <c r="V68" s="372">
        <v>0</v>
      </c>
      <c r="W68" s="372">
        <v>0</v>
      </c>
      <c r="X68" s="372">
        <v>0</v>
      </c>
      <c r="Y68" s="372">
        <v>0</v>
      </c>
      <c r="Z68" s="372">
        <v>0</v>
      </c>
      <c r="AA68" s="372">
        <v>0</v>
      </c>
      <c r="AB68" s="372">
        <v>0</v>
      </c>
      <c r="AC68" s="372">
        <v>0</v>
      </c>
      <c r="AD68" s="372">
        <v>0</v>
      </c>
      <c r="AE68" s="372">
        <v>0</v>
      </c>
      <c r="AF68" s="372">
        <v>0</v>
      </c>
      <c r="AG68" s="372">
        <v>0</v>
      </c>
      <c r="AH68" s="372">
        <v>0</v>
      </c>
      <c r="AI68" s="372">
        <v>0</v>
      </c>
      <c r="AJ68" s="372">
        <v>0</v>
      </c>
      <c r="AK68" s="372">
        <v>0</v>
      </c>
      <c r="AL68" s="372">
        <v>0</v>
      </c>
      <c r="AM68" s="396">
        <v>0</v>
      </c>
      <c r="AN68" s="382">
        <f t="shared" si="10"/>
        <v>7713583.558137903</v>
      </c>
    </row>
    <row r="69" spans="1:40" ht="12.75">
      <c r="A69" s="329"/>
      <c r="B69" s="432" t="s">
        <v>66</v>
      </c>
      <c r="C69" s="350" t="s">
        <v>136</v>
      </c>
      <c r="D69" s="348"/>
      <c r="E69" s="397">
        <v>0</v>
      </c>
      <c r="F69" s="397">
        <v>0</v>
      </c>
      <c r="G69" s="397">
        <v>0</v>
      </c>
      <c r="H69" s="398">
        <v>0</v>
      </c>
      <c r="I69" s="397">
        <v>0</v>
      </c>
      <c r="J69" s="397">
        <v>0</v>
      </c>
      <c r="K69" s="397">
        <v>0</v>
      </c>
      <c r="L69" s="398">
        <v>0</v>
      </c>
      <c r="M69" s="397">
        <v>0</v>
      </c>
      <c r="N69" s="397">
        <v>0</v>
      </c>
      <c r="O69" s="398">
        <v>0</v>
      </c>
      <c r="P69" s="398">
        <v>0</v>
      </c>
      <c r="Q69" s="398">
        <v>0</v>
      </c>
      <c r="R69" s="398">
        <v>0</v>
      </c>
      <c r="S69" s="398">
        <v>0</v>
      </c>
      <c r="T69" s="372">
        <v>0</v>
      </c>
      <c r="U69" s="372">
        <v>0</v>
      </c>
      <c r="V69" s="372">
        <v>0</v>
      </c>
      <c r="W69" s="372">
        <v>0</v>
      </c>
      <c r="X69" s="372">
        <v>0</v>
      </c>
      <c r="Y69" s="372">
        <v>0</v>
      </c>
      <c r="Z69" s="372">
        <v>0</v>
      </c>
      <c r="AA69" s="372">
        <v>0</v>
      </c>
      <c r="AB69" s="372">
        <v>0</v>
      </c>
      <c r="AC69" s="372">
        <v>0</v>
      </c>
      <c r="AD69" s="372">
        <v>0</v>
      </c>
      <c r="AE69" s="372">
        <v>0</v>
      </c>
      <c r="AF69" s="372">
        <v>0</v>
      </c>
      <c r="AG69" s="372">
        <v>0</v>
      </c>
      <c r="AH69" s="372">
        <v>0</v>
      </c>
      <c r="AI69" s="372">
        <v>0</v>
      </c>
      <c r="AJ69" s="372">
        <v>0</v>
      </c>
      <c r="AK69" s="372">
        <v>0</v>
      </c>
      <c r="AL69" s="372">
        <v>0</v>
      </c>
      <c r="AM69" s="396">
        <v>0</v>
      </c>
      <c r="AN69" s="382">
        <f t="shared" si="10"/>
        <v>0</v>
      </c>
    </row>
    <row r="70" spans="1:40" ht="12.75">
      <c r="A70" s="329"/>
      <c r="B70" s="432" t="s">
        <v>67</v>
      </c>
      <c r="C70" s="350" t="s">
        <v>137</v>
      </c>
      <c r="D70" s="348"/>
      <c r="E70" s="397">
        <v>0</v>
      </c>
      <c r="F70" s="397">
        <v>0</v>
      </c>
      <c r="G70" s="397">
        <v>0</v>
      </c>
      <c r="H70" s="398">
        <v>0</v>
      </c>
      <c r="I70" s="397">
        <v>0</v>
      </c>
      <c r="J70" s="397">
        <v>0</v>
      </c>
      <c r="K70" s="397">
        <v>0</v>
      </c>
      <c r="L70" s="398">
        <v>0</v>
      </c>
      <c r="M70" s="397">
        <v>0</v>
      </c>
      <c r="N70" s="397">
        <v>0</v>
      </c>
      <c r="O70" s="398">
        <v>0</v>
      </c>
      <c r="P70" s="398">
        <v>0</v>
      </c>
      <c r="Q70" s="398">
        <v>0</v>
      </c>
      <c r="R70" s="398">
        <v>0</v>
      </c>
      <c r="S70" s="398">
        <v>0</v>
      </c>
      <c r="T70" s="372">
        <v>0</v>
      </c>
      <c r="U70" s="372">
        <v>0</v>
      </c>
      <c r="V70" s="372">
        <v>0</v>
      </c>
      <c r="W70" s="372">
        <v>0</v>
      </c>
      <c r="X70" s="372">
        <v>0</v>
      </c>
      <c r="Y70" s="372">
        <v>0</v>
      </c>
      <c r="Z70" s="372">
        <v>0</v>
      </c>
      <c r="AA70" s="372">
        <v>0</v>
      </c>
      <c r="AB70" s="372">
        <v>0</v>
      </c>
      <c r="AC70" s="372">
        <v>0</v>
      </c>
      <c r="AD70" s="372">
        <v>0</v>
      </c>
      <c r="AE70" s="372">
        <v>0</v>
      </c>
      <c r="AF70" s="372">
        <v>0</v>
      </c>
      <c r="AG70" s="372">
        <v>0</v>
      </c>
      <c r="AH70" s="372">
        <v>0</v>
      </c>
      <c r="AI70" s="372">
        <v>0</v>
      </c>
      <c r="AJ70" s="372">
        <v>0</v>
      </c>
      <c r="AK70" s="372">
        <v>0</v>
      </c>
      <c r="AL70" s="372">
        <v>0</v>
      </c>
      <c r="AM70" s="396">
        <v>0</v>
      </c>
      <c r="AN70" s="382">
        <f t="shared" si="10"/>
        <v>0</v>
      </c>
    </row>
    <row r="71" spans="1:40" ht="12.75">
      <c r="A71" s="329"/>
      <c r="B71" s="432" t="s">
        <v>68</v>
      </c>
      <c r="C71" s="350" t="s">
        <v>138</v>
      </c>
      <c r="D71" s="348"/>
      <c r="E71" s="397">
        <v>0</v>
      </c>
      <c r="F71" s="397">
        <v>0</v>
      </c>
      <c r="G71" s="397">
        <v>0</v>
      </c>
      <c r="H71" s="398">
        <v>0</v>
      </c>
      <c r="I71" s="397">
        <v>0</v>
      </c>
      <c r="J71" s="397">
        <v>0</v>
      </c>
      <c r="K71" s="397">
        <v>0</v>
      </c>
      <c r="L71" s="398">
        <v>0</v>
      </c>
      <c r="M71" s="397">
        <v>0</v>
      </c>
      <c r="N71" s="397">
        <v>0</v>
      </c>
      <c r="O71" s="398">
        <v>0</v>
      </c>
      <c r="P71" s="398">
        <v>0</v>
      </c>
      <c r="Q71" s="398">
        <v>0</v>
      </c>
      <c r="R71" s="398">
        <v>2.9529667696522743</v>
      </c>
      <c r="S71" s="398">
        <v>0</v>
      </c>
      <c r="T71" s="372">
        <v>0</v>
      </c>
      <c r="U71" s="372">
        <v>0</v>
      </c>
      <c r="V71" s="372">
        <v>0</v>
      </c>
      <c r="W71" s="372">
        <v>0</v>
      </c>
      <c r="X71" s="372">
        <v>0</v>
      </c>
      <c r="Y71" s="372">
        <v>0</v>
      </c>
      <c r="Z71" s="372">
        <v>0</v>
      </c>
      <c r="AA71" s="372">
        <v>0</v>
      </c>
      <c r="AB71" s="372">
        <v>0</v>
      </c>
      <c r="AC71" s="372">
        <v>0</v>
      </c>
      <c r="AD71" s="372">
        <v>0</v>
      </c>
      <c r="AE71" s="372">
        <v>0</v>
      </c>
      <c r="AF71" s="372">
        <v>0</v>
      </c>
      <c r="AG71" s="372">
        <v>0</v>
      </c>
      <c r="AH71" s="372">
        <v>0</v>
      </c>
      <c r="AI71" s="372">
        <v>0</v>
      </c>
      <c r="AJ71" s="372">
        <v>0</v>
      </c>
      <c r="AK71" s="372">
        <v>0</v>
      </c>
      <c r="AL71" s="372">
        <v>0</v>
      </c>
      <c r="AM71" s="396">
        <v>0</v>
      </c>
      <c r="AN71" s="382">
        <f t="shared" si="10"/>
        <v>37951.52892357103</v>
      </c>
    </row>
    <row r="72" spans="1:40" ht="12.75">
      <c r="A72" s="329"/>
      <c r="B72" s="432" t="s">
        <v>69</v>
      </c>
      <c r="C72" s="350" t="s">
        <v>139</v>
      </c>
      <c r="D72" s="348"/>
      <c r="E72" s="397">
        <v>0</v>
      </c>
      <c r="F72" s="397">
        <v>0</v>
      </c>
      <c r="G72" s="397">
        <v>0</v>
      </c>
      <c r="H72" s="398">
        <v>0</v>
      </c>
      <c r="I72" s="397">
        <v>0</v>
      </c>
      <c r="J72" s="397">
        <v>0</v>
      </c>
      <c r="K72" s="397">
        <v>0</v>
      </c>
      <c r="L72" s="398">
        <v>0</v>
      </c>
      <c r="M72" s="397">
        <v>0</v>
      </c>
      <c r="N72" s="397">
        <v>0</v>
      </c>
      <c r="O72" s="398">
        <v>0</v>
      </c>
      <c r="P72" s="398">
        <v>0</v>
      </c>
      <c r="Q72" s="398">
        <v>0</v>
      </c>
      <c r="R72" s="398">
        <v>0</v>
      </c>
      <c r="S72" s="398">
        <v>0</v>
      </c>
      <c r="T72" s="372">
        <v>0</v>
      </c>
      <c r="U72" s="372">
        <v>0</v>
      </c>
      <c r="V72" s="372">
        <v>0</v>
      </c>
      <c r="W72" s="372">
        <v>0</v>
      </c>
      <c r="X72" s="372">
        <v>0</v>
      </c>
      <c r="Y72" s="372">
        <v>0</v>
      </c>
      <c r="Z72" s="372">
        <v>0</v>
      </c>
      <c r="AA72" s="372">
        <v>0</v>
      </c>
      <c r="AB72" s="372">
        <v>0</v>
      </c>
      <c r="AC72" s="372">
        <v>0</v>
      </c>
      <c r="AD72" s="372">
        <v>0</v>
      </c>
      <c r="AE72" s="372">
        <v>0</v>
      </c>
      <c r="AF72" s="372">
        <v>0</v>
      </c>
      <c r="AG72" s="372">
        <v>0</v>
      </c>
      <c r="AH72" s="372">
        <v>0</v>
      </c>
      <c r="AI72" s="372">
        <v>0</v>
      </c>
      <c r="AJ72" s="372">
        <v>0</v>
      </c>
      <c r="AK72" s="372">
        <v>0</v>
      </c>
      <c r="AL72" s="372">
        <v>0</v>
      </c>
      <c r="AM72" s="396">
        <v>0</v>
      </c>
      <c r="AN72" s="382">
        <f t="shared" si="10"/>
        <v>0</v>
      </c>
    </row>
    <row r="73" spans="1:40" ht="12.75">
      <c r="A73" s="329"/>
      <c r="B73" s="432" t="s">
        <v>70</v>
      </c>
      <c r="C73" s="350" t="s">
        <v>140</v>
      </c>
      <c r="D73" s="348"/>
      <c r="E73" s="397">
        <v>0</v>
      </c>
      <c r="F73" s="397">
        <v>0</v>
      </c>
      <c r="G73" s="397">
        <v>0</v>
      </c>
      <c r="H73" s="398">
        <v>0</v>
      </c>
      <c r="I73" s="397">
        <v>0</v>
      </c>
      <c r="J73" s="397">
        <v>0</v>
      </c>
      <c r="K73" s="397">
        <v>0</v>
      </c>
      <c r="L73" s="398">
        <v>0</v>
      </c>
      <c r="M73" s="397">
        <v>0</v>
      </c>
      <c r="N73" s="397">
        <v>0</v>
      </c>
      <c r="O73" s="398">
        <v>0</v>
      </c>
      <c r="P73" s="398">
        <v>0</v>
      </c>
      <c r="Q73" s="398">
        <v>8360.484110293872</v>
      </c>
      <c r="R73" s="398">
        <v>3435.022354138329</v>
      </c>
      <c r="S73" s="398">
        <v>17.74265976781385</v>
      </c>
      <c r="T73" s="398">
        <v>92.38637769198299</v>
      </c>
      <c r="U73" s="398">
        <v>0.0422192691245111</v>
      </c>
      <c r="V73" s="398">
        <v>1.2771346833716424</v>
      </c>
      <c r="W73" s="398">
        <v>14893.732780074219</v>
      </c>
      <c r="X73" s="398">
        <v>13779.383908517364</v>
      </c>
      <c r="Y73" s="398">
        <v>8086408.93334206</v>
      </c>
      <c r="Z73" s="398">
        <v>113515</v>
      </c>
      <c r="AA73" s="398">
        <v>858.9649030906235</v>
      </c>
      <c r="AB73" s="372">
        <v>0</v>
      </c>
      <c r="AC73" s="372">
        <v>0</v>
      </c>
      <c r="AD73" s="372">
        <v>0</v>
      </c>
      <c r="AE73" s="372">
        <v>0</v>
      </c>
      <c r="AF73" s="372">
        <v>0</v>
      </c>
      <c r="AG73" s="372">
        <v>0</v>
      </c>
      <c r="AH73" s="372">
        <v>0</v>
      </c>
      <c r="AI73" s="372">
        <v>0</v>
      </c>
      <c r="AJ73" s="372">
        <v>0</v>
      </c>
      <c r="AK73" s="372">
        <v>0</v>
      </c>
      <c r="AL73" s="372">
        <v>0</v>
      </c>
      <c r="AM73" s="399">
        <v>0.5343564681890602</v>
      </c>
      <c r="AN73" s="382">
        <f t="shared" si="10"/>
        <v>153293500.4211546</v>
      </c>
    </row>
    <row r="74" spans="1:40" ht="12.75">
      <c r="A74" s="329"/>
      <c r="B74" s="432" t="s">
        <v>71</v>
      </c>
      <c r="C74" s="350" t="s">
        <v>141</v>
      </c>
      <c r="D74" s="348"/>
      <c r="E74" s="397">
        <v>0</v>
      </c>
      <c r="F74" s="397">
        <v>0</v>
      </c>
      <c r="G74" s="397">
        <v>0</v>
      </c>
      <c r="H74" s="398">
        <v>0</v>
      </c>
      <c r="I74" s="397">
        <v>0</v>
      </c>
      <c r="J74" s="397">
        <v>0</v>
      </c>
      <c r="K74" s="397">
        <v>0</v>
      </c>
      <c r="L74" s="398">
        <v>0</v>
      </c>
      <c r="M74" s="397">
        <v>0</v>
      </c>
      <c r="N74" s="397">
        <v>0</v>
      </c>
      <c r="O74" s="398">
        <v>0</v>
      </c>
      <c r="P74" s="398">
        <v>0</v>
      </c>
      <c r="Q74" s="398">
        <v>0</v>
      </c>
      <c r="R74" s="398">
        <v>263.0411937890255</v>
      </c>
      <c r="S74" s="398">
        <v>0</v>
      </c>
      <c r="T74" s="372">
        <v>0</v>
      </c>
      <c r="U74" s="372">
        <v>0</v>
      </c>
      <c r="V74" s="372">
        <v>0</v>
      </c>
      <c r="W74" s="372">
        <v>0</v>
      </c>
      <c r="X74" s="372">
        <v>0</v>
      </c>
      <c r="Y74" s="372">
        <v>0</v>
      </c>
      <c r="Z74" s="372">
        <v>0</v>
      </c>
      <c r="AA74" s="372">
        <v>0</v>
      </c>
      <c r="AB74" s="372">
        <v>0</v>
      </c>
      <c r="AC74" s="372">
        <v>0</v>
      </c>
      <c r="AD74" s="372">
        <v>0</v>
      </c>
      <c r="AE74" s="372">
        <v>0</v>
      </c>
      <c r="AF74" s="372">
        <v>0</v>
      </c>
      <c r="AG74" s="372">
        <v>0</v>
      </c>
      <c r="AH74" s="372">
        <v>0</v>
      </c>
      <c r="AI74" s="372">
        <v>0</v>
      </c>
      <c r="AJ74" s="372">
        <v>0</v>
      </c>
      <c r="AK74" s="372">
        <v>0</v>
      </c>
      <c r="AL74" s="372">
        <v>0</v>
      </c>
      <c r="AM74" s="399">
        <v>2.6727308345032044</v>
      </c>
      <c r="AN74" s="382">
        <f t="shared" si="10"/>
        <v>3414955.359261591</v>
      </c>
    </row>
    <row r="75" spans="1:40" ht="12.75">
      <c r="A75" s="329"/>
      <c r="B75" s="432" t="s">
        <v>72</v>
      </c>
      <c r="C75" s="350" t="s">
        <v>142</v>
      </c>
      <c r="D75" s="348"/>
      <c r="E75" s="397">
        <v>0</v>
      </c>
      <c r="F75" s="397">
        <v>14043.33164551683</v>
      </c>
      <c r="G75" s="397">
        <v>0</v>
      </c>
      <c r="H75" s="398">
        <v>0</v>
      </c>
      <c r="I75" s="397">
        <v>0</v>
      </c>
      <c r="J75" s="397">
        <v>0</v>
      </c>
      <c r="K75" s="397">
        <v>0</v>
      </c>
      <c r="L75" s="398">
        <v>0</v>
      </c>
      <c r="M75" s="397">
        <v>0</v>
      </c>
      <c r="N75" s="397">
        <v>0</v>
      </c>
      <c r="O75" s="398">
        <v>0</v>
      </c>
      <c r="P75" s="398">
        <v>0</v>
      </c>
      <c r="Q75" s="398">
        <v>0</v>
      </c>
      <c r="R75" s="398">
        <v>0</v>
      </c>
      <c r="S75" s="398">
        <v>0</v>
      </c>
      <c r="T75" s="372">
        <v>0</v>
      </c>
      <c r="U75" s="372">
        <v>0</v>
      </c>
      <c r="V75" s="372">
        <v>0</v>
      </c>
      <c r="W75" s="372">
        <v>0</v>
      </c>
      <c r="X75" s="372">
        <v>0</v>
      </c>
      <c r="Y75" s="372">
        <v>0</v>
      </c>
      <c r="Z75" s="372">
        <v>0</v>
      </c>
      <c r="AA75" s="372">
        <v>0</v>
      </c>
      <c r="AB75" s="372">
        <v>0</v>
      </c>
      <c r="AC75" s="372">
        <v>0</v>
      </c>
      <c r="AD75" s="372">
        <v>0</v>
      </c>
      <c r="AE75" s="372">
        <v>0</v>
      </c>
      <c r="AF75" s="372">
        <v>0</v>
      </c>
      <c r="AG75" s="372">
        <v>0</v>
      </c>
      <c r="AH75" s="372">
        <v>0</v>
      </c>
      <c r="AI75" s="372">
        <v>0</v>
      </c>
      <c r="AJ75" s="372">
        <v>0</v>
      </c>
      <c r="AK75" s="372">
        <v>0</v>
      </c>
      <c r="AL75" s="372">
        <v>0</v>
      </c>
      <c r="AM75" s="396">
        <v>0</v>
      </c>
      <c r="AN75" s="382">
        <f t="shared" si="10"/>
        <v>180484898.3081823</v>
      </c>
    </row>
    <row r="76" spans="1:40" ht="12.75">
      <c r="A76" s="329"/>
      <c r="B76" s="432" t="s">
        <v>74</v>
      </c>
      <c r="C76" s="350" t="s">
        <v>143</v>
      </c>
      <c r="D76" s="348"/>
      <c r="E76" s="397">
        <v>0</v>
      </c>
      <c r="F76" s="397">
        <v>0</v>
      </c>
      <c r="G76" s="397">
        <v>0</v>
      </c>
      <c r="H76" s="398">
        <v>0</v>
      </c>
      <c r="I76" s="397">
        <v>0</v>
      </c>
      <c r="J76" s="397">
        <v>0</v>
      </c>
      <c r="K76" s="397">
        <v>0</v>
      </c>
      <c r="L76" s="398">
        <v>0</v>
      </c>
      <c r="M76" s="397">
        <v>0</v>
      </c>
      <c r="N76" s="397">
        <v>0</v>
      </c>
      <c r="O76" s="398">
        <v>0</v>
      </c>
      <c r="P76" s="398">
        <v>0</v>
      </c>
      <c r="Q76" s="398">
        <v>0</v>
      </c>
      <c r="R76" s="398">
        <v>399.68759299438943</v>
      </c>
      <c r="S76" s="398">
        <v>0</v>
      </c>
      <c r="T76" s="372">
        <v>0</v>
      </c>
      <c r="U76" s="372">
        <v>0</v>
      </c>
      <c r="V76" s="372">
        <v>0</v>
      </c>
      <c r="W76" s="372">
        <v>0</v>
      </c>
      <c r="X76" s="372">
        <v>0</v>
      </c>
      <c r="Y76" s="372">
        <v>0</v>
      </c>
      <c r="Z76" s="372">
        <v>0</v>
      </c>
      <c r="AA76" s="372">
        <v>0</v>
      </c>
      <c r="AB76" s="372">
        <v>0</v>
      </c>
      <c r="AC76" s="372">
        <v>0</v>
      </c>
      <c r="AD76" s="372">
        <v>0</v>
      </c>
      <c r="AE76" s="372">
        <v>0</v>
      </c>
      <c r="AF76" s="372">
        <v>0</v>
      </c>
      <c r="AG76" s="372">
        <v>0</v>
      </c>
      <c r="AH76" s="372">
        <v>0</v>
      </c>
      <c r="AI76" s="372">
        <v>0</v>
      </c>
      <c r="AJ76" s="372">
        <v>0</v>
      </c>
      <c r="AK76" s="372">
        <v>0</v>
      </c>
      <c r="AL76" s="372">
        <v>0</v>
      </c>
      <c r="AM76" s="396">
        <v>0</v>
      </c>
      <c r="AN76" s="382">
        <f t="shared" si="10"/>
        <v>5136784.945163893</v>
      </c>
    </row>
    <row r="77" spans="1:40" ht="12.75">
      <c r="A77" s="329"/>
      <c r="B77" s="432" t="s">
        <v>75</v>
      </c>
      <c r="C77" s="350" t="s">
        <v>144</v>
      </c>
      <c r="D77" s="348"/>
      <c r="E77" s="397">
        <v>0</v>
      </c>
      <c r="F77" s="397">
        <v>0</v>
      </c>
      <c r="G77" s="397">
        <v>0</v>
      </c>
      <c r="H77" s="398">
        <v>0</v>
      </c>
      <c r="I77" s="397">
        <v>0</v>
      </c>
      <c r="J77" s="397">
        <v>0</v>
      </c>
      <c r="K77" s="397">
        <v>0</v>
      </c>
      <c r="L77" s="398">
        <v>0</v>
      </c>
      <c r="M77" s="397">
        <v>0</v>
      </c>
      <c r="N77" s="397">
        <v>0</v>
      </c>
      <c r="O77" s="398">
        <v>0</v>
      </c>
      <c r="P77" s="398">
        <v>0</v>
      </c>
      <c r="Q77" s="398">
        <v>0</v>
      </c>
      <c r="R77" s="398">
        <v>0</v>
      </c>
      <c r="S77" s="398">
        <v>0</v>
      </c>
      <c r="T77" s="372">
        <v>0</v>
      </c>
      <c r="U77" s="372">
        <v>0</v>
      </c>
      <c r="V77" s="372">
        <v>0</v>
      </c>
      <c r="W77" s="372">
        <v>0</v>
      </c>
      <c r="X77" s="372">
        <v>0</v>
      </c>
      <c r="Y77" s="372">
        <v>0</v>
      </c>
      <c r="Z77" s="372">
        <v>0</v>
      </c>
      <c r="AA77" s="372">
        <v>0</v>
      </c>
      <c r="AB77" s="372">
        <v>0</v>
      </c>
      <c r="AC77" s="372">
        <v>0</v>
      </c>
      <c r="AD77" s="372">
        <v>0</v>
      </c>
      <c r="AE77" s="443">
        <v>13.887579885212796</v>
      </c>
      <c r="AF77" s="372">
        <v>0</v>
      </c>
      <c r="AG77" s="372">
        <v>0</v>
      </c>
      <c r="AH77" s="372">
        <v>0</v>
      </c>
      <c r="AI77" s="372">
        <v>0</v>
      </c>
      <c r="AJ77" s="372">
        <v>0</v>
      </c>
      <c r="AK77" s="372">
        <v>0</v>
      </c>
      <c r="AL77" s="372">
        <v>0</v>
      </c>
      <c r="AM77" s="396">
        <v>0</v>
      </c>
      <c r="AN77" s="382">
        <f t="shared" si="10"/>
        <v>178483.17668475484</v>
      </c>
    </row>
    <row r="78" spans="1:40" ht="12.75">
      <c r="A78" s="329"/>
      <c r="B78" s="432" t="s">
        <v>76</v>
      </c>
      <c r="C78" s="350" t="s">
        <v>145</v>
      </c>
      <c r="D78" s="348"/>
      <c r="E78" s="397">
        <v>0</v>
      </c>
      <c r="F78" s="397">
        <v>0</v>
      </c>
      <c r="G78" s="397">
        <v>0</v>
      </c>
      <c r="H78" s="398">
        <v>0</v>
      </c>
      <c r="I78" s="397">
        <v>0</v>
      </c>
      <c r="J78" s="397">
        <v>0</v>
      </c>
      <c r="K78" s="397">
        <v>0</v>
      </c>
      <c r="L78" s="398">
        <v>0</v>
      </c>
      <c r="M78" s="397">
        <v>0</v>
      </c>
      <c r="N78" s="397">
        <v>0</v>
      </c>
      <c r="O78" s="398">
        <v>0</v>
      </c>
      <c r="P78" s="398">
        <v>0</v>
      </c>
      <c r="Q78" s="398">
        <v>0</v>
      </c>
      <c r="R78" s="398">
        <v>3980.4859344777437</v>
      </c>
      <c r="S78" s="398">
        <v>0</v>
      </c>
      <c r="T78" s="372">
        <v>0</v>
      </c>
      <c r="U78" s="372">
        <v>0</v>
      </c>
      <c r="V78" s="372">
        <v>0</v>
      </c>
      <c r="W78" s="372">
        <v>0</v>
      </c>
      <c r="X78" s="372">
        <v>0</v>
      </c>
      <c r="Y78" s="372">
        <v>0</v>
      </c>
      <c r="Z78" s="372">
        <v>0</v>
      </c>
      <c r="AA78" s="372">
        <v>0</v>
      </c>
      <c r="AB78" s="372">
        <v>0</v>
      </c>
      <c r="AC78" s="372">
        <v>0</v>
      </c>
      <c r="AD78" s="372">
        <v>0</v>
      </c>
      <c r="AE78" s="372">
        <v>0</v>
      </c>
      <c r="AF78" s="372">
        <v>0</v>
      </c>
      <c r="AG78" s="372">
        <v>0</v>
      </c>
      <c r="AH78" s="372">
        <v>0</v>
      </c>
      <c r="AI78" s="372">
        <v>0</v>
      </c>
      <c r="AJ78" s="372">
        <v>0</v>
      </c>
      <c r="AK78" s="372">
        <v>0</v>
      </c>
      <c r="AL78" s="372">
        <v>0</v>
      </c>
      <c r="AM78" s="399">
        <v>0.1939508024020895</v>
      </c>
      <c r="AN78" s="382">
        <f t="shared" si="10"/>
        <v>51159697.88562043</v>
      </c>
    </row>
    <row r="79" spans="1:40" ht="12.75">
      <c r="A79" s="329"/>
      <c r="B79" s="432" t="s">
        <v>77</v>
      </c>
      <c r="C79" s="350" t="s">
        <v>146</v>
      </c>
      <c r="D79" s="348"/>
      <c r="E79" s="397">
        <v>0</v>
      </c>
      <c r="F79" s="397">
        <v>0</v>
      </c>
      <c r="G79" s="397">
        <v>0</v>
      </c>
      <c r="H79" s="398">
        <v>0</v>
      </c>
      <c r="I79" s="397">
        <v>0</v>
      </c>
      <c r="J79" s="397">
        <v>0</v>
      </c>
      <c r="K79" s="397">
        <v>0</v>
      </c>
      <c r="L79" s="398">
        <v>0</v>
      </c>
      <c r="M79" s="397">
        <v>0</v>
      </c>
      <c r="N79" s="397">
        <v>0</v>
      </c>
      <c r="O79" s="398">
        <v>0</v>
      </c>
      <c r="P79" s="398">
        <v>0</v>
      </c>
      <c r="Q79" s="398">
        <v>0</v>
      </c>
      <c r="R79" s="398">
        <v>184.21969616830725</v>
      </c>
      <c r="S79" s="398">
        <v>0</v>
      </c>
      <c r="T79" s="372">
        <v>0</v>
      </c>
      <c r="U79" s="372">
        <v>0</v>
      </c>
      <c r="V79" s="372">
        <v>0</v>
      </c>
      <c r="W79" s="372">
        <v>0</v>
      </c>
      <c r="X79" s="372">
        <v>0</v>
      </c>
      <c r="Y79" s="372">
        <v>0</v>
      </c>
      <c r="Z79" s="372">
        <v>0</v>
      </c>
      <c r="AA79" s="372">
        <v>0</v>
      </c>
      <c r="AB79" s="372">
        <v>0</v>
      </c>
      <c r="AC79" s="372">
        <v>0</v>
      </c>
      <c r="AD79" s="372">
        <v>0</v>
      </c>
      <c r="AE79" s="372">
        <v>0</v>
      </c>
      <c r="AF79" s="372">
        <v>0</v>
      </c>
      <c r="AG79" s="372">
        <v>0</v>
      </c>
      <c r="AH79" s="372">
        <v>0</v>
      </c>
      <c r="AI79" s="372">
        <v>0</v>
      </c>
      <c r="AJ79" s="372">
        <v>0</v>
      </c>
      <c r="AK79" s="372">
        <v>0</v>
      </c>
      <c r="AL79" s="372">
        <v>0</v>
      </c>
      <c r="AM79" s="396">
        <v>0</v>
      </c>
      <c r="AN79" s="382">
        <f t="shared" si="10"/>
        <v>2367591.535155085</v>
      </c>
    </row>
    <row r="80" spans="1:40" ht="12.75">
      <c r="A80" s="329"/>
      <c r="B80" s="432" t="s">
        <v>78</v>
      </c>
      <c r="C80" s="350" t="s">
        <v>147</v>
      </c>
      <c r="D80" s="348"/>
      <c r="E80" s="397">
        <v>0</v>
      </c>
      <c r="F80" s="397">
        <v>4162.145959087603</v>
      </c>
      <c r="G80" s="397">
        <v>0</v>
      </c>
      <c r="H80" s="398">
        <v>0</v>
      </c>
      <c r="I80" s="397">
        <v>0</v>
      </c>
      <c r="J80" s="397">
        <v>0</v>
      </c>
      <c r="K80" s="397">
        <v>0</v>
      </c>
      <c r="L80" s="398">
        <v>0</v>
      </c>
      <c r="M80" s="397">
        <v>0</v>
      </c>
      <c r="N80" s="397">
        <v>0</v>
      </c>
      <c r="O80" s="398">
        <v>0</v>
      </c>
      <c r="P80" s="398">
        <v>0</v>
      </c>
      <c r="Q80" s="398">
        <v>0</v>
      </c>
      <c r="R80" s="398">
        <v>0</v>
      </c>
      <c r="S80" s="398">
        <v>0</v>
      </c>
      <c r="T80" s="372">
        <v>0</v>
      </c>
      <c r="U80" s="372">
        <v>0</v>
      </c>
      <c r="V80" s="372">
        <v>0</v>
      </c>
      <c r="W80" s="372">
        <v>0</v>
      </c>
      <c r="X80" s="372">
        <v>0</v>
      </c>
      <c r="Y80" s="372">
        <v>0</v>
      </c>
      <c r="Z80" s="372">
        <v>0</v>
      </c>
      <c r="AA80" s="372">
        <v>0</v>
      </c>
      <c r="AB80" s="443">
        <v>0.6950236178609419</v>
      </c>
      <c r="AC80" s="443">
        <v>77.68707208213905</v>
      </c>
      <c r="AD80" s="372">
        <v>0</v>
      </c>
      <c r="AE80" s="372">
        <v>0</v>
      </c>
      <c r="AF80" s="372">
        <v>0</v>
      </c>
      <c r="AG80" s="372">
        <v>0</v>
      </c>
      <c r="AH80" s="372">
        <v>0</v>
      </c>
      <c r="AI80" s="372">
        <v>0</v>
      </c>
      <c r="AJ80" s="372">
        <v>0</v>
      </c>
      <c r="AK80" s="372">
        <v>0</v>
      </c>
      <c r="AL80" s="372">
        <v>0</v>
      </c>
      <c r="AM80" s="396">
        <v>0</v>
      </c>
      <c r="AN80" s="382">
        <f t="shared" si="10"/>
        <v>54499266.56013027</v>
      </c>
    </row>
    <row r="81" spans="1:40" ht="13.5" thickBot="1">
      <c r="A81" s="329"/>
      <c r="B81" s="432" t="s">
        <v>79</v>
      </c>
      <c r="C81" s="350" t="s">
        <v>148</v>
      </c>
      <c r="D81" s="348"/>
      <c r="E81" s="397">
        <v>0</v>
      </c>
      <c r="F81" s="397">
        <v>0</v>
      </c>
      <c r="G81" s="397">
        <v>0</v>
      </c>
      <c r="H81" s="398">
        <v>0</v>
      </c>
      <c r="I81" s="397">
        <v>0</v>
      </c>
      <c r="J81" s="397">
        <v>0</v>
      </c>
      <c r="K81" s="397">
        <v>0</v>
      </c>
      <c r="L81" s="398">
        <v>0</v>
      </c>
      <c r="M81" s="397">
        <v>0</v>
      </c>
      <c r="N81" s="397">
        <v>0</v>
      </c>
      <c r="O81" s="398">
        <v>0</v>
      </c>
      <c r="P81" s="398">
        <v>0</v>
      </c>
      <c r="Q81" s="439">
        <v>0</v>
      </c>
      <c r="R81" s="439">
        <v>0</v>
      </c>
      <c r="S81" s="439">
        <v>0</v>
      </c>
      <c r="T81" s="440">
        <v>0</v>
      </c>
      <c r="U81" s="440">
        <v>0</v>
      </c>
      <c r="V81" s="440">
        <v>0</v>
      </c>
      <c r="W81" s="440">
        <v>0</v>
      </c>
      <c r="X81" s="440">
        <v>0</v>
      </c>
      <c r="Y81" s="372">
        <v>0</v>
      </c>
      <c r="Z81" s="372">
        <v>0</v>
      </c>
      <c r="AA81" s="372">
        <v>0</v>
      </c>
      <c r="AB81" s="440">
        <v>0</v>
      </c>
      <c r="AC81" s="440">
        <v>0</v>
      </c>
      <c r="AD81" s="440">
        <v>0</v>
      </c>
      <c r="AE81" s="440">
        <v>0</v>
      </c>
      <c r="AF81" s="440">
        <v>0</v>
      </c>
      <c r="AG81" s="440">
        <v>0</v>
      </c>
      <c r="AH81" s="440">
        <v>0</v>
      </c>
      <c r="AI81" s="440">
        <v>0</v>
      </c>
      <c r="AJ81" s="440">
        <v>0</v>
      </c>
      <c r="AK81" s="440">
        <v>0</v>
      </c>
      <c r="AL81" s="440">
        <v>0</v>
      </c>
      <c r="AM81" s="396">
        <v>0</v>
      </c>
      <c r="AN81" s="382">
        <f t="shared" si="10"/>
        <v>0</v>
      </c>
    </row>
    <row r="82" spans="1:40" s="271" customFormat="1" ht="13.5" thickBot="1">
      <c r="A82" s="392"/>
      <c r="B82" s="445" t="s">
        <v>166</v>
      </c>
      <c r="C82" s="723"/>
      <c r="D82" s="724"/>
      <c r="E82" s="395">
        <f>SUM(E49:E81)</f>
        <v>176941.08270719324</v>
      </c>
      <c r="F82" s="395">
        <f>SUM(F49:F81)</f>
        <v>80026.45904422754</v>
      </c>
      <c r="G82" s="395">
        <f>SUM(G49:G81)</f>
        <v>1523.2468348024238</v>
      </c>
      <c r="H82" s="395">
        <f aca="true" t="shared" si="11" ref="H82:AL82">SUM(H49:H81)</f>
        <v>7931.243096636251</v>
      </c>
      <c r="I82" s="395">
        <f t="shared" si="11"/>
        <v>2.081053332339514</v>
      </c>
      <c r="J82" s="395">
        <f t="shared" si="11"/>
        <v>115.08946680438275</v>
      </c>
      <c r="K82" s="395">
        <f aca="true" t="shared" si="12" ref="K82:U82">SUM(K49:K81)</f>
        <v>1339045.7360293553</v>
      </c>
      <c r="L82" s="395">
        <f t="shared" si="12"/>
        <v>1264474.5444746397</v>
      </c>
      <c r="M82" s="395">
        <f t="shared" si="12"/>
        <v>270338888.92036</v>
      </c>
      <c r="N82" s="395">
        <f t="shared" si="12"/>
        <v>6722222.22191094</v>
      </c>
      <c r="O82" s="395">
        <f t="shared" si="12"/>
        <v>29300</v>
      </c>
      <c r="P82" s="395">
        <f t="shared" si="12"/>
        <v>6355</v>
      </c>
      <c r="Q82" s="395">
        <f t="shared" si="12"/>
        <v>8360.484110293872</v>
      </c>
      <c r="R82" s="395">
        <f t="shared" si="12"/>
        <v>14339.153499701866</v>
      </c>
      <c r="S82" s="395">
        <f t="shared" si="12"/>
        <v>17.74265976781385</v>
      </c>
      <c r="T82" s="395">
        <f t="shared" si="12"/>
        <v>92.38637769198299</v>
      </c>
      <c r="U82" s="395">
        <f t="shared" si="12"/>
        <v>0.0422192691245111</v>
      </c>
      <c r="V82" s="395">
        <f t="shared" si="11"/>
        <v>1.2771346833716424</v>
      </c>
      <c r="W82" s="395">
        <f t="shared" si="11"/>
        <v>14893.732780074219</v>
      </c>
      <c r="X82" s="395">
        <f t="shared" si="11"/>
        <v>13779.383908517364</v>
      </c>
      <c r="Y82" s="395">
        <f t="shared" si="11"/>
        <v>8086408.93334206</v>
      </c>
      <c r="Z82" s="395">
        <f t="shared" si="11"/>
        <v>113515</v>
      </c>
      <c r="AA82" s="395">
        <f t="shared" si="11"/>
        <v>858.9649030906235</v>
      </c>
      <c r="AB82" s="395">
        <f t="shared" si="11"/>
        <v>0.6950236178609419</v>
      </c>
      <c r="AC82" s="395">
        <f t="shared" si="11"/>
        <v>77.68707208213905</v>
      </c>
      <c r="AD82" s="395">
        <f>SUM(AD49:AD81)</f>
        <v>248.23929937297498</v>
      </c>
      <c r="AE82" s="395">
        <f>SUM(AE49:AE81)</f>
        <v>339.7729813983073</v>
      </c>
      <c r="AF82" s="395">
        <f>SUM(AF49:AF81)</f>
        <v>303.7263161408837</v>
      </c>
      <c r="AG82" s="395">
        <f>SUM(AG49:AG81)</f>
        <v>506.9361483318666</v>
      </c>
      <c r="AH82" s="395">
        <f>SUM(AH49:AH81)</f>
        <v>0</v>
      </c>
      <c r="AI82" s="395">
        <f t="shared" si="11"/>
        <v>26.640374883763528</v>
      </c>
      <c r="AJ82" s="395">
        <f t="shared" si="11"/>
        <v>0</v>
      </c>
      <c r="AK82" s="395">
        <f t="shared" si="11"/>
        <v>10.700649887208087</v>
      </c>
      <c r="AL82" s="395">
        <f t="shared" si="11"/>
        <v>0</v>
      </c>
      <c r="AM82" s="395">
        <f>SUM(AM49:AM81)</f>
        <v>3.4010381050943543</v>
      </c>
      <c r="AN82" s="423">
        <f>SUM(AN49:AN81)</f>
        <v>3762088242.593628</v>
      </c>
    </row>
    <row r="83" spans="1:44" s="271" customFormat="1" ht="12.75">
      <c r="A83" s="392"/>
      <c r="B83" s="393"/>
      <c r="C83" s="392"/>
      <c r="D83" s="392"/>
      <c r="E83" s="391"/>
      <c r="F83" s="391"/>
      <c r="G83" s="391"/>
      <c r="H83" s="391"/>
      <c r="I83" s="391"/>
      <c r="J83" s="391"/>
      <c r="K83" s="391"/>
      <c r="L83" s="391"/>
      <c r="M83" s="391">
        <f>(M82*'04 Emissions Factors'!I13)/1000</f>
        <v>49741.495392007484</v>
      </c>
      <c r="N83" s="391">
        <f>(N82*'04 Emissions Factors'!I17)/1000</f>
        <v>1857.4160356889097</v>
      </c>
      <c r="O83" s="391">
        <f>O82*'04 Emissions Factors'!I26</f>
        <v>86194161.0119865</v>
      </c>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0"/>
      <c r="AO83" s="389"/>
      <c r="AP83" s="388"/>
      <c r="AQ83" s="388"/>
      <c r="AR83" s="387"/>
    </row>
    <row r="84" spans="1:44" s="271" customFormat="1" ht="12.75">
      <c r="A84" s="392"/>
      <c r="B84" s="480" t="s">
        <v>336</v>
      </c>
      <c r="C84" s="392"/>
      <c r="D84" s="392"/>
      <c r="E84" s="391"/>
      <c r="F84" s="391"/>
      <c r="G84" s="391"/>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1"/>
      <c r="AK84" s="391"/>
      <c r="AL84" s="391"/>
      <c r="AM84" s="391"/>
      <c r="AN84" s="390"/>
      <c r="AO84" s="389"/>
      <c r="AP84" s="388"/>
      <c r="AQ84" s="388"/>
      <c r="AR84" s="387"/>
    </row>
    <row r="85" spans="1:44" s="271" customFormat="1" ht="12.75">
      <c r="A85" s="392"/>
      <c r="B85" s="393" t="s">
        <v>375</v>
      </c>
      <c r="C85" s="392"/>
      <c r="D85" s="392"/>
      <c r="E85" s="391"/>
      <c r="F85" s="391"/>
      <c r="G85" s="391"/>
      <c r="H85" s="391"/>
      <c r="I85" s="391"/>
      <c r="J85" s="391"/>
      <c r="K85" s="391"/>
      <c r="L85" s="391"/>
      <c r="M85" s="391"/>
      <c r="N85" s="391"/>
      <c r="O85" s="391"/>
      <c r="P85" s="391"/>
      <c r="Q85" s="391"/>
      <c r="R85" s="391"/>
      <c r="S85" s="391"/>
      <c r="T85" s="391"/>
      <c r="U85" s="391"/>
      <c r="V85" s="391"/>
      <c r="W85" s="391"/>
      <c r="X85" s="391"/>
      <c r="Y85" s="391"/>
      <c r="Z85" s="391"/>
      <c r="AA85" s="391"/>
      <c r="AB85" s="391"/>
      <c r="AC85" s="391"/>
      <c r="AD85" s="391"/>
      <c r="AE85" s="391"/>
      <c r="AF85" s="391"/>
      <c r="AG85" s="391"/>
      <c r="AH85" s="391"/>
      <c r="AI85" s="391"/>
      <c r="AJ85" s="391"/>
      <c r="AK85" s="391"/>
      <c r="AL85" s="391"/>
      <c r="AM85" s="391"/>
      <c r="AN85" s="390"/>
      <c r="AO85" s="389"/>
      <c r="AP85" s="388"/>
      <c r="AQ85" s="388"/>
      <c r="AR85" s="387"/>
    </row>
    <row r="86" spans="1:44" s="271" customFormat="1" ht="12.75">
      <c r="A86" s="392"/>
      <c r="B86" s="393"/>
      <c r="C86" s="392"/>
      <c r="D86" s="392"/>
      <c r="E86" s="391"/>
      <c r="F86" s="391"/>
      <c r="G86" s="391"/>
      <c r="H86" s="391"/>
      <c r="I86" s="391"/>
      <c r="J86" s="391"/>
      <c r="K86" s="391"/>
      <c r="L86" s="391"/>
      <c r="M86" s="391"/>
      <c r="N86" s="391"/>
      <c r="O86" s="391"/>
      <c r="P86" s="391"/>
      <c r="Q86" s="391"/>
      <c r="R86" s="391"/>
      <c r="S86" s="391"/>
      <c r="T86" s="391"/>
      <c r="U86" s="391"/>
      <c r="V86" s="391"/>
      <c r="W86" s="391"/>
      <c r="X86" s="391"/>
      <c r="Y86" s="391"/>
      <c r="Z86" s="391"/>
      <c r="AA86" s="391"/>
      <c r="AB86" s="391"/>
      <c r="AC86" s="391"/>
      <c r="AD86" s="391"/>
      <c r="AE86" s="391"/>
      <c r="AF86" s="391"/>
      <c r="AG86" s="391"/>
      <c r="AH86" s="391"/>
      <c r="AI86" s="391"/>
      <c r="AJ86" s="391"/>
      <c r="AK86" s="391"/>
      <c r="AL86" s="391"/>
      <c r="AM86" s="391"/>
      <c r="AN86" s="390"/>
      <c r="AO86" s="389"/>
      <c r="AP86" s="388"/>
      <c r="AQ86" s="388"/>
      <c r="AR86" s="387"/>
    </row>
    <row r="87" spans="2:3" ht="21">
      <c r="B87" s="365" t="s">
        <v>276</v>
      </c>
      <c r="C87" s="365" t="s">
        <v>374</v>
      </c>
    </row>
    <row r="88" spans="5:32" ht="13.5" thickBot="1">
      <c r="E88" s="446"/>
      <c r="F88" s="446"/>
      <c r="G88" s="446"/>
      <c r="H88" s="446"/>
      <c r="I88" s="446"/>
      <c r="J88" s="446"/>
      <c r="K88" s="446"/>
      <c r="L88" s="446"/>
      <c r="M88" s="446"/>
      <c r="N88" s="446"/>
      <c r="O88" s="446"/>
      <c r="P88" s="446"/>
      <c r="Q88" s="446"/>
      <c r="R88" s="446"/>
      <c r="S88" s="446"/>
      <c r="T88" s="446"/>
      <c r="U88" s="446"/>
      <c r="V88" s="446"/>
      <c r="W88" s="446"/>
      <c r="X88" s="446"/>
      <c r="Y88" s="446"/>
      <c r="Z88" s="446"/>
      <c r="AA88" s="446"/>
      <c r="AB88" s="446"/>
      <c r="AC88" s="446"/>
      <c r="AD88" s="446"/>
      <c r="AE88" s="446"/>
      <c r="AF88" s="446"/>
    </row>
    <row r="89" spans="2:39" ht="12.75">
      <c r="B89" s="716" t="s">
        <v>111</v>
      </c>
      <c r="C89" s="719" t="s">
        <v>112</v>
      </c>
      <c r="D89" s="719" t="s">
        <v>113</v>
      </c>
      <c r="E89" s="773" t="s">
        <v>313</v>
      </c>
      <c r="F89" s="774"/>
      <c r="G89" s="774"/>
      <c r="H89" s="774"/>
      <c r="I89" s="774"/>
      <c r="J89" s="774"/>
      <c r="K89" s="774"/>
      <c r="L89" s="774"/>
      <c r="M89" s="774"/>
      <c r="N89" s="774"/>
      <c r="O89" s="774"/>
      <c r="P89" s="774"/>
      <c r="Q89" s="774"/>
      <c r="R89" s="774"/>
      <c r="S89" s="774"/>
      <c r="T89" s="774"/>
      <c r="U89" s="774"/>
      <c r="V89" s="774"/>
      <c r="W89" s="774"/>
      <c r="X89" s="774"/>
      <c r="Y89" s="774"/>
      <c r="Z89" s="774"/>
      <c r="AA89" s="774"/>
      <c r="AB89" s="774"/>
      <c r="AC89" s="774"/>
      <c r="AD89" s="774"/>
      <c r="AE89" s="774"/>
      <c r="AF89" s="774"/>
      <c r="AG89" s="774"/>
      <c r="AH89" s="774"/>
      <c r="AI89" s="774"/>
      <c r="AJ89" s="774"/>
      <c r="AK89" s="774"/>
      <c r="AL89" s="774"/>
      <c r="AM89" s="775"/>
    </row>
    <row r="90" spans="2:39" ht="12.75" customHeight="1">
      <c r="B90" s="717"/>
      <c r="C90" s="720"/>
      <c r="D90" s="720"/>
      <c r="E90" s="699" t="s">
        <v>269</v>
      </c>
      <c r="F90" s="733"/>
      <c r="G90" s="733"/>
      <c r="H90" s="733"/>
      <c r="I90" s="733"/>
      <c r="J90" s="733"/>
      <c r="K90" s="733"/>
      <c r="L90" s="733"/>
      <c r="M90" s="700"/>
      <c r="N90" s="699" t="s">
        <v>29</v>
      </c>
      <c r="O90" s="733"/>
      <c r="P90" s="733"/>
      <c r="Q90" s="733"/>
      <c r="R90" s="733"/>
      <c r="S90" s="733"/>
      <c r="T90" s="733"/>
      <c r="U90" s="733"/>
      <c r="V90" s="700"/>
      <c r="W90" s="699" t="s">
        <v>270</v>
      </c>
      <c r="X90" s="700"/>
      <c r="Y90" s="699" t="s">
        <v>275</v>
      </c>
      <c r="Z90" s="700"/>
      <c r="AA90" s="699" t="s">
        <v>273</v>
      </c>
      <c r="AB90" s="700"/>
      <c r="AC90" s="699" t="s">
        <v>271</v>
      </c>
      <c r="AD90" s="700"/>
      <c r="AE90" s="699" t="s">
        <v>272</v>
      </c>
      <c r="AF90" s="700"/>
      <c r="AG90" s="699" t="s">
        <v>274</v>
      </c>
      <c r="AH90" s="700"/>
      <c r="AI90" s="707" t="s">
        <v>315</v>
      </c>
      <c r="AJ90" s="708"/>
      <c r="AK90" s="708"/>
      <c r="AL90" s="708"/>
      <c r="AM90" s="709"/>
    </row>
    <row r="91" spans="2:39" ht="12.75">
      <c r="B91" s="717"/>
      <c r="C91" s="720"/>
      <c r="D91" s="720"/>
      <c r="E91" s="405" t="s">
        <v>308</v>
      </c>
      <c r="F91" s="405" t="s">
        <v>309</v>
      </c>
      <c r="G91" s="755" t="s">
        <v>312</v>
      </c>
      <c r="H91" s="756"/>
      <c r="I91" s="756"/>
      <c r="J91" s="757"/>
      <c r="K91" s="699" t="s">
        <v>311</v>
      </c>
      <c r="L91" s="700"/>
      <c r="M91" s="591" t="s">
        <v>310</v>
      </c>
      <c r="N91" s="405" t="s">
        <v>308</v>
      </c>
      <c r="O91" s="405" t="s">
        <v>309</v>
      </c>
      <c r="P91" s="755" t="s">
        <v>312</v>
      </c>
      <c r="Q91" s="756"/>
      <c r="R91" s="756"/>
      <c r="S91" s="757"/>
      <c r="T91" s="699" t="s">
        <v>311</v>
      </c>
      <c r="U91" s="700"/>
      <c r="V91" s="379" t="s">
        <v>310</v>
      </c>
      <c r="W91" s="405" t="s">
        <v>308</v>
      </c>
      <c r="X91" s="405" t="s">
        <v>309</v>
      </c>
      <c r="Y91" s="405" t="s">
        <v>308</v>
      </c>
      <c r="Z91" s="405" t="s">
        <v>309</v>
      </c>
      <c r="AA91" s="405" t="s">
        <v>308</v>
      </c>
      <c r="AB91" s="405" t="s">
        <v>309</v>
      </c>
      <c r="AC91" s="405" t="s">
        <v>308</v>
      </c>
      <c r="AD91" s="405" t="s">
        <v>309</v>
      </c>
      <c r="AE91" s="405" t="s">
        <v>308</v>
      </c>
      <c r="AF91" s="405" t="s">
        <v>309</v>
      </c>
      <c r="AG91" s="405" t="s">
        <v>308</v>
      </c>
      <c r="AH91" s="405" t="s">
        <v>309</v>
      </c>
      <c r="AI91" s="404" t="s">
        <v>308</v>
      </c>
      <c r="AJ91" s="404" t="s">
        <v>307</v>
      </c>
      <c r="AK91" s="404" t="s">
        <v>306</v>
      </c>
      <c r="AL91" s="404" t="s">
        <v>268</v>
      </c>
      <c r="AM91" s="363" t="s">
        <v>314</v>
      </c>
    </row>
    <row r="92" spans="1:39" s="270" customFormat="1" ht="15">
      <c r="A92" s="420"/>
      <c r="B92" s="718"/>
      <c r="C92" s="721"/>
      <c r="D92" s="721"/>
      <c r="E92" s="400" t="s">
        <v>320</v>
      </c>
      <c r="F92" s="400" t="s">
        <v>320</v>
      </c>
      <c r="G92" s="402" t="s">
        <v>355</v>
      </c>
      <c r="H92" s="402" t="s">
        <v>356</v>
      </c>
      <c r="I92" s="402" t="s">
        <v>357</v>
      </c>
      <c r="J92" s="402" t="s">
        <v>358</v>
      </c>
      <c r="K92" s="403" t="s">
        <v>355</v>
      </c>
      <c r="L92" s="402" t="s">
        <v>359</v>
      </c>
      <c r="M92" s="400" t="s">
        <v>284</v>
      </c>
      <c r="N92" s="400" t="s">
        <v>320</v>
      </c>
      <c r="O92" s="400" t="s">
        <v>320</v>
      </c>
      <c r="P92" s="402" t="s">
        <v>355</v>
      </c>
      <c r="Q92" s="402" t="s">
        <v>356</v>
      </c>
      <c r="R92" s="402" t="s">
        <v>357</v>
      </c>
      <c r="S92" s="402" t="s">
        <v>358</v>
      </c>
      <c r="T92" s="403" t="s">
        <v>355</v>
      </c>
      <c r="U92" s="402" t="s">
        <v>359</v>
      </c>
      <c r="V92" s="400" t="s">
        <v>284</v>
      </c>
      <c r="W92" s="400" t="s">
        <v>320</v>
      </c>
      <c r="X92" s="400" t="s">
        <v>320</v>
      </c>
      <c r="Y92" s="400" t="s">
        <v>320</v>
      </c>
      <c r="Z92" s="400" t="s">
        <v>320</v>
      </c>
      <c r="AA92" s="400" t="s">
        <v>320</v>
      </c>
      <c r="AB92" s="400" t="s">
        <v>320</v>
      </c>
      <c r="AC92" s="400" t="s">
        <v>320</v>
      </c>
      <c r="AD92" s="400" t="s">
        <v>320</v>
      </c>
      <c r="AE92" s="400" t="s">
        <v>320</v>
      </c>
      <c r="AF92" s="400" t="s">
        <v>320</v>
      </c>
      <c r="AG92" s="400" t="s">
        <v>320</v>
      </c>
      <c r="AH92" s="400" t="s">
        <v>320</v>
      </c>
      <c r="AI92" s="400" t="s">
        <v>320</v>
      </c>
      <c r="AJ92" s="400" t="s">
        <v>320</v>
      </c>
      <c r="AK92" s="400" t="s">
        <v>320</v>
      </c>
      <c r="AL92" s="400" t="s">
        <v>320</v>
      </c>
      <c r="AM92" s="363" t="s">
        <v>320</v>
      </c>
    </row>
    <row r="93" spans="1:39" ht="12.75">
      <c r="A93" s="329"/>
      <c r="B93" s="432" t="s">
        <v>46</v>
      </c>
      <c r="C93" s="350" t="s">
        <v>114</v>
      </c>
      <c r="D93" s="348"/>
      <c r="E93" s="593">
        <f>E49*('04 Emissions Factors'!$I$22/1000)</f>
        <v>0</v>
      </c>
      <c r="F93" s="593">
        <f>F49*('04 Emissions Factors'!$I$22/1000)</f>
        <v>0</v>
      </c>
      <c r="G93" s="593">
        <f>G49*('04 Emissions Factors'!$I$24/1000)</f>
        <v>0</v>
      </c>
      <c r="H93" s="593">
        <f>H49*('04 Emissions Factors'!$I$24/1000)</f>
        <v>0</v>
      </c>
      <c r="I93" s="593">
        <f>I49*('04 Emissions Factors'!$I$26/1000)</f>
        <v>0</v>
      </c>
      <c r="J93" s="593">
        <f>J49*('04 Emissions Factors'!$I$23/1000)</f>
        <v>0</v>
      </c>
      <c r="K93" s="594">
        <f>K49*('04 Emissions Factors'!$I$30/1000)</f>
        <v>0</v>
      </c>
      <c r="L93" s="593">
        <f>L49*('04 Emissions Factors'!$I$29/1000)</f>
        <v>0</v>
      </c>
      <c r="M93" s="397"/>
      <c r="N93" s="593">
        <f>Q49*('04 Emissions Factors'!$I$22/1000)</f>
        <v>0</v>
      </c>
      <c r="O93" s="593">
        <f>R49*('04 Emissions Factors'!$I$22/1000)</f>
        <v>0</v>
      </c>
      <c r="P93" s="593">
        <f>S49*('04 Emissions Factors'!$I$24/1000)</f>
        <v>0</v>
      </c>
      <c r="Q93" s="593">
        <f>T49*('04 Emissions Factors'!$I$24/1000)</f>
        <v>0</v>
      </c>
      <c r="R93" s="593">
        <f>U49*('04 Emissions Factors'!$I$26/1000)</f>
        <v>0</v>
      </c>
      <c r="S93" s="593">
        <f>V49*('04 Emissions Factors'!$I$23/1000)</f>
        <v>0</v>
      </c>
      <c r="T93" s="594">
        <f>W49*('04 Emissions Factors'!$I$30/1000)</f>
        <v>0</v>
      </c>
      <c r="U93" s="593">
        <f>X49*('04 Emissions Factors'!$I$29/1000)</f>
        <v>0</v>
      </c>
      <c r="V93" s="397"/>
      <c r="W93" s="593">
        <f>AB49*('04 Emissions Factors'!$I$22/1000)</f>
        <v>0</v>
      </c>
      <c r="X93" s="593">
        <f>AC49*('04 Emissions Factors'!$I$22/1000)</f>
        <v>0</v>
      </c>
      <c r="Y93" s="593">
        <f>AD49*('04 Emissions Factors'!$I$22/1000)</f>
        <v>0</v>
      </c>
      <c r="Z93" s="593">
        <f>AE49*('04 Emissions Factors'!$I$22/1000)</f>
        <v>0</v>
      </c>
      <c r="AA93" s="593">
        <f>AF49*('04 Emissions Factors'!$I$22/1000)</f>
        <v>0</v>
      </c>
      <c r="AB93" s="593">
        <f>AG49*('04 Emissions Factors'!$I$22/1000)</f>
        <v>0</v>
      </c>
      <c r="AC93" s="593">
        <f>AH49*('04 Emissions Factors'!$I$22/1000)</f>
        <v>0</v>
      </c>
      <c r="AD93" s="593">
        <f>AI49*('04 Emissions Factors'!$I$22/1000)</f>
        <v>0</v>
      </c>
      <c r="AE93" s="593">
        <f>AJ49*('04 Emissions Factors'!$I$22/1000)</f>
        <v>0</v>
      </c>
      <c r="AF93" s="593">
        <f>AK49*('04 Emissions Factors'!$I$22/1000)</f>
        <v>0</v>
      </c>
      <c r="AG93" s="593">
        <f>AL49*('04 Emissions Factors'!$I$22/1000)</f>
        <v>0</v>
      </c>
      <c r="AH93" s="593">
        <f>AM49*('04 Emissions Factors'!$I$22/1000)</f>
        <v>0</v>
      </c>
      <c r="AI93" s="593">
        <f aca="true" t="shared" si="13" ref="AI93:AI125">E93+N93+W93+Y93+AA93+AC93+AE93+AG93</f>
        <v>0</v>
      </c>
      <c r="AJ93" s="593">
        <f aca="true" t="shared" si="14" ref="AJ93:AJ125">F93+O93+X93+Z93+AB93+AD93+AF93+AH93</f>
        <v>0</v>
      </c>
      <c r="AK93" s="593">
        <f aca="true" t="shared" si="15" ref="AK93:AK125">G93+H93+I93+J93+P93+Q93+R93+S93</f>
        <v>0</v>
      </c>
      <c r="AL93" s="593">
        <f aca="true" t="shared" si="16" ref="AL93:AL125">K93+L93+T93+U93</f>
        <v>0</v>
      </c>
      <c r="AM93" s="593">
        <f>SUM(AI93:AL93)</f>
        <v>0</v>
      </c>
    </row>
    <row r="94" spans="1:39" ht="12.75">
      <c r="A94" s="329"/>
      <c r="B94" s="432" t="s">
        <v>47</v>
      </c>
      <c r="C94" s="350" t="s">
        <v>115</v>
      </c>
      <c r="D94" s="348"/>
      <c r="E94" s="593">
        <f>E50*('04 Emissions Factors'!$I$22/1000)</f>
        <v>0</v>
      </c>
      <c r="F94" s="593">
        <f>F50*('04 Emissions Factors'!$I$22/1000)</f>
        <v>22.22680002103396</v>
      </c>
      <c r="G94" s="593">
        <f>G50*('04 Emissions Factors'!$I$24/1000)</f>
        <v>0</v>
      </c>
      <c r="H94" s="593">
        <f>H50*('04 Emissions Factors'!$I$24/1000)</f>
        <v>0</v>
      </c>
      <c r="I94" s="593">
        <f>I50*('04 Emissions Factors'!$I$26/1000)</f>
        <v>0</v>
      </c>
      <c r="J94" s="593">
        <f>J50*('04 Emissions Factors'!$I$23/1000)</f>
        <v>0</v>
      </c>
      <c r="K94" s="594">
        <f>K50*('04 Emissions Factors'!$I$30/1000)</f>
        <v>0</v>
      </c>
      <c r="L94" s="593">
        <f>L50*('04 Emissions Factors'!$I$29/1000)</f>
        <v>0</v>
      </c>
      <c r="M94" s="397"/>
      <c r="N94" s="593">
        <f>Q50*('04 Emissions Factors'!$I$22/1000)</f>
        <v>0</v>
      </c>
      <c r="O94" s="593">
        <f>R50*('04 Emissions Factors'!$I$22/1000)</f>
        <v>0</v>
      </c>
      <c r="P94" s="593">
        <f>S50*('04 Emissions Factors'!$I$24/1000)</f>
        <v>0</v>
      </c>
      <c r="Q94" s="593">
        <f>T50*('04 Emissions Factors'!$I$24/1000)</f>
        <v>0</v>
      </c>
      <c r="R94" s="593">
        <f>U50*('04 Emissions Factors'!$I$26/1000)</f>
        <v>0</v>
      </c>
      <c r="S94" s="593">
        <f>V50*('04 Emissions Factors'!$I$23/1000)</f>
        <v>0</v>
      </c>
      <c r="T94" s="594">
        <f>W50*('04 Emissions Factors'!$I$30/1000)</f>
        <v>0</v>
      </c>
      <c r="U94" s="593">
        <f>X50*('04 Emissions Factors'!$I$29/1000)</f>
        <v>0</v>
      </c>
      <c r="V94" s="397"/>
      <c r="W94" s="593">
        <f>AB50*('04 Emissions Factors'!$I$22/1000)</f>
        <v>0</v>
      </c>
      <c r="X94" s="593">
        <f>AC50*('04 Emissions Factors'!$I$22/1000)</f>
        <v>0</v>
      </c>
      <c r="Y94" s="593">
        <f>AD50*('04 Emissions Factors'!$I$22/1000)</f>
        <v>0</v>
      </c>
      <c r="Z94" s="593">
        <f>AE50*('04 Emissions Factors'!$I$22/1000)</f>
        <v>0</v>
      </c>
      <c r="AA94" s="593">
        <f>AF50*('04 Emissions Factors'!$I$22/1000)</f>
        <v>0</v>
      </c>
      <c r="AB94" s="593">
        <f>AG50*('04 Emissions Factors'!$I$22/1000)</f>
        <v>204.60965700403975</v>
      </c>
      <c r="AC94" s="593">
        <f>AH50*('04 Emissions Factors'!$I$22/1000)</f>
        <v>0</v>
      </c>
      <c r="AD94" s="593">
        <f>AI50*('04 Emissions Factors'!$I$22/1000)</f>
        <v>0</v>
      </c>
      <c r="AE94" s="593">
        <f>AJ50*('04 Emissions Factors'!$I$22/1000)</f>
        <v>0</v>
      </c>
      <c r="AF94" s="593">
        <f>AK50*('04 Emissions Factors'!$I$22/1000)</f>
        <v>0</v>
      </c>
      <c r="AG94" s="593">
        <f>AL50*('04 Emissions Factors'!$I$22/1000)</f>
        <v>0</v>
      </c>
      <c r="AH94" s="593">
        <f>AM50*('04 Emissions Factors'!$I$22/1000)</f>
        <v>0</v>
      </c>
      <c r="AI94" s="593">
        <f t="shared" si="13"/>
        <v>0</v>
      </c>
      <c r="AJ94" s="593">
        <f t="shared" si="14"/>
        <v>226.8364570250737</v>
      </c>
      <c r="AK94" s="593">
        <f t="shared" si="15"/>
        <v>0</v>
      </c>
      <c r="AL94" s="593">
        <f t="shared" si="16"/>
        <v>0</v>
      </c>
      <c r="AM94" s="593">
        <f aca="true" t="shared" si="17" ref="AM94:AM125">SUM(AI94:AL94)</f>
        <v>226.8364570250737</v>
      </c>
    </row>
    <row r="95" spans="1:39" ht="12.75">
      <c r="A95" s="329"/>
      <c r="B95" s="432" t="s">
        <v>48</v>
      </c>
      <c r="C95" s="350" t="s">
        <v>118</v>
      </c>
      <c r="D95" s="348"/>
      <c r="E95" s="593">
        <f>E51*('04 Emissions Factors'!$I$22/1000)</f>
        <v>0</v>
      </c>
      <c r="F95" s="593">
        <f>F51*('04 Emissions Factors'!$I$22/1000)</f>
        <v>0</v>
      </c>
      <c r="G95" s="593">
        <f>G51*('04 Emissions Factors'!$I$24/1000)</f>
        <v>0</v>
      </c>
      <c r="H95" s="593">
        <f>H51*('04 Emissions Factors'!$I$24/1000)</f>
        <v>0</v>
      </c>
      <c r="I95" s="593">
        <f>I51*('04 Emissions Factors'!$I$26/1000)</f>
        <v>0</v>
      </c>
      <c r="J95" s="593">
        <f>J51*('04 Emissions Factors'!$I$23/1000)</f>
        <v>0</v>
      </c>
      <c r="K95" s="594">
        <f>K51*('04 Emissions Factors'!$I$30/1000)</f>
        <v>0</v>
      </c>
      <c r="L95" s="593">
        <f>L51*('04 Emissions Factors'!$I$29/1000)</f>
        <v>0</v>
      </c>
      <c r="M95" s="397"/>
      <c r="N95" s="593">
        <f>Q51*('04 Emissions Factors'!$I$22/1000)</f>
        <v>0</v>
      </c>
      <c r="O95" s="593">
        <f>R51*('04 Emissions Factors'!$I$22/1000)</f>
        <v>8097.863464396282</v>
      </c>
      <c r="P95" s="593">
        <f>S51*('04 Emissions Factors'!$I$24/1000)</f>
        <v>0</v>
      </c>
      <c r="Q95" s="593">
        <f>T51*('04 Emissions Factors'!$I$24/1000)</f>
        <v>0</v>
      </c>
      <c r="R95" s="593">
        <f>U51*('04 Emissions Factors'!$I$26/1000)</f>
        <v>0</v>
      </c>
      <c r="S95" s="593">
        <f>V51*('04 Emissions Factors'!$I$23/1000)</f>
        <v>0</v>
      </c>
      <c r="T95" s="594">
        <f>W51*('04 Emissions Factors'!$I$30/1000)</f>
        <v>0</v>
      </c>
      <c r="U95" s="593">
        <f>X51*('04 Emissions Factors'!$I$29/1000)</f>
        <v>0</v>
      </c>
      <c r="V95" s="397"/>
      <c r="W95" s="593">
        <f>AB51*('04 Emissions Factors'!$I$22/1000)</f>
        <v>0</v>
      </c>
      <c r="X95" s="593">
        <f>AC51*('04 Emissions Factors'!$I$22/1000)</f>
        <v>0</v>
      </c>
      <c r="Y95" s="593">
        <f>AD51*('04 Emissions Factors'!$I$22/1000)</f>
        <v>0</v>
      </c>
      <c r="Z95" s="593">
        <f>AE51*('04 Emissions Factors'!$I$22/1000)</f>
        <v>132.73079465298298</v>
      </c>
      <c r="AA95" s="593">
        <f>AF51*('04 Emissions Factors'!$I$22/1000)</f>
        <v>0</v>
      </c>
      <c r="AB95" s="593">
        <f>AG51*('04 Emissions Factors'!$I$22/1000)</f>
        <v>0</v>
      </c>
      <c r="AC95" s="593">
        <f>AH51*('04 Emissions Factors'!$I$22/1000)</f>
        <v>0</v>
      </c>
      <c r="AD95" s="593">
        <f>AI51*('04 Emissions Factors'!$I$22/1000)</f>
        <v>0</v>
      </c>
      <c r="AE95" s="593">
        <f>AJ51*('04 Emissions Factors'!$I$22/1000)</f>
        <v>0</v>
      </c>
      <c r="AF95" s="593">
        <f>AK51*('04 Emissions Factors'!$I$22/1000)</f>
        <v>0</v>
      </c>
      <c r="AG95" s="593">
        <f>AL51*('04 Emissions Factors'!$I$22/1000)</f>
        <v>0</v>
      </c>
      <c r="AH95" s="593">
        <f>AM51*('04 Emissions Factors'!$I$22/1000)</f>
        <v>0</v>
      </c>
      <c r="AI95" s="593">
        <f t="shared" si="13"/>
        <v>0</v>
      </c>
      <c r="AJ95" s="593">
        <f t="shared" si="14"/>
        <v>8230.594259049265</v>
      </c>
      <c r="AK95" s="593">
        <f t="shared" si="15"/>
        <v>0</v>
      </c>
      <c r="AL95" s="593">
        <f t="shared" si="16"/>
        <v>0</v>
      </c>
      <c r="AM95" s="593">
        <f t="shared" si="17"/>
        <v>8230.594259049265</v>
      </c>
    </row>
    <row r="96" spans="1:39" ht="12.75">
      <c r="A96" s="329"/>
      <c r="B96" s="432" t="s">
        <v>49</v>
      </c>
      <c r="C96" s="350" t="s">
        <v>119</v>
      </c>
      <c r="D96" s="348"/>
      <c r="E96" s="593">
        <f>E52*('04 Emissions Factors'!$I$22/1000)</f>
        <v>0</v>
      </c>
      <c r="F96" s="593">
        <f>F52*('04 Emissions Factors'!$I$22/1000)</f>
        <v>139.31667545360463</v>
      </c>
      <c r="G96" s="593">
        <f>G52*('04 Emissions Factors'!$I$24/1000)</f>
        <v>0</v>
      </c>
      <c r="H96" s="593">
        <f>H52*('04 Emissions Factors'!$I$24/1000)</f>
        <v>0</v>
      </c>
      <c r="I96" s="593">
        <f>I52*('04 Emissions Factors'!$I$26/1000)</f>
        <v>0</v>
      </c>
      <c r="J96" s="593">
        <f>J52*('04 Emissions Factors'!$I$23/1000)</f>
        <v>0</v>
      </c>
      <c r="K96" s="594">
        <f>K52*('04 Emissions Factors'!$I$30/1000)</f>
        <v>0</v>
      </c>
      <c r="L96" s="593">
        <f>L52*('04 Emissions Factors'!$I$29/1000)</f>
        <v>0</v>
      </c>
      <c r="M96" s="397"/>
      <c r="N96" s="593">
        <f>Q52*('04 Emissions Factors'!$I$22/1000)</f>
        <v>0</v>
      </c>
      <c r="O96" s="593">
        <f>R52*('04 Emissions Factors'!$I$22/1000)</f>
        <v>0</v>
      </c>
      <c r="P96" s="593">
        <f>S52*('04 Emissions Factors'!$I$24/1000)</f>
        <v>0</v>
      </c>
      <c r="Q96" s="593">
        <f>T52*('04 Emissions Factors'!$I$24/1000)</f>
        <v>0</v>
      </c>
      <c r="R96" s="593">
        <f>U52*('04 Emissions Factors'!$I$26/1000)</f>
        <v>0</v>
      </c>
      <c r="S96" s="593">
        <f>V52*('04 Emissions Factors'!$I$23/1000)</f>
        <v>0</v>
      </c>
      <c r="T96" s="594">
        <f>W52*('04 Emissions Factors'!$I$30/1000)</f>
        <v>0</v>
      </c>
      <c r="U96" s="593">
        <f>X52*('04 Emissions Factors'!$I$29/1000)</f>
        <v>0</v>
      </c>
      <c r="V96" s="397"/>
      <c r="W96" s="593">
        <f>AB52*('04 Emissions Factors'!$I$22/1000)</f>
        <v>0</v>
      </c>
      <c r="X96" s="593">
        <f>AC52*('04 Emissions Factors'!$I$22/1000)</f>
        <v>0</v>
      </c>
      <c r="Y96" s="593">
        <f>AD52*('04 Emissions Factors'!$I$22/1000)</f>
        <v>0</v>
      </c>
      <c r="Z96" s="593">
        <f>AE52*('04 Emissions Factors'!$I$22/1000)</f>
        <v>0</v>
      </c>
      <c r="AA96" s="593">
        <f>AF52*('04 Emissions Factors'!$I$22/1000)</f>
        <v>0</v>
      </c>
      <c r="AB96" s="593">
        <f>AG52*('04 Emissions Factors'!$I$22/1000)</f>
        <v>195.1917385458588</v>
      </c>
      <c r="AC96" s="593">
        <f>AH52*('04 Emissions Factors'!$I$22/1000)</f>
        <v>0</v>
      </c>
      <c r="AD96" s="593">
        <f>AI52*('04 Emissions Factors'!$I$22/1000)</f>
        <v>0</v>
      </c>
      <c r="AE96" s="593">
        <f>AJ52*('04 Emissions Factors'!$I$22/1000)</f>
        <v>0</v>
      </c>
      <c r="AF96" s="593">
        <f>AK52*('04 Emissions Factors'!$I$22/1000)</f>
        <v>0</v>
      </c>
      <c r="AG96" s="593">
        <f>AL52*('04 Emissions Factors'!$I$22/1000)</f>
        <v>0</v>
      </c>
      <c r="AH96" s="593">
        <f>AM52*('04 Emissions Factors'!$I$22/1000)</f>
        <v>0</v>
      </c>
      <c r="AI96" s="593">
        <f t="shared" si="13"/>
        <v>0</v>
      </c>
      <c r="AJ96" s="593">
        <f t="shared" si="14"/>
        <v>334.5084139994634</v>
      </c>
      <c r="AK96" s="593">
        <f t="shared" si="15"/>
        <v>0</v>
      </c>
      <c r="AL96" s="593">
        <f t="shared" si="16"/>
        <v>0</v>
      </c>
      <c r="AM96" s="593">
        <f t="shared" si="17"/>
        <v>334.5084139994634</v>
      </c>
    </row>
    <row r="97" spans="1:39" ht="12.75">
      <c r="A97" s="329"/>
      <c r="B97" s="432" t="s">
        <v>50</v>
      </c>
      <c r="C97" s="350" t="s">
        <v>120</v>
      </c>
      <c r="D97" s="348"/>
      <c r="E97" s="593">
        <f>E53*('04 Emissions Factors'!$I$22/1000)</f>
        <v>0</v>
      </c>
      <c r="F97" s="593">
        <f>F53*('04 Emissions Factors'!$I$22/1000)</f>
        <v>0</v>
      </c>
      <c r="G97" s="593">
        <f>G53*('04 Emissions Factors'!$I$24/1000)</f>
        <v>0</v>
      </c>
      <c r="H97" s="593">
        <f>H53*('04 Emissions Factors'!$I$24/1000)</f>
        <v>0</v>
      </c>
      <c r="I97" s="593">
        <f>I53*('04 Emissions Factors'!$I$26/1000)</f>
        <v>0</v>
      </c>
      <c r="J97" s="593">
        <f>J53*('04 Emissions Factors'!$I$23/1000)</f>
        <v>0</v>
      </c>
      <c r="K97" s="594">
        <f>K53*('04 Emissions Factors'!$I$30/1000)</f>
        <v>0</v>
      </c>
      <c r="L97" s="593">
        <f>L53*('04 Emissions Factors'!$I$29/1000)</f>
        <v>0</v>
      </c>
      <c r="M97" s="397"/>
      <c r="N97" s="593">
        <f>Q53*('04 Emissions Factors'!$I$22/1000)</f>
        <v>0</v>
      </c>
      <c r="O97" s="593">
        <f>R53*('04 Emissions Factors'!$I$22/1000)</f>
        <v>0</v>
      </c>
      <c r="P97" s="593">
        <f>S53*('04 Emissions Factors'!$I$24/1000)</f>
        <v>0</v>
      </c>
      <c r="Q97" s="593">
        <f>T53*('04 Emissions Factors'!$I$24/1000)</f>
        <v>0</v>
      </c>
      <c r="R97" s="593">
        <f>U53*('04 Emissions Factors'!$I$26/1000)</f>
        <v>0</v>
      </c>
      <c r="S97" s="593">
        <f>V53*('04 Emissions Factors'!$I$23/1000)</f>
        <v>0</v>
      </c>
      <c r="T97" s="594">
        <f>W53*('04 Emissions Factors'!$I$30/1000)</f>
        <v>0</v>
      </c>
      <c r="U97" s="593">
        <f>X53*('04 Emissions Factors'!$I$29/1000)</f>
        <v>0</v>
      </c>
      <c r="V97" s="397"/>
      <c r="W97" s="593">
        <f>AB53*('04 Emissions Factors'!$I$22/1000)</f>
        <v>0</v>
      </c>
      <c r="X97" s="593">
        <f>AC53*('04 Emissions Factors'!$I$22/1000)</f>
        <v>0</v>
      </c>
      <c r="Y97" s="593">
        <f>AD53*('04 Emissions Factors'!$I$22/1000)</f>
        <v>787.5064026171518</v>
      </c>
      <c r="Z97" s="593">
        <f>AE53*('04 Emissions Factors'!$I$22/1000)</f>
        <v>623.1951712258002</v>
      </c>
      <c r="AA97" s="593">
        <f>AF53*('04 Emissions Factors'!$I$22/1000)</f>
        <v>0</v>
      </c>
      <c r="AB97" s="593">
        <f>AG53*('04 Emissions Factors'!$I$22/1000)</f>
        <v>0</v>
      </c>
      <c r="AC97" s="593">
        <f>AH53*('04 Emissions Factors'!$I$22/1000)</f>
        <v>0</v>
      </c>
      <c r="AD97" s="593">
        <f>AI53*('04 Emissions Factors'!$I$22/1000)</f>
        <v>0</v>
      </c>
      <c r="AE97" s="593">
        <f>AJ53*('04 Emissions Factors'!$I$22/1000)</f>
        <v>0</v>
      </c>
      <c r="AF97" s="593">
        <f>AK53*('04 Emissions Factors'!$I$22/1000)</f>
        <v>0</v>
      </c>
      <c r="AG97" s="593">
        <f>AL53*('04 Emissions Factors'!$I$22/1000)</f>
        <v>0</v>
      </c>
      <c r="AH97" s="593">
        <f>AM53*('04 Emissions Factors'!$I$22/1000)</f>
        <v>0</v>
      </c>
      <c r="AI97" s="593">
        <f t="shared" si="13"/>
        <v>787.5064026171518</v>
      </c>
      <c r="AJ97" s="593">
        <f t="shared" si="14"/>
        <v>623.1951712258002</v>
      </c>
      <c r="AK97" s="593">
        <f t="shared" si="15"/>
        <v>0</v>
      </c>
      <c r="AL97" s="593">
        <f t="shared" si="16"/>
        <v>0</v>
      </c>
      <c r="AM97" s="593">
        <f t="shared" si="17"/>
        <v>1410.701573842952</v>
      </c>
    </row>
    <row r="98" spans="1:39" ht="12.75">
      <c r="A98" s="329"/>
      <c r="B98" s="432" t="s">
        <v>51</v>
      </c>
      <c r="C98" s="350" t="s">
        <v>121</v>
      </c>
      <c r="D98" s="348"/>
      <c r="E98" s="593">
        <f>E54*('04 Emissions Factors'!$I$22/1000)</f>
        <v>0</v>
      </c>
      <c r="F98" s="593">
        <f>F54*('04 Emissions Factors'!$I$22/1000)</f>
        <v>0</v>
      </c>
      <c r="G98" s="593">
        <f>G54*('04 Emissions Factors'!$I$24/1000)</f>
        <v>0</v>
      </c>
      <c r="H98" s="593">
        <f>H54*('04 Emissions Factors'!$I$24/1000)</f>
        <v>0</v>
      </c>
      <c r="I98" s="593">
        <f>I54*('04 Emissions Factors'!$I$26/1000)</f>
        <v>0</v>
      </c>
      <c r="J98" s="593">
        <f>J54*('04 Emissions Factors'!$I$23/1000)</f>
        <v>0</v>
      </c>
      <c r="K98" s="594">
        <f>K54*('04 Emissions Factors'!$I$30/1000)</f>
        <v>0</v>
      </c>
      <c r="L98" s="593">
        <f>L54*('04 Emissions Factors'!$I$29/1000)</f>
        <v>0</v>
      </c>
      <c r="M98" s="397"/>
      <c r="N98" s="593">
        <f>Q54*('04 Emissions Factors'!$I$22/1000)</f>
        <v>0</v>
      </c>
      <c r="O98" s="593">
        <f>R54*('04 Emissions Factors'!$I$22/1000)</f>
        <v>0</v>
      </c>
      <c r="P98" s="593">
        <f>S54*('04 Emissions Factors'!$I$24/1000)</f>
        <v>0</v>
      </c>
      <c r="Q98" s="593">
        <f>T54*('04 Emissions Factors'!$I$24/1000)</f>
        <v>0</v>
      </c>
      <c r="R98" s="593">
        <f>U54*('04 Emissions Factors'!$I$26/1000)</f>
        <v>0</v>
      </c>
      <c r="S98" s="593">
        <f>V54*('04 Emissions Factors'!$I$23/1000)</f>
        <v>0</v>
      </c>
      <c r="T98" s="594">
        <f>W54*('04 Emissions Factors'!$I$30/1000)</f>
        <v>0</v>
      </c>
      <c r="U98" s="593">
        <f>X54*('04 Emissions Factors'!$I$29/1000)</f>
        <v>0</v>
      </c>
      <c r="V98" s="397"/>
      <c r="W98" s="593">
        <f>AB54*('04 Emissions Factors'!$I$22/1000)</f>
        <v>0</v>
      </c>
      <c r="X98" s="593">
        <f>AC54*('04 Emissions Factors'!$I$22/1000)</f>
        <v>0</v>
      </c>
      <c r="Y98" s="593">
        <f>AD54*('04 Emissions Factors'!$I$22/1000)</f>
        <v>0</v>
      </c>
      <c r="Z98" s="593">
        <f>AE54*('04 Emissions Factors'!$I$22/1000)</f>
        <v>0</v>
      </c>
      <c r="AA98" s="593">
        <f>AF54*('04 Emissions Factors'!$I$22/1000)</f>
        <v>0</v>
      </c>
      <c r="AB98" s="593">
        <f>AG54*('04 Emissions Factors'!$I$22/1000)</f>
        <v>0</v>
      </c>
      <c r="AC98" s="593">
        <f>AH54*('04 Emissions Factors'!$I$22/1000)</f>
        <v>0</v>
      </c>
      <c r="AD98" s="593">
        <f>AI54*('04 Emissions Factors'!$I$22/1000)</f>
        <v>0</v>
      </c>
      <c r="AE98" s="593">
        <f>AJ54*('04 Emissions Factors'!$I$22/1000)</f>
        <v>0</v>
      </c>
      <c r="AF98" s="593">
        <f>AK54*('04 Emissions Factors'!$I$22/1000)</f>
        <v>0</v>
      </c>
      <c r="AG98" s="593">
        <f>AL54*('04 Emissions Factors'!$I$22/1000)</f>
        <v>0</v>
      </c>
      <c r="AH98" s="593">
        <f>AM54*('04 Emissions Factors'!$I$22/1000)</f>
        <v>0</v>
      </c>
      <c r="AI98" s="593">
        <f t="shared" si="13"/>
        <v>0</v>
      </c>
      <c r="AJ98" s="593">
        <f t="shared" si="14"/>
        <v>0</v>
      </c>
      <c r="AK98" s="593">
        <f t="shared" si="15"/>
        <v>0</v>
      </c>
      <c r="AL98" s="593">
        <f t="shared" si="16"/>
        <v>0</v>
      </c>
      <c r="AM98" s="593">
        <f t="shared" si="17"/>
        <v>0</v>
      </c>
    </row>
    <row r="99" spans="1:39" ht="12.75">
      <c r="A99" s="329"/>
      <c r="B99" s="432" t="s">
        <v>52</v>
      </c>
      <c r="C99" s="350" t="s">
        <v>122</v>
      </c>
      <c r="D99" s="348"/>
      <c r="E99" s="593">
        <f>E55*('04 Emissions Factors'!$I$22/1000)</f>
        <v>0</v>
      </c>
      <c r="F99" s="593">
        <f>F55*('04 Emissions Factors'!$I$22/1000)</f>
        <v>0</v>
      </c>
      <c r="G99" s="593">
        <f>G55*('04 Emissions Factors'!$I$24/1000)</f>
        <v>0</v>
      </c>
      <c r="H99" s="593">
        <f>H55*('04 Emissions Factors'!$I$24/1000)</f>
        <v>0</v>
      </c>
      <c r="I99" s="593">
        <f>I55*('04 Emissions Factors'!$I$26/1000)</f>
        <v>0</v>
      </c>
      <c r="J99" s="593">
        <f>J55*('04 Emissions Factors'!$I$23/1000)</f>
        <v>0</v>
      </c>
      <c r="K99" s="594">
        <f>K55*('04 Emissions Factors'!$I$30/1000)</f>
        <v>0</v>
      </c>
      <c r="L99" s="593">
        <f>L55*('04 Emissions Factors'!$I$29/1000)</f>
        <v>0</v>
      </c>
      <c r="M99" s="397"/>
      <c r="N99" s="593">
        <f>Q55*('04 Emissions Factors'!$I$22/1000)</f>
        <v>0</v>
      </c>
      <c r="O99" s="593">
        <f>R55*('04 Emissions Factors'!$I$22/1000)</f>
        <v>1277.3385548765991</v>
      </c>
      <c r="P99" s="593">
        <f>S55*('04 Emissions Factors'!$I$24/1000)</f>
        <v>0</v>
      </c>
      <c r="Q99" s="593">
        <f>T55*('04 Emissions Factors'!$I$24/1000)</f>
        <v>0</v>
      </c>
      <c r="R99" s="593">
        <f>U55*('04 Emissions Factors'!$I$26/1000)</f>
        <v>0</v>
      </c>
      <c r="S99" s="593">
        <f>V55*('04 Emissions Factors'!$I$23/1000)</f>
        <v>0</v>
      </c>
      <c r="T99" s="594">
        <f>W55*('04 Emissions Factors'!$I$30/1000)</f>
        <v>0</v>
      </c>
      <c r="U99" s="593">
        <f>X55*('04 Emissions Factors'!$I$29/1000)</f>
        <v>0</v>
      </c>
      <c r="V99" s="397"/>
      <c r="W99" s="593">
        <f>AB55*('04 Emissions Factors'!$I$22/1000)</f>
        <v>0</v>
      </c>
      <c r="X99" s="593">
        <f>AC55*('04 Emissions Factors'!$I$22/1000)</f>
        <v>0</v>
      </c>
      <c r="Y99" s="593">
        <f>AD55*('04 Emissions Factors'!$I$22/1000)</f>
        <v>0</v>
      </c>
      <c r="Z99" s="593">
        <f>AE55*('04 Emissions Factors'!$I$22/1000)</f>
        <v>0</v>
      </c>
      <c r="AA99" s="593">
        <f>AF55*('04 Emissions Factors'!$I$22/1000)</f>
        <v>0</v>
      </c>
      <c r="AB99" s="593">
        <f>AG55*('04 Emissions Factors'!$I$22/1000)</f>
        <v>0</v>
      </c>
      <c r="AC99" s="593">
        <f>AH55*('04 Emissions Factors'!$I$22/1000)</f>
        <v>0</v>
      </c>
      <c r="AD99" s="593">
        <f>AI55*('04 Emissions Factors'!$I$22/1000)</f>
        <v>0</v>
      </c>
      <c r="AE99" s="593">
        <f>AJ55*('04 Emissions Factors'!$I$22/1000)</f>
        <v>0</v>
      </c>
      <c r="AF99" s="593">
        <f>AK55*('04 Emissions Factors'!$I$22/1000)</f>
        <v>0</v>
      </c>
      <c r="AG99" s="593">
        <f>AL55*('04 Emissions Factors'!$I$22/1000)</f>
        <v>0</v>
      </c>
      <c r="AH99" s="593">
        <f>AM55*('04 Emissions Factors'!$I$22/1000)</f>
        <v>0</v>
      </c>
      <c r="AI99" s="593">
        <f t="shared" si="13"/>
        <v>0</v>
      </c>
      <c r="AJ99" s="593">
        <f t="shared" si="14"/>
        <v>1277.3385548765991</v>
      </c>
      <c r="AK99" s="593">
        <f t="shared" si="15"/>
        <v>0</v>
      </c>
      <c r="AL99" s="593">
        <f t="shared" si="16"/>
        <v>0</v>
      </c>
      <c r="AM99" s="593">
        <f t="shared" si="17"/>
        <v>1277.3385548765991</v>
      </c>
    </row>
    <row r="100" spans="1:39" ht="12.75">
      <c r="A100" s="329"/>
      <c r="B100" s="432" t="s">
        <v>53</v>
      </c>
      <c r="C100" s="350" t="s">
        <v>123</v>
      </c>
      <c r="D100" s="348"/>
      <c r="E100" s="593">
        <f>E56*('04 Emissions Factors'!$I$22/1000)</f>
        <v>0</v>
      </c>
      <c r="F100" s="593">
        <f>F56*('04 Emissions Factors'!$I$22/1000)</f>
        <v>0</v>
      </c>
      <c r="G100" s="593">
        <f>G56*('04 Emissions Factors'!$I$24/1000)</f>
        <v>0</v>
      </c>
      <c r="H100" s="593">
        <f>H56*('04 Emissions Factors'!$I$24/1000)</f>
        <v>0</v>
      </c>
      <c r="I100" s="593">
        <f>I56*('04 Emissions Factors'!$I$26/1000)</f>
        <v>0</v>
      </c>
      <c r="J100" s="593">
        <f>J56*('04 Emissions Factors'!$I$23/1000)</f>
        <v>0</v>
      </c>
      <c r="K100" s="594">
        <f>K56*('04 Emissions Factors'!$I$30/1000)</f>
        <v>0</v>
      </c>
      <c r="L100" s="593">
        <f>L56*('04 Emissions Factors'!$I$29/1000)</f>
        <v>0</v>
      </c>
      <c r="M100" s="397"/>
      <c r="N100" s="593">
        <f>Q56*('04 Emissions Factors'!$I$22/1000)</f>
        <v>0</v>
      </c>
      <c r="O100" s="593">
        <f>R56*('04 Emissions Factors'!$I$22/1000)</f>
        <v>0</v>
      </c>
      <c r="P100" s="593">
        <f>S56*('04 Emissions Factors'!$I$24/1000)</f>
        <v>0</v>
      </c>
      <c r="Q100" s="593">
        <f>T56*('04 Emissions Factors'!$I$24/1000)</f>
        <v>0</v>
      </c>
      <c r="R100" s="593">
        <f>U56*('04 Emissions Factors'!$I$26/1000)</f>
        <v>0</v>
      </c>
      <c r="S100" s="593">
        <f>V56*('04 Emissions Factors'!$I$23/1000)</f>
        <v>0</v>
      </c>
      <c r="T100" s="594">
        <f>W56*('04 Emissions Factors'!$I$30/1000)</f>
        <v>0</v>
      </c>
      <c r="U100" s="593">
        <f>X56*('04 Emissions Factors'!$I$29/1000)</f>
        <v>0</v>
      </c>
      <c r="V100" s="397"/>
      <c r="W100" s="593">
        <f>AB56*('04 Emissions Factors'!$I$22/1000)</f>
        <v>0</v>
      </c>
      <c r="X100" s="593">
        <f>AC56*('04 Emissions Factors'!$I$22/1000)</f>
        <v>0</v>
      </c>
      <c r="Y100" s="593">
        <f>AD56*('04 Emissions Factors'!$I$22/1000)</f>
        <v>2.188947090427037</v>
      </c>
      <c r="Z100" s="593">
        <f>AE56*('04 Emissions Factors'!$I$22/1000)</f>
        <v>280.77606624310897</v>
      </c>
      <c r="AA100" s="593">
        <f>AF56*('04 Emissions Factors'!$I$22/1000)</f>
        <v>0</v>
      </c>
      <c r="AB100" s="593">
        <f>AG56*('04 Emissions Factors'!$I$22/1000)</f>
        <v>0</v>
      </c>
      <c r="AC100" s="593">
        <f>AH56*('04 Emissions Factors'!$I$22/1000)</f>
        <v>0</v>
      </c>
      <c r="AD100" s="593">
        <f>AI56*('04 Emissions Factors'!$I$22/1000)</f>
        <v>0</v>
      </c>
      <c r="AE100" s="593">
        <f>AJ56*('04 Emissions Factors'!$I$22/1000)</f>
        <v>0</v>
      </c>
      <c r="AF100" s="593">
        <f>AK56*('04 Emissions Factors'!$I$22/1000)</f>
        <v>0</v>
      </c>
      <c r="AG100" s="593">
        <f>AL56*('04 Emissions Factors'!$I$22/1000)</f>
        <v>0</v>
      </c>
      <c r="AH100" s="593">
        <f>AM56*('04 Emissions Factors'!$I$22/1000)</f>
        <v>0</v>
      </c>
      <c r="AI100" s="593">
        <f t="shared" si="13"/>
        <v>2.188947090427037</v>
      </c>
      <c r="AJ100" s="593">
        <f t="shared" si="14"/>
        <v>280.77606624310897</v>
      </c>
      <c r="AK100" s="593">
        <f t="shared" si="15"/>
        <v>0</v>
      </c>
      <c r="AL100" s="593">
        <f t="shared" si="16"/>
        <v>0</v>
      </c>
      <c r="AM100" s="593">
        <f t="shared" si="17"/>
        <v>282.96501333353604</v>
      </c>
    </row>
    <row r="101" spans="1:39" ht="12.75">
      <c r="A101" s="329"/>
      <c r="B101" s="432" t="s">
        <v>54</v>
      </c>
      <c r="C101" s="350" t="s">
        <v>124</v>
      </c>
      <c r="D101" s="348"/>
      <c r="E101" s="593">
        <f>E57*('04 Emissions Factors'!$I$22/1000)</f>
        <v>0</v>
      </c>
      <c r="F101" s="593">
        <f>F57*('04 Emissions Factors'!$I$22/1000)</f>
        <v>181.63692620808084</v>
      </c>
      <c r="G101" s="593">
        <f>G57*('04 Emissions Factors'!$I$24/1000)</f>
        <v>0</v>
      </c>
      <c r="H101" s="593">
        <f>H57*('04 Emissions Factors'!$I$24/1000)</f>
        <v>0</v>
      </c>
      <c r="I101" s="593">
        <f>I57*('04 Emissions Factors'!$I$26/1000)</f>
        <v>0</v>
      </c>
      <c r="J101" s="593">
        <f>J57*('04 Emissions Factors'!$I$23/1000)</f>
        <v>0</v>
      </c>
      <c r="K101" s="594">
        <f>K57*('04 Emissions Factors'!$I$30/1000)</f>
        <v>0</v>
      </c>
      <c r="L101" s="593">
        <f>L57*('04 Emissions Factors'!$I$29/1000)</f>
        <v>0</v>
      </c>
      <c r="M101" s="397"/>
      <c r="N101" s="593">
        <f>Q57*('04 Emissions Factors'!$I$22/1000)</f>
        <v>0</v>
      </c>
      <c r="O101" s="593">
        <f>R57*('04 Emissions Factors'!$I$22/1000)</f>
        <v>0</v>
      </c>
      <c r="P101" s="593">
        <f>S57*('04 Emissions Factors'!$I$24/1000)</f>
        <v>0</v>
      </c>
      <c r="Q101" s="593">
        <f>T57*('04 Emissions Factors'!$I$24/1000)</f>
        <v>0</v>
      </c>
      <c r="R101" s="593">
        <f>U57*('04 Emissions Factors'!$I$26/1000)</f>
        <v>0</v>
      </c>
      <c r="S101" s="593">
        <f>V57*('04 Emissions Factors'!$I$23/1000)</f>
        <v>0</v>
      </c>
      <c r="T101" s="594">
        <f>W57*('04 Emissions Factors'!$I$30/1000)</f>
        <v>0</v>
      </c>
      <c r="U101" s="593">
        <f>X57*('04 Emissions Factors'!$I$29/1000)</f>
        <v>0</v>
      </c>
      <c r="V101" s="397"/>
      <c r="W101" s="593">
        <f>AB57*('04 Emissions Factors'!$I$22/1000)</f>
        <v>0</v>
      </c>
      <c r="X101" s="593">
        <f>AC57*('04 Emissions Factors'!$I$22/1000)</f>
        <v>0</v>
      </c>
      <c r="Y101" s="593">
        <f>AD57*('04 Emissions Factors'!$I$22/1000)</f>
        <v>0</v>
      </c>
      <c r="Z101" s="593">
        <f>AE57*('04 Emissions Factors'!$I$22/1000)</f>
        <v>0</v>
      </c>
      <c r="AA101" s="593">
        <f>AF57*('04 Emissions Factors'!$I$22/1000)</f>
        <v>0</v>
      </c>
      <c r="AB101" s="593">
        <f>AG57*('04 Emissions Factors'!$I$22/1000)</f>
        <v>0</v>
      </c>
      <c r="AC101" s="593">
        <f>AH57*('04 Emissions Factors'!$I$22/1000)</f>
        <v>0</v>
      </c>
      <c r="AD101" s="593">
        <f>AI57*('04 Emissions Factors'!$I$22/1000)</f>
        <v>0</v>
      </c>
      <c r="AE101" s="593">
        <f>AJ57*('04 Emissions Factors'!$I$22/1000)</f>
        <v>0</v>
      </c>
      <c r="AF101" s="593">
        <f>AK57*('04 Emissions Factors'!$I$22/1000)</f>
        <v>0</v>
      </c>
      <c r="AG101" s="593">
        <f>AL57*('04 Emissions Factors'!$I$22/1000)</f>
        <v>0</v>
      </c>
      <c r="AH101" s="593">
        <f>AM57*('04 Emissions Factors'!$I$22/1000)</f>
        <v>0</v>
      </c>
      <c r="AI101" s="593">
        <f t="shared" si="13"/>
        <v>0</v>
      </c>
      <c r="AJ101" s="593">
        <f t="shared" si="14"/>
        <v>181.63692620808084</v>
      </c>
      <c r="AK101" s="593">
        <f t="shared" si="15"/>
        <v>0</v>
      </c>
      <c r="AL101" s="593">
        <f t="shared" si="16"/>
        <v>0</v>
      </c>
      <c r="AM101" s="593">
        <f t="shared" si="17"/>
        <v>181.63692620808084</v>
      </c>
    </row>
    <row r="102" spans="1:39" ht="12.75">
      <c r="A102" s="329"/>
      <c r="B102" s="432" t="s">
        <v>55</v>
      </c>
      <c r="C102" s="350" t="s">
        <v>125</v>
      </c>
      <c r="D102" s="348"/>
      <c r="E102" s="593">
        <f>E58*('04 Emissions Factors'!$I$22/1000)</f>
        <v>0</v>
      </c>
      <c r="F102" s="593">
        <f>F58*('04 Emissions Factors'!$I$22/1000)</f>
        <v>0</v>
      </c>
      <c r="G102" s="593">
        <f>G58*('04 Emissions Factors'!$I$24/1000)</f>
        <v>0</v>
      </c>
      <c r="H102" s="593">
        <f>H58*('04 Emissions Factors'!$I$24/1000)</f>
        <v>0</v>
      </c>
      <c r="I102" s="593">
        <f>I58*('04 Emissions Factors'!$I$26/1000)</f>
        <v>0</v>
      </c>
      <c r="J102" s="593">
        <f>J58*('04 Emissions Factors'!$I$23/1000)</f>
        <v>0</v>
      </c>
      <c r="K102" s="594">
        <f>K58*('04 Emissions Factors'!$I$30/1000)</f>
        <v>0</v>
      </c>
      <c r="L102" s="593">
        <f>L58*('04 Emissions Factors'!$I$29/1000)</f>
        <v>0</v>
      </c>
      <c r="M102" s="397"/>
      <c r="N102" s="593">
        <f>Q58*('04 Emissions Factors'!$I$22/1000)</f>
        <v>0</v>
      </c>
      <c r="O102" s="593">
        <f>R58*('04 Emissions Factors'!$I$22/1000)</f>
        <v>288.3215784615684</v>
      </c>
      <c r="P102" s="593">
        <f>S58*('04 Emissions Factors'!$I$24/1000)</f>
        <v>0</v>
      </c>
      <c r="Q102" s="593">
        <f>T58*('04 Emissions Factors'!$I$24/1000)</f>
        <v>0</v>
      </c>
      <c r="R102" s="593">
        <f>U58*('04 Emissions Factors'!$I$26/1000)</f>
        <v>0</v>
      </c>
      <c r="S102" s="593">
        <f>V58*('04 Emissions Factors'!$I$23/1000)</f>
        <v>0</v>
      </c>
      <c r="T102" s="594">
        <f>W58*('04 Emissions Factors'!$I$30/1000)</f>
        <v>0</v>
      </c>
      <c r="U102" s="593">
        <f>X58*('04 Emissions Factors'!$I$29/1000)</f>
        <v>0</v>
      </c>
      <c r="V102" s="397"/>
      <c r="W102" s="593">
        <f>AB58*('04 Emissions Factors'!$I$22/1000)</f>
        <v>0</v>
      </c>
      <c r="X102" s="593">
        <f>AC58*('04 Emissions Factors'!$I$22/1000)</f>
        <v>0</v>
      </c>
      <c r="Y102" s="593">
        <f>AD58*('04 Emissions Factors'!$I$22/1000)</f>
        <v>0</v>
      </c>
      <c r="Z102" s="593">
        <f>AE58*('04 Emissions Factors'!$I$22/1000)</f>
        <v>0</v>
      </c>
      <c r="AA102" s="593">
        <f>AF58*('04 Emissions Factors'!$I$22/1000)</f>
        <v>0</v>
      </c>
      <c r="AB102" s="593">
        <f>AG58*('04 Emissions Factors'!$I$22/1000)</f>
        <v>0</v>
      </c>
      <c r="AC102" s="593">
        <f>AH58*('04 Emissions Factors'!$I$22/1000)</f>
        <v>0</v>
      </c>
      <c r="AD102" s="593">
        <f>AI58*('04 Emissions Factors'!$I$22/1000)</f>
        <v>0</v>
      </c>
      <c r="AE102" s="593">
        <f>AJ58*('04 Emissions Factors'!$I$22/1000)</f>
        <v>0</v>
      </c>
      <c r="AF102" s="593">
        <f>AK58*('04 Emissions Factors'!$I$22/1000)</f>
        <v>34.04075614184201</v>
      </c>
      <c r="AG102" s="593">
        <f>AL58*('04 Emissions Factors'!$I$22/1000)</f>
        <v>0</v>
      </c>
      <c r="AH102" s="593">
        <f>AM58*('04 Emissions Factors'!$I$22/1000)</f>
        <v>0</v>
      </c>
      <c r="AI102" s="593">
        <f t="shared" si="13"/>
        <v>0</v>
      </c>
      <c r="AJ102" s="593">
        <f t="shared" si="14"/>
        <v>322.3623346034104</v>
      </c>
      <c r="AK102" s="593">
        <f t="shared" si="15"/>
        <v>0</v>
      </c>
      <c r="AL102" s="593">
        <f t="shared" si="16"/>
        <v>0</v>
      </c>
      <c r="AM102" s="593">
        <f t="shared" si="17"/>
        <v>322.3623346034104</v>
      </c>
    </row>
    <row r="103" spans="1:39" ht="12.75">
      <c r="A103" s="329"/>
      <c r="B103" s="432" t="s">
        <v>56</v>
      </c>
      <c r="C103" s="350" t="s">
        <v>126</v>
      </c>
      <c r="D103" s="348"/>
      <c r="E103" s="593">
        <f>E59*('04 Emissions Factors'!$I$22/1000)</f>
        <v>0</v>
      </c>
      <c r="F103" s="593">
        <f>F59*('04 Emissions Factors'!$I$22/1000)</f>
        <v>0</v>
      </c>
      <c r="G103" s="593">
        <f>G59*('04 Emissions Factors'!$I$24/1000)</f>
        <v>0</v>
      </c>
      <c r="H103" s="593">
        <f>H59*('04 Emissions Factors'!$I$24/1000)</f>
        <v>0</v>
      </c>
      <c r="I103" s="593">
        <f>I59*('04 Emissions Factors'!$I$26/1000)</f>
        <v>0</v>
      </c>
      <c r="J103" s="593">
        <f>J59*('04 Emissions Factors'!$I$23/1000)</f>
        <v>0</v>
      </c>
      <c r="K103" s="594">
        <f>K59*('04 Emissions Factors'!$I$30/1000)</f>
        <v>0</v>
      </c>
      <c r="L103" s="593">
        <f>L59*('04 Emissions Factors'!$I$29/1000)</f>
        <v>0</v>
      </c>
      <c r="M103" s="397"/>
      <c r="N103" s="593">
        <f>Q59*('04 Emissions Factors'!$I$22/1000)</f>
        <v>0</v>
      </c>
      <c r="O103" s="593">
        <f>R59*('04 Emissions Factors'!$I$22/1000)</f>
        <v>6612.4062060685865</v>
      </c>
      <c r="P103" s="593">
        <f>S59*('04 Emissions Factors'!$I$24/1000)</f>
        <v>0</v>
      </c>
      <c r="Q103" s="593">
        <f>T59*('04 Emissions Factors'!$I$24/1000)</f>
        <v>0</v>
      </c>
      <c r="R103" s="593">
        <f>U59*('04 Emissions Factors'!$I$26/1000)</f>
        <v>0</v>
      </c>
      <c r="S103" s="593">
        <f>V59*('04 Emissions Factors'!$I$23/1000)</f>
        <v>0</v>
      </c>
      <c r="T103" s="594">
        <f>W59*('04 Emissions Factors'!$I$30/1000)</f>
        <v>0</v>
      </c>
      <c r="U103" s="593">
        <f>X59*('04 Emissions Factors'!$I$29/1000)</f>
        <v>0</v>
      </c>
      <c r="V103" s="397"/>
      <c r="W103" s="593">
        <f>AB59*('04 Emissions Factors'!$I$22/1000)</f>
        <v>0</v>
      </c>
      <c r="X103" s="593">
        <f>AC59*('04 Emissions Factors'!$I$22/1000)</f>
        <v>0</v>
      </c>
      <c r="Y103" s="593">
        <f>AD59*('04 Emissions Factors'!$I$22/1000)</f>
        <v>0</v>
      </c>
      <c r="Z103" s="593">
        <f>AE59*('04 Emissions Factors'!$I$22/1000)</f>
        <v>0</v>
      </c>
      <c r="AA103" s="593">
        <f>AF59*('04 Emissions Factors'!$I$22/1000)</f>
        <v>0</v>
      </c>
      <c r="AB103" s="593">
        <f>AG59*('04 Emissions Factors'!$I$22/1000)</f>
        <v>0</v>
      </c>
      <c r="AC103" s="593">
        <f>AH59*('04 Emissions Factors'!$I$22/1000)</f>
        <v>0</v>
      </c>
      <c r="AD103" s="593">
        <f>AI59*('04 Emissions Factors'!$I$22/1000)</f>
        <v>0</v>
      </c>
      <c r="AE103" s="593">
        <f>AJ59*('04 Emissions Factors'!$I$22/1000)</f>
        <v>0</v>
      </c>
      <c r="AF103" s="593">
        <f>AK59*('04 Emissions Factors'!$I$22/1000)</f>
        <v>0</v>
      </c>
      <c r="AG103" s="593">
        <f>AL59*('04 Emissions Factors'!$I$22/1000)</f>
        <v>0</v>
      </c>
      <c r="AH103" s="593">
        <f>AM59*('04 Emissions Factors'!$I$22/1000)</f>
        <v>0</v>
      </c>
      <c r="AI103" s="593">
        <f t="shared" si="13"/>
        <v>0</v>
      </c>
      <c r="AJ103" s="593">
        <f t="shared" si="14"/>
        <v>6612.4062060685865</v>
      </c>
      <c r="AK103" s="593">
        <f t="shared" si="15"/>
        <v>0</v>
      </c>
      <c r="AL103" s="593">
        <f t="shared" si="16"/>
        <v>0</v>
      </c>
      <c r="AM103" s="593">
        <f t="shared" si="17"/>
        <v>6612.4062060685865</v>
      </c>
    </row>
    <row r="104" spans="1:39" ht="12.75">
      <c r="A104" s="329"/>
      <c r="B104" s="432" t="s">
        <v>57</v>
      </c>
      <c r="C104" s="350" t="s">
        <v>127</v>
      </c>
      <c r="D104" s="348"/>
      <c r="E104" s="593">
        <f>E60*('04 Emissions Factors'!$I$22/1000)</f>
        <v>0</v>
      </c>
      <c r="F104" s="593">
        <f>F60*('04 Emissions Factors'!$I$22/1000)</f>
        <v>0</v>
      </c>
      <c r="G104" s="593">
        <f>G60*('04 Emissions Factors'!$I$24/1000)</f>
        <v>0</v>
      </c>
      <c r="H104" s="593">
        <f>H60*('04 Emissions Factors'!$I$24/1000)</f>
        <v>0</v>
      </c>
      <c r="I104" s="593">
        <f>I60*('04 Emissions Factors'!$I$26/1000)</f>
        <v>0</v>
      </c>
      <c r="J104" s="593">
        <f>J60*('04 Emissions Factors'!$I$23/1000)</f>
        <v>0</v>
      </c>
      <c r="K104" s="594">
        <f>K60*('04 Emissions Factors'!$I$30/1000)</f>
        <v>0</v>
      </c>
      <c r="L104" s="593">
        <f>L60*('04 Emissions Factors'!$I$29/1000)</f>
        <v>0</v>
      </c>
      <c r="M104" s="397"/>
      <c r="N104" s="593">
        <f>Q60*('04 Emissions Factors'!$I$22/1000)</f>
        <v>0</v>
      </c>
      <c r="O104" s="593">
        <f>R60*('04 Emissions Factors'!$I$22/1000)</f>
        <v>116.34028604589602</v>
      </c>
      <c r="P104" s="593">
        <f>S60*('04 Emissions Factors'!$I$24/1000)</f>
        <v>0</v>
      </c>
      <c r="Q104" s="593">
        <f>T60*('04 Emissions Factors'!$I$24/1000)</f>
        <v>0</v>
      </c>
      <c r="R104" s="593">
        <f>U60*('04 Emissions Factors'!$I$26/1000)</f>
        <v>0</v>
      </c>
      <c r="S104" s="593">
        <f>V60*('04 Emissions Factors'!$I$23/1000)</f>
        <v>0</v>
      </c>
      <c r="T104" s="594">
        <f>W60*('04 Emissions Factors'!$I$30/1000)</f>
        <v>0</v>
      </c>
      <c r="U104" s="593">
        <f>X60*('04 Emissions Factors'!$I$29/1000)</f>
        <v>0</v>
      </c>
      <c r="V104" s="397"/>
      <c r="W104" s="593">
        <f>AB60*('04 Emissions Factors'!$I$22/1000)</f>
        <v>0</v>
      </c>
      <c r="X104" s="593">
        <f>AC60*('04 Emissions Factors'!$I$22/1000)</f>
        <v>0</v>
      </c>
      <c r="Y104" s="593">
        <f>AD60*('04 Emissions Factors'!$I$22/1000)</f>
        <v>0</v>
      </c>
      <c r="Z104" s="593">
        <f>AE60*('04 Emissions Factors'!$I$22/1000)</f>
        <v>0</v>
      </c>
      <c r="AA104" s="593">
        <f>AF60*('04 Emissions Factors'!$I$22/1000)</f>
        <v>0</v>
      </c>
      <c r="AB104" s="593">
        <f>AG60*('04 Emissions Factors'!$I$22/1000)</f>
        <v>0</v>
      </c>
      <c r="AC104" s="593">
        <f>AH60*('04 Emissions Factors'!$I$22/1000)</f>
        <v>0</v>
      </c>
      <c r="AD104" s="593">
        <f>AI60*('04 Emissions Factors'!$I$22/1000)</f>
        <v>0</v>
      </c>
      <c r="AE104" s="593">
        <f>AJ60*('04 Emissions Factors'!$I$22/1000)</f>
        <v>0</v>
      </c>
      <c r="AF104" s="593">
        <f>AK60*('04 Emissions Factors'!$I$22/1000)</f>
        <v>0</v>
      </c>
      <c r="AG104" s="593">
        <f>AL60*('04 Emissions Factors'!$I$22/1000)</f>
        <v>0</v>
      </c>
      <c r="AH104" s="593">
        <f>AM60*('04 Emissions Factors'!$I$22/1000)</f>
        <v>0</v>
      </c>
      <c r="AI104" s="593">
        <f t="shared" si="13"/>
        <v>0</v>
      </c>
      <c r="AJ104" s="593">
        <f t="shared" si="14"/>
        <v>116.34028604589602</v>
      </c>
      <c r="AK104" s="593">
        <f t="shared" si="15"/>
        <v>0</v>
      </c>
      <c r="AL104" s="593">
        <f t="shared" si="16"/>
        <v>0</v>
      </c>
      <c r="AM104" s="593">
        <f t="shared" si="17"/>
        <v>116.34028604589602</v>
      </c>
    </row>
    <row r="105" spans="1:39" ht="12.75">
      <c r="A105" s="329"/>
      <c r="B105" s="432" t="s">
        <v>58</v>
      </c>
      <c r="C105" s="350" t="s">
        <v>128</v>
      </c>
      <c r="D105" s="348"/>
      <c r="E105" s="593">
        <f>E61*('04 Emissions Factors'!$I$22/1000)</f>
        <v>0</v>
      </c>
      <c r="F105" s="593">
        <f>F61*('04 Emissions Factors'!$I$22/1000)</f>
        <v>15099.112741007939</v>
      </c>
      <c r="G105" s="593">
        <f>G61*('04 Emissions Factors'!$I$24/1000)</f>
        <v>0</v>
      </c>
      <c r="H105" s="593">
        <f>H61*('04 Emissions Factors'!$I$24/1000)</f>
        <v>0</v>
      </c>
      <c r="I105" s="593">
        <f>I61*('04 Emissions Factors'!$I$26/1000)</f>
        <v>0</v>
      </c>
      <c r="J105" s="593">
        <f>J61*('04 Emissions Factors'!$I$23/1000)</f>
        <v>0</v>
      </c>
      <c r="K105" s="594">
        <f>K61*('04 Emissions Factors'!$I$30/1000)</f>
        <v>0</v>
      </c>
      <c r="L105" s="593">
        <f>L61*('04 Emissions Factors'!$I$29/1000)</f>
        <v>0</v>
      </c>
      <c r="M105" s="397"/>
      <c r="N105" s="593">
        <f>Q61*('04 Emissions Factors'!$I$22/1000)</f>
        <v>0</v>
      </c>
      <c r="O105" s="593">
        <f>R61*('04 Emissions Factors'!$I$22/1000)</f>
        <v>0</v>
      </c>
      <c r="P105" s="593">
        <f>S61*('04 Emissions Factors'!$I$24/1000)</f>
        <v>0</v>
      </c>
      <c r="Q105" s="593">
        <f>T61*('04 Emissions Factors'!$I$24/1000)</f>
        <v>0</v>
      </c>
      <c r="R105" s="593">
        <f>U61*('04 Emissions Factors'!$I$26/1000)</f>
        <v>0</v>
      </c>
      <c r="S105" s="593">
        <f>V61*('04 Emissions Factors'!$I$23/1000)</f>
        <v>0</v>
      </c>
      <c r="T105" s="594">
        <f>W61*('04 Emissions Factors'!$I$30/1000)</f>
        <v>0</v>
      </c>
      <c r="U105" s="593">
        <f>X61*('04 Emissions Factors'!$I$29/1000)</f>
        <v>0</v>
      </c>
      <c r="V105" s="397"/>
      <c r="W105" s="593">
        <f>AB61*('04 Emissions Factors'!$I$22/1000)</f>
        <v>0</v>
      </c>
      <c r="X105" s="593">
        <f>AC61*('04 Emissions Factors'!$I$22/1000)</f>
        <v>0</v>
      </c>
      <c r="Y105" s="593">
        <f>AD61*('04 Emissions Factors'!$I$22/1000)</f>
        <v>0</v>
      </c>
      <c r="Z105" s="593">
        <f>AE61*('04 Emissions Factors'!$I$22/1000)</f>
        <v>0</v>
      </c>
      <c r="AA105" s="593">
        <f>AF61*('04 Emissions Factors'!$I$22/1000)</f>
        <v>0</v>
      </c>
      <c r="AB105" s="593">
        <f>AG61*('04 Emissions Factors'!$I$22/1000)</f>
        <v>0</v>
      </c>
      <c r="AC105" s="593">
        <f>AH61*('04 Emissions Factors'!$I$22/1000)</f>
        <v>0</v>
      </c>
      <c r="AD105" s="593">
        <f>AI61*('04 Emissions Factors'!$I$22/1000)</f>
        <v>0</v>
      </c>
      <c r="AE105" s="593">
        <f>AJ61*('04 Emissions Factors'!$I$22/1000)</f>
        <v>0</v>
      </c>
      <c r="AF105" s="593">
        <f>AK61*('04 Emissions Factors'!$I$22/1000)</f>
        <v>0</v>
      </c>
      <c r="AG105" s="593">
        <f>AL61*('04 Emissions Factors'!$I$22/1000)</f>
        <v>0</v>
      </c>
      <c r="AH105" s="593">
        <f>AM61*('04 Emissions Factors'!$I$22/1000)</f>
        <v>0</v>
      </c>
      <c r="AI105" s="593">
        <f t="shared" si="13"/>
        <v>0</v>
      </c>
      <c r="AJ105" s="593">
        <f t="shared" si="14"/>
        <v>15099.112741007939</v>
      </c>
      <c r="AK105" s="593">
        <f t="shared" si="15"/>
        <v>0</v>
      </c>
      <c r="AL105" s="593">
        <f t="shared" si="16"/>
        <v>0</v>
      </c>
      <c r="AM105" s="593">
        <f t="shared" si="17"/>
        <v>15099.112741007939</v>
      </c>
    </row>
    <row r="106" spans="1:39" ht="12.75">
      <c r="A106" s="329"/>
      <c r="B106" s="432" t="s">
        <v>59</v>
      </c>
      <c r="C106" s="350" t="s">
        <v>129</v>
      </c>
      <c r="D106" s="348"/>
      <c r="E106" s="593">
        <f>E62*('04 Emissions Factors'!$I$22/1000)</f>
        <v>0</v>
      </c>
      <c r="F106" s="593">
        <f>F62*('04 Emissions Factors'!$I$22/1000)</f>
        <v>0</v>
      </c>
      <c r="G106" s="593">
        <f>G62*('04 Emissions Factors'!$I$24/1000)</f>
        <v>0</v>
      </c>
      <c r="H106" s="593">
        <f>H62*('04 Emissions Factors'!$I$24/1000)</f>
        <v>0</v>
      </c>
      <c r="I106" s="593">
        <f>I62*('04 Emissions Factors'!$I$26/1000)</f>
        <v>0</v>
      </c>
      <c r="J106" s="593">
        <f>J62*('04 Emissions Factors'!$I$23/1000)</f>
        <v>0</v>
      </c>
      <c r="K106" s="594">
        <f>K62*('04 Emissions Factors'!$I$30/1000)</f>
        <v>0</v>
      </c>
      <c r="L106" s="593">
        <f>L62*('04 Emissions Factors'!$I$29/1000)</f>
        <v>0</v>
      </c>
      <c r="M106" s="397"/>
      <c r="N106" s="593">
        <f>Q62*('04 Emissions Factors'!$I$22/1000)</f>
        <v>0</v>
      </c>
      <c r="O106" s="593">
        <f>R62*('04 Emissions Factors'!$I$22/1000)</f>
        <v>0</v>
      </c>
      <c r="P106" s="593">
        <f>S62*('04 Emissions Factors'!$I$24/1000)</f>
        <v>0</v>
      </c>
      <c r="Q106" s="593">
        <f>T62*('04 Emissions Factors'!$I$24/1000)</f>
        <v>0</v>
      </c>
      <c r="R106" s="593">
        <f>U62*('04 Emissions Factors'!$I$26/1000)</f>
        <v>0</v>
      </c>
      <c r="S106" s="593">
        <f>V62*('04 Emissions Factors'!$I$23/1000)</f>
        <v>0</v>
      </c>
      <c r="T106" s="594">
        <f>W62*('04 Emissions Factors'!$I$30/1000)</f>
        <v>0</v>
      </c>
      <c r="U106" s="593">
        <f>X62*('04 Emissions Factors'!$I$29/1000)</f>
        <v>0</v>
      </c>
      <c r="V106" s="397"/>
      <c r="W106" s="593">
        <f>AB62*('04 Emissions Factors'!$I$22/1000)</f>
        <v>0</v>
      </c>
      <c r="X106" s="593">
        <f>AC62*('04 Emissions Factors'!$I$22/1000)</f>
        <v>0</v>
      </c>
      <c r="Y106" s="593">
        <f>AD62*('04 Emissions Factors'!$I$22/1000)</f>
        <v>0</v>
      </c>
      <c r="Z106" s="593">
        <f>AE62*('04 Emissions Factors'!$I$22/1000)</f>
        <v>0</v>
      </c>
      <c r="AA106" s="593">
        <f>AF62*('04 Emissions Factors'!$I$22/1000)</f>
        <v>0</v>
      </c>
      <c r="AB106" s="593">
        <f>AG62*('04 Emissions Factors'!$I$22/1000)</f>
        <v>0</v>
      </c>
      <c r="AC106" s="593">
        <f>AH62*('04 Emissions Factors'!$I$22/1000)</f>
        <v>0</v>
      </c>
      <c r="AD106" s="593">
        <f>AI62*('04 Emissions Factors'!$I$22/1000)</f>
        <v>0</v>
      </c>
      <c r="AE106" s="593">
        <f>AJ62*('04 Emissions Factors'!$I$22/1000)</f>
        <v>0</v>
      </c>
      <c r="AF106" s="593">
        <f>AK62*('04 Emissions Factors'!$I$22/1000)</f>
        <v>0</v>
      </c>
      <c r="AG106" s="593">
        <f>AL62*('04 Emissions Factors'!$I$22/1000)</f>
        <v>0</v>
      </c>
      <c r="AH106" s="593">
        <f>AM62*('04 Emissions Factors'!$I$22/1000)</f>
        <v>0</v>
      </c>
      <c r="AI106" s="593">
        <f t="shared" si="13"/>
        <v>0</v>
      </c>
      <c r="AJ106" s="593">
        <f t="shared" si="14"/>
        <v>0</v>
      </c>
      <c r="AK106" s="593">
        <f t="shared" si="15"/>
        <v>0</v>
      </c>
      <c r="AL106" s="593">
        <f t="shared" si="16"/>
        <v>0</v>
      </c>
      <c r="AM106" s="593">
        <f t="shared" si="17"/>
        <v>0</v>
      </c>
    </row>
    <row r="107" spans="1:39" ht="12.75">
      <c r="A107" s="329"/>
      <c r="B107" s="432" t="s">
        <v>60</v>
      </c>
      <c r="C107" s="350" t="s">
        <v>130</v>
      </c>
      <c r="D107" s="348"/>
      <c r="E107" s="593">
        <f>E63*('04 Emissions Factors'!$I$22/1000)</f>
        <v>0</v>
      </c>
      <c r="F107" s="593">
        <f>F63*('04 Emissions Factors'!$I$22/1000)</f>
        <v>0</v>
      </c>
      <c r="G107" s="593">
        <f>G63*('04 Emissions Factors'!$I$24/1000)</f>
        <v>0</v>
      </c>
      <c r="H107" s="593">
        <f>H63*('04 Emissions Factors'!$I$24/1000)</f>
        <v>0</v>
      </c>
      <c r="I107" s="593">
        <f>I63*('04 Emissions Factors'!$I$26/1000)</f>
        <v>0</v>
      </c>
      <c r="J107" s="593">
        <f>J63*('04 Emissions Factors'!$I$23/1000)</f>
        <v>0</v>
      </c>
      <c r="K107" s="594">
        <f>K63*('04 Emissions Factors'!$I$30/1000)</f>
        <v>0</v>
      </c>
      <c r="L107" s="593">
        <f>L63*('04 Emissions Factors'!$I$29/1000)</f>
        <v>0</v>
      </c>
      <c r="M107" s="397"/>
      <c r="N107" s="593">
        <f>Q63*('04 Emissions Factors'!$I$22/1000)</f>
        <v>0</v>
      </c>
      <c r="O107" s="593">
        <f>R63*('04 Emissions Factors'!$I$22/1000)</f>
        <v>0</v>
      </c>
      <c r="P107" s="593">
        <f>S63*('04 Emissions Factors'!$I$24/1000)</f>
        <v>0</v>
      </c>
      <c r="Q107" s="593">
        <f>T63*('04 Emissions Factors'!$I$24/1000)</f>
        <v>0</v>
      </c>
      <c r="R107" s="593">
        <f>U63*('04 Emissions Factors'!$I$26/1000)</f>
        <v>0</v>
      </c>
      <c r="S107" s="593">
        <f>V63*('04 Emissions Factors'!$I$23/1000)</f>
        <v>0</v>
      </c>
      <c r="T107" s="594">
        <f>W63*('04 Emissions Factors'!$I$30/1000)</f>
        <v>0</v>
      </c>
      <c r="U107" s="593">
        <f>X63*('04 Emissions Factors'!$I$29/1000)</f>
        <v>0</v>
      </c>
      <c r="V107" s="397"/>
      <c r="W107" s="593">
        <f>AB63*('04 Emissions Factors'!$I$22/1000)</f>
        <v>0</v>
      </c>
      <c r="X107" s="593">
        <f>AC63*('04 Emissions Factors'!$I$22/1000)</f>
        <v>0</v>
      </c>
      <c r="Y107" s="593">
        <f>AD63*('04 Emissions Factors'!$I$22/1000)</f>
        <v>0</v>
      </c>
      <c r="Z107" s="593">
        <f>AE63*('04 Emissions Factors'!$I$22/1000)</f>
        <v>0</v>
      </c>
      <c r="AA107" s="593">
        <f>AF63*('04 Emissions Factors'!$I$22/1000)</f>
        <v>0</v>
      </c>
      <c r="AB107" s="593">
        <f>AG63*('04 Emissions Factors'!$I$22/1000)</f>
        <v>239.30013649122435</v>
      </c>
      <c r="AC107" s="593">
        <f>AH63*('04 Emissions Factors'!$I$22/1000)</f>
        <v>0</v>
      </c>
      <c r="AD107" s="593">
        <f>AI63*('04 Emissions Factors'!$I$22/1000)</f>
        <v>0</v>
      </c>
      <c r="AE107" s="593">
        <f>AJ63*('04 Emissions Factors'!$I$22/1000)</f>
        <v>0</v>
      </c>
      <c r="AF107" s="593">
        <f>AK63*('04 Emissions Factors'!$I$22/1000)</f>
        <v>0</v>
      </c>
      <c r="AG107" s="593">
        <f>AL63*('04 Emissions Factors'!$I$22/1000)</f>
        <v>0</v>
      </c>
      <c r="AH107" s="593">
        <f>AM63*('04 Emissions Factors'!$I$22/1000)</f>
        <v>0</v>
      </c>
      <c r="AI107" s="593">
        <f t="shared" si="13"/>
        <v>0</v>
      </c>
      <c r="AJ107" s="593">
        <f t="shared" si="14"/>
        <v>239.30013649122435</v>
      </c>
      <c r="AK107" s="593">
        <f t="shared" si="15"/>
        <v>0</v>
      </c>
      <c r="AL107" s="593">
        <f t="shared" si="16"/>
        <v>0</v>
      </c>
      <c r="AM107" s="593">
        <f t="shared" si="17"/>
        <v>239.30013649122435</v>
      </c>
    </row>
    <row r="108" spans="1:39" ht="12.75">
      <c r="A108" s="329"/>
      <c r="B108" s="432" t="s">
        <v>61</v>
      </c>
      <c r="C108" s="350" t="s">
        <v>131</v>
      </c>
      <c r="D108" s="348"/>
      <c r="E108" s="593">
        <f>E64*('04 Emissions Factors'!$I$22/1000)</f>
        <v>0</v>
      </c>
      <c r="F108" s="593">
        <f>F64*('04 Emissions Factors'!$I$22/1000)</f>
        <v>0</v>
      </c>
      <c r="G108" s="593">
        <f>G64*('04 Emissions Factors'!$I$24/1000)</f>
        <v>0</v>
      </c>
      <c r="H108" s="593">
        <f>H64*('04 Emissions Factors'!$I$24/1000)</f>
        <v>0</v>
      </c>
      <c r="I108" s="593">
        <f>I64*('04 Emissions Factors'!$I$26/1000)</f>
        <v>0</v>
      </c>
      <c r="J108" s="593">
        <f>J64*('04 Emissions Factors'!$I$23/1000)</f>
        <v>0</v>
      </c>
      <c r="K108" s="594">
        <f>K64*('04 Emissions Factors'!$I$30/1000)</f>
        <v>0</v>
      </c>
      <c r="L108" s="593">
        <f>L64*('04 Emissions Factors'!$I$29/1000)</f>
        <v>0</v>
      </c>
      <c r="M108" s="397"/>
      <c r="N108" s="593">
        <f>Q64*('04 Emissions Factors'!$I$22/1000)</f>
        <v>0</v>
      </c>
      <c r="O108" s="593">
        <f>R64*('04 Emissions Factors'!$I$22/1000)</f>
        <v>2929.437696871765</v>
      </c>
      <c r="P108" s="593">
        <f>S64*('04 Emissions Factors'!$I$24/1000)</f>
        <v>0</v>
      </c>
      <c r="Q108" s="593">
        <f>T64*('04 Emissions Factors'!$I$24/1000)</f>
        <v>0</v>
      </c>
      <c r="R108" s="593">
        <f>U64*('04 Emissions Factors'!$I$26/1000)</f>
        <v>0</v>
      </c>
      <c r="S108" s="593">
        <f>V64*('04 Emissions Factors'!$I$23/1000)</f>
        <v>0</v>
      </c>
      <c r="T108" s="594">
        <f>W64*('04 Emissions Factors'!$I$30/1000)</f>
        <v>0</v>
      </c>
      <c r="U108" s="593">
        <f>X64*('04 Emissions Factors'!$I$29/1000)</f>
        <v>0</v>
      </c>
      <c r="V108" s="397"/>
      <c r="W108" s="593">
        <f>AB64*('04 Emissions Factors'!$I$22/1000)</f>
        <v>0</v>
      </c>
      <c r="X108" s="593">
        <f>AC64*('04 Emissions Factors'!$I$22/1000)</f>
        <v>0</v>
      </c>
      <c r="Y108" s="593">
        <f>AD64*('04 Emissions Factors'!$I$22/1000)</f>
        <v>0</v>
      </c>
      <c r="Z108" s="593">
        <f>AE64*('04 Emissions Factors'!$I$22/1000)</f>
        <v>0</v>
      </c>
      <c r="AA108" s="593">
        <f>AF64*('04 Emissions Factors'!$I$22/1000)</f>
        <v>0</v>
      </c>
      <c r="AB108" s="593">
        <f>AG64*('04 Emissions Factors'!$I$22/1000)</f>
        <v>0</v>
      </c>
      <c r="AC108" s="593">
        <f>AH64*('04 Emissions Factors'!$I$22/1000)</f>
        <v>0</v>
      </c>
      <c r="AD108" s="593">
        <f>AI64*('04 Emissions Factors'!$I$22/1000)</f>
        <v>0</v>
      </c>
      <c r="AE108" s="593">
        <f>AJ64*('04 Emissions Factors'!$I$22/1000)</f>
        <v>0</v>
      </c>
      <c r="AF108" s="593">
        <f>AK64*('04 Emissions Factors'!$I$22/1000)</f>
        <v>0</v>
      </c>
      <c r="AG108" s="593">
        <f>AL64*('04 Emissions Factors'!$I$22/1000)</f>
        <v>0</v>
      </c>
      <c r="AH108" s="593">
        <f>AM64*('04 Emissions Factors'!$I$22/1000)</f>
        <v>0</v>
      </c>
      <c r="AI108" s="593">
        <f t="shared" si="13"/>
        <v>0</v>
      </c>
      <c r="AJ108" s="593">
        <f t="shared" si="14"/>
        <v>2929.437696871765</v>
      </c>
      <c r="AK108" s="593">
        <f t="shared" si="15"/>
        <v>0</v>
      </c>
      <c r="AL108" s="593">
        <f t="shared" si="16"/>
        <v>0</v>
      </c>
      <c r="AM108" s="593">
        <f t="shared" si="17"/>
        <v>2929.437696871765</v>
      </c>
    </row>
    <row r="109" spans="1:39" ht="12.75">
      <c r="A109" s="329"/>
      <c r="B109" s="432" t="s">
        <v>62</v>
      </c>
      <c r="C109" s="350" t="s">
        <v>132</v>
      </c>
      <c r="D109" s="348"/>
      <c r="E109" s="593">
        <f>E65*('04 Emissions Factors'!$I$22/1000)</f>
        <v>562882.4708216467</v>
      </c>
      <c r="F109" s="593">
        <f>F65*('04 Emissions Factors'!$I$22/1000)</f>
        <v>73823.8790582508</v>
      </c>
      <c r="G109" s="593">
        <f>G65*('04 Emissions Factors'!$I$24/1000)</f>
        <v>4735.043843842237</v>
      </c>
      <c r="H109" s="593">
        <f>H65*('04 Emissions Factors'!$I$24/1000)</f>
        <v>24654.43087798364</v>
      </c>
      <c r="I109" s="593">
        <f>I65*('04 Emissions Factors'!$I$26/1000)</f>
        <v>6.1220015700410615</v>
      </c>
      <c r="J109" s="593">
        <f>J65*('04 Emissions Factors'!$I$23/1000)</f>
        <v>344.5300767948778</v>
      </c>
      <c r="K109" s="594">
        <f>K65*('04 Emissions Factors'!$I$30/1000)</f>
        <v>3496.6310800770893</v>
      </c>
      <c r="L109" s="593">
        <f>L65*('04 Emissions Factors'!$I$29/1000)</f>
        <v>2777.584766176485</v>
      </c>
      <c r="M109" s="397">
        <v>52359.71270999997</v>
      </c>
      <c r="N109" s="593">
        <f>Q65*('04 Emissions Factors'!$I$22/1000)</f>
        <v>0</v>
      </c>
      <c r="O109" s="593">
        <f>R65*('04 Emissions Factors'!$I$22/1000)</f>
        <v>0</v>
      </c>
      <c r="P109" s="593">
        <f>S65*('04 Emissions Factors'!$I$24/1000)</f>
        <v>0</v>
      </c>
      <c r="Q109" s="593">
        <f>T65*('04 Emissions Factors'!$I$24/1000)</f>
        <v>0</v>
      </c>
      <c r="R109" s="593">
        <f>U65*('04 Emissions Factors'!$I$26/1000)</f>
        <v>0</v>
      </c>
      <c r="S109" s="593">
        <f>V65*('04 Emissions Factors'!$I$23/1000)</f>
        <v>0</v>
      </c>
      <c r="T109" s="594">
        <f>W65*('04 Emissions Factors'!$I$30/1000)</f>
        <v>0</v>
      </c>
      <c r="U109" s="593">
        <f>X65*('04 Emissions Factors'!$I$29/1000)</f>
        <v>0</v>
      </c>
      <c r="V109" s="397"/>
      <c r="W109" s="593">
        <f>AB65*('04 Emissions Factors'!$I$22/1000)</f>
        <v>0</v>
      </c>
      <c r="X109" s="593">
        <f>AC65*('04 Emissions Factors'!$I$22/1000)</f>
        <v>0</v>
      </c>
      <c r="Y109" s="593">
        <f>AD65*('04 Emissions Factors'!$I$22/1000)</f>
        <v>0</v>
      </c>
      <c r="Z109" s="593">
        <f>AE65*('04 Emissions Factors'!$I$22/1000)</f>
        <v>0</v>
      </c>
      <c r="AA109" s="593">
        <f>AF65*('04 Emissions Factors'!$I$22/1000)</f>
        <v>966.2098630076204</v>
      </c>
      <c r="AB109" s="593">
        <f>AG65*('04 Emissions Factors'!$I$22/1000)</f>
        <v>973.5565762742142</v>
      </c>
      <c r="AC109" s="593">
        <f>AH65*('04 Emissions Factors'!$I$22/1000)</f>
        <v>0</v>
      </c>
      <c r="AD109" s="593">
        <f>AI65*('04 Emissions Factors'!$I$22/1000)</f>
        <v>84.7479839546508</v>
      </c>
      <c r="AE109" s="593">
        <f>AJ65*('04 Emissions Factors'!$I$22/1000)</f>
        <v>0</v>
      </c>
      <c r="AF109" s="593">
        <f>AK65*('04 Emissions Factors'!$I$22/1000)</f>
        <v>0</v>
      </c>
      <c r="AG109" s="593">
        <f>AL65*('04 Emissions Factors'!$I$22/1000)</f>
        <v>0</v>
      </c>
      <c r="AH109" s="593">
        <f>AM65*('04 Emissions Factors'!$I$22/1000)</f>
        <v>0</v>
      </c>
      <c r="AI109" s="593">
        <f t="shared" si="13"/>
        <v>563848.6806846544</v>
      </c>
      <c r="AJ109" s="593">
        <f t="shared" si="14"/>
        <v>74882.18361847967</v>
      </c>
      <c r="AK109" s="593">
        <f t="shared" si="15"/>
        <v>29740.1268001908</v>
      </c>
      <c r="AL109" s="593">
        <f t="shared" si="16"/>
        <v>6274.2158462535745</v>
      </c>
      <c r="AM109" s="593">
        <f t="shared" si="17"/>
        <v>674745.2069495784</v>
      </c>
    </row>
    <row r="110" spans="1:39" ht="12.75">
      <c r="A110" s="329"/>
      <c r="B110" s="432" t="s">
        <v>63</v>
      </c>
      <c r="C110" s="350" t="s">
        <v>133</v>
      </c>
      <c r="D110" s="348"/>
      <c r="E110" s="593">
        <f>E66*('04 Emissions Factors'!$I$22/1000)</f>
        <v>0</v>
      </c>
      <c r="F110" s="593">
        <f>F66*('04 Emissions Factors'!$I$22/1000)</f>
        <v>105488.55846019855</v>
      </c>
      <c r="G110" s="593">
        <f>G66*('04 Emissions Factors'!$I$24/1000)</f>
        <v>0</v>
      </c>
      <c r="H110" s="593">
        <f>H66*('04 Emissions Factors'!$I$24/1000)</f>
        <v>0</v>
      </c>
      <c r="I110" s="593">
        <f>I66*('04 Emissions Factors'!$I$26/1000)</f>
        <v>0</v>
      </c>
      <c r="J110" s="593">
        <f>J66*('04 Emissions Factors'!$I$23/1000)</f>
        <v>0</v>
      </c>
      <c r="K110" s="594">
        <f>K66*('04 Emissions Factors'!$I$30/1000)</f>
        <v>0.4545075725216601</v>
      </c>
      <c r="L110" s="593">
        <f>L66*('04 Emissions Factors'!$I$29/1000)</f>
        <v>0.4327762230799176</v>
      </c>
      <c r="M110" s="397"/>
      <c r="N110" s="593">
        <f>Q66*('04 Emissions Factors'!$I$22/1000)</f>
        <v>0</v>
      </c>
      <c r="O110" s="593">
        <f>R66*('04 Emissions Factors'!$I$22/1000)</f>
        <v>0</v>
      </c>
      <c r="P110" s="593">
        <f>S66*('04 Emissions Factors'!$I$24/1000)</f>
        <v>0</v>
      </c>
      <c r="Q110" s="593">
        <f>T66*('04 Emissions Factors'!$I$24/1000)</f>
        <v>0</v>
      </c>
      <c r="R110" s="593">
        <f>U66*('04 Emissions Factors'!$I$26/1000)</f>
        <v>0</v>
      </c>
      <c r="S110" s="593">
        <f>V66*('04 Emissions Factors'!$I$23/1000)</f>
        <v>0</v>
      </c>
      <c r="T110" s="594">
        <f>W66*('04 Emissions Factors'!$I$30/1000)</f>
        <v>0</v>
      </c>
      <c r="U110" s="593">
        <f>X66*('04 Emissions Factors'!$I$29/1000)</f>
        <v>0</v>
      </c>
      <c r="V110" s="397"/>
      <c r="W110" s="593">
        <f>AB66*('04 Emissions Factors'!$I$22/1000)</f>
        <v>0</v>
      </c>
      <c r="X110" s="593">
        <f>AC66*('04 Emissions Factors'!$I$22/1000)</f>
        <v>0</v>
      </c>
      <c r="Y110" s="593">
        <f>AD66*('04 Emissions Factors'!$I$22/1000)</f>
        <v>0</v>
      </c>
      <c r="Z110" s="593">
        <f>AE66*('04 Emissions Factors'!$I$22/1000)</f>
        <v>0</v>
      </c>
      <c r="AA110" s="593">
        <f>AF66*('04 Emissions Factors'!$I$22/1000)</f>
        <v>0</v>
      </c>
      <c r="AB110" s="593">
        <f>AG66*('04 Emissions Factors'!$I$22/1000)</f>
        <v>0</v>
      </c>
      <c r="AC110" s="593">
        <f>AH66*('04 Emissions Factors'!$I$22/1000)</f>
        <v>0</v>
      </c>
      <c r="AD110" s="593">
        <f>AI66*('04 Emissions Factors'!$I$22/1000)</f>
        <v>0</v>
      </c>
      <c r="AE110" s="593">
        <f>AJ66*('04 Emissions Factors'!$I$22/1000)</f>
        <v>0</v>
      </c>
      <c r="AF110" s="593">
        <f>AK66*('04 Emissions Factors'!$I$22/1000)</f>
        <v>0</v>
      </c>
      <c r="AG110" s="593">
        <f>AL66*('04 Emissions Factors'!$I$22/1000)</f>
        <v>0</v>
      </c>
      <c r="AH110" s="593">
        <f>AM66*('04 Emissions Factors'!$I$22/1000)</f>
        <v>0</v>
      </c>
      <c r="AI110" s="593">
        <f t="shared" si="13"/>
        <v>0</v>
      </c>
      <c r="AJ110" s="593">
        <f t="shared" si="14"/>
        <v>105488.55846019855</v>
      </c>
      <c r="AK110" s="593">
        <f t="shared" si="15"/>
        <v>0</v>
      </c>
      <c r="AL110" s="593">
        <f t="shared" si="16"/>
        <v>0.8872837956015777</v>
      </c>
      <c r="AM110" s="593">
        <f t="shared" si="17"/>
        <v>105489.44574399415</v>
      </c>
    </row>
    <row r="111" spans="1:39" ht="12.75">
      <c r="A111" s="329"/>
      <c r="B111" s="432" t="s">
        <v>64</v>
      </c>
      <c r="C111" s="350" t="s">
        <v>134</v>
      </c>
      <c r="D111" s="348"/>
      <c r="E111" s="593">
        <f>E67*('04 Emissions Factors'!$I$22/1000)</f>
        <v>0</v>
      </c>
      <c r="F111" s="593">
        <f>F67*('04 Emissions Factors'!$I$22/1000)</f>
        <v>0</v>
      </c>
      <c r="G111" s="593">
        <f>G67*('04 Emissions Factors'!$I$24/1000)</f>
        <v>0</v>
      </c>
      <c r="H111" s="593">
        <f>H67*('04 Emissions Factors'!$I$24/1000)</f>
        <v>0</v>
      </c>
      <c r="I111" s="593">
        <f>I67*('04 Emissions Factors'!$I$26/1000)</f>
        <v>0</v>
      </c>
      <c r="J111" s="593">
        <f>J67*('04 Emissions Factors'!$I$23/1000)</f>
        <v>0</v>
      </c>
      <c r="K111" s="594">
        <f>K67*('04 Emissions Factors'!$I$30/1000)</f>
        <v>0</v>
      </c>
      <c r="L111" s="593">
        <f>L67*('04 Emissions Factors'!$I$29/1000)</f>
        <v>0</v>
      </c>
      <c r="M111" s="397"/>
      <c r="N111" s="593">
        <f>Q67*('04 Emissions Factors'!$I$22/1000)</f>
        <v>0</v>
      </c>
      <c r="O111" s="593">
        <f>R67*('04 Emissions Factors'!$I$22/1000)</f>
        <v>0</v>
      </c>
      <c r="P111" s="593">
        <f>S67*('04 Emissions Factors'!$I$24/1000)</f>
        <v>0</v>
      </c>
      <c r="Q111" s="593">
        <f>T67*('04 Emissions Factors'!$I$24/1000)</f>
        <v>0</v>
      </c>
      <c r="R111" s="593">
        <f>U67*('04 Emissions Factors'!$I$26/1000)</f>
        <v>0</v>
      </c>
      <c r="S111" s="593">
        <f>V67*('04 Emissions Factors'!$I$23/1000)</f>
        <v>0</v>
      </c>
      <c r="T111" s="594">
        <f>W67*('04 Emissions Factors'!$I$30/1000)</f>
        <v>0</v>
      </c>
      <c r="U111" s="593">
        <f>X67*('04 Emissions Factors'!$I$29/1000)</f>
        <v>0</v>
      </c>
      <c r="V111" s="397"/>
      <c r="W111" s="593">
        <f>AB67*('04 Emissions Factors'!$I$22/1000)</f>
        <v>0</v>
      </c>
      <c r="X111" s="593">
        <f>AC67*('04 Emissions Factors'!$I$22/1000)</f>
        <v>0</v>
      </c>
      <c r="Y111" s="593">
        <f>AD67*('04 Emissions Factors'!$I$22/1000)</f>
        <v>0</v>
      </c>
      <c r="Z111" s="593">
        <f>AE67*('04 Emissions Factors'!$I$22/1000)</f>
        <v>0</v>
      </c>
      <c r="AA111" s="593">
        <f>AF67*('04 Emissions Factors'!$I$22/1000)</f>
        <v>0</v>
      </c>
      <c r="AB111" s="593">
        <f>AG67*('04 Emissions Factors'!$I$22/1000)</f>
        <v>0</v>
      </c>
      <c r="AC111" s="593">
        <f>AH67*('04 Emissions Factors'!$I$22/1000)</f>
        <v>0</v>
      </c>
      <c r="AD111" s="593">
        <f>AI67*('04 Emissions Factors'!$I$22/1000)</f>
        <v>0</v>
      </c>
      <c r="AE111" s="593">
        <f>AJ67*('04 Emissions Factors'!$I$22/1000)</f>
        <v>0</v>
      </c>
      <c r="AF111" s="593">
        <f>AK67*('04 Emissions Factors'!$I$22/1000)</f>
        <v>0</v>
      </c>
      <c r="AG111" s="593">
        <f>AL67*('04 Emissions Factors'!$I$22/1000)</f>
        <v>0</v>
      </c>
      <c r="AH111" s="593">
        <f>AM67*('04 Emissions Factors'!$I$22/1000)</f>
        <v>0</v>
      </c>
      <c r="AI111" s="593">
        <f t="shared" si="13"/>
        <v>0</v>
      </c>
      <c r="AJ111" s="593">
        <f t="shared" si="14"/>
        <v>0</v>
      </c>
      <c r="AK111" s="593">
        <f t="shared" si="15"/>
        <v>0</v>
      </c>
      <c r="AL111" s="593">
        <f t="shared" si="16"/>
        <v>0</v>
      </c>
      <c r="AM111" s="593">
        <f t="shared" si="17"/>
        <v>0</v>
      </c>
    </row>
    <row r="112" spans="1:39" ht="12.75">
      <c r="A112" s="329"/>
      <c r="B112" s="432" t="s">
        <v>65</v>
      </c>
      <c r="C112" s="350" t="s">
        <v>135</v>
      </c>
      <c r="D112" s="348"/>
      <c r="E112" s="593">
        <f>E68*('04 Emissions Factors'!$I$22/1000)</f>
        <v>0</v>
      </c>
      <c r="F112" s="593">
        <f>F68*('04 Emissions Factors'!$I$22/1000)</f>
        <v>1909.301506780963</v>
      </c>
      <c r="G112" s="593">
        <f>G68*('04 Emissions Factors'!$I$24/1000)</f>
        <v>0</v>
      </c>
      <c r="H112" s="593">
        <f>H68*('04 Emissions Factors'!$I$24/1000)</f>
        <v>0</v>
      </c>
      <c r="I112" s="593">
        <f>I68*('04 Emissions Factors'!$I$26/1000)</f>
        <v>0</v>
      </c>
      <c r="J112" s="593">
        <f>J68*('04 Emissions Factors'!$I$23/1000)</f>
        <v>0</v>
      </c>
      <c r="K112" s="594">
        <f>K68*('04 Emissions Factors'!$I$30/1000)</f>
        <v>0</v>
      </c>
      <c r="L112" s="593">
        <f>L68*('04 Emissions Factors'!$I$29/1000)</f>
        <v>0</v>
      </c>
      <c r="M112" s="397"/>
      <c r="N112" s="593">
        <f>Q68*('04 Emissions Factors'!$I$22/1000)</f>
        <v>0</v>
      </c>
      <c r="O112" s="593">
        <f>R68*('04 Emissions Factors'!$I$22/1000)</f>
        <v>0</v>
      </c>
      <c r="P112" s="593">
        <f>S68*('04 Emissions Factors'!$I$24/1000)</f>
        <v>0</v>
      </c>
      <c r="Q112" s="593">
        <f>T68*('04 Emissions Factors'!$I$24/1000)</f>
        <v>0</v>
      </c>
      <c r="R112" s="593">
        <f>U68*('04 Emissions Factors'!$I$26/1000)</f>
        <v>0</v>
      </c>
      <c r="S112" s="593">
        <f>V68*('04 Emissions Factors'!$I$23/1000)</f>
        <v>0</v>
      </c>
      <c r="T112" s="594">
        <f>W68*('04 Emissions Factors'!$I$30/1000)</f>
        <v>0</v>
      </c>
      <c r="U112" s="593">
        <f>X68*('04 Emissions Factors'!$I$29/1000)</f>
        <v>0</v>
      </c>
      <c r="V112" s="397"/>
      <c r="W112" s="593">
        <f>AB68*('04 Emissions Factors'!$I$22/1000)</f>
        <v>0</v>
      </c>
      <c r="X112" s="593">
        <f>AC68*('04 Emissions Factors'!$I$22/1000)</f>
        <v>0</v>
      </c>
      <c r="Y112" s="593">
        <f>AD68*('04 Emissions Factors'!$I$22/1000)</f>
        <v>0</v>
      </c>
      <c r="Z112" s="593">
        <f>AE68*('04 Emissions Factors'!$I$22/1000)</f>
        <v>0</v>
      </c>
      <c r="AA112" s="593">
        <f>AF68*('04 Emissions Factors'!$I$22/1000)</f>
        <v>0</v>
      </c>
      <c r="AB112" s="593">
        <f>AG68*('04 Emissions Factors'!$I$22/1000)</f>
        <v>0</v>
      </c>
      <c r="AC112" s="593">
        <f>AH68*('04 Emissions Factors'!$I$22/1000)</f>
        <v>0</v>
      </c>
      <c r="AD112" s="593">
        <f>AI68*('04 Emissions Factors'!$I$22/1000)</f>
        <v>0</v>
      </c>
      <c r="AE112" s="593">
        <f>AJ68*('04 Emissions Factors'!$I$22/1000)</f>
        <v>0</v>
      </c>
      <c r="AF112" s="593">
        <f>AK68*('04 Emissions Factors'!$I$22/1000)</f>
        <v>0</v>
      </c>
      <c r="AG112" s="593">
        <f>AL68*('04 Emissions Factors'!$I$22/1000)</f>
        <v>0</v>
      </c>
      <c r="AH112" s="593">
        <f>AM68*('04 Emissions Factors'!$I$22/1000)</f>
        <v>0</v>
      </c>
      <c r="AI112" s="593">
        <f t="shared" si="13"/>
        <v>0</v>
      </c>
      <c r="AJ112" s="593">
        <f t="shared" si="14"/>
        <v>1909.301506780963</v>
      </c>
      <c r="AK112" s="593">
        <f t="shared" si="15"/>
        <v>0</v>
      </c>
      <c r="AL112" s="593">
        <f t="shared" si="16"/>
        <v>0</v>
      </c>
      <c r="AM112" s="593">
        <f t="shared" si="17"/>
        <v>1909.301506780963</v>
      </c>
    </row>
    <row r="113" spans="1:39" ht="12.75">
      <c r="A113" s="329"/>
      <c r="B113" s="432" t="s">
        <v>66</v>
      </c>
      <c r="C113" s="350" t="s">
        <v>136</v>
      </c>
      <c r="D113" s="348"/>
      <c r="E113" s="593">
        <f>E69*('04 Emissions Factors'!$I$22/1000)</f>
        <v>0</v>
      </c>
      <c r="F113" s="593">
        <f>F69*('04 Emissions Factors'!$I$22/1000)</f>
        <v>0</v>
      </c>
      <c r="G113" s="593">
        <f>G69*('04 Emissions Factors'!$I$24/1000)</f>
        <v>0</v>
      </c>
      <c r="H113" s="593">
        <f>H69*('04 Emissions Factors'!$I$24/1000)</f>
        <v>0</v>
      </c>
      <c r="I113" s="593">
        <f>I69*('04 Emissions Factors'!$I$26/1000)</f>
        <v>0</v>
      </c>
      <c r="J113" s="593">
        <f>J69*('04 Emissions Factors'!$I$23/1000)</f>
        <v>0</v>
      </c>
      <c r="K113" s="594">
        <f>K69*('04 Emissions Factors'!$I$30/1000)</f>
        <v>0</v>
      </c>
      <c r="L113" s="593">
        <f>L69*('04 Emissions Factors'!$I$29/1000)</f>
        <v>0</v>
      </c>
      <c r="M113" s="397"/>
      <c r="N113" s="593">
        <f>Q69*('04 Emissions Factors'!$I$22/1000)</f>
        <v>0</v>
      </c>
      <c r="O113" s="593">
        <f>R69*('04 Emissions Factors'!$I$22/1000)</f>
        <v>0</v>
      </c>
      <c r="P113" s="593">
        <f>S69*('04 Emissions Factors'!$I$24/1000)</f>
        <v>0</v>
      </c>
      <c r="Q113" s="593">
        <f>T69*('04 Emissions Factors'!$I$24/1000)</f>
        <v>0</v>
      </c>
      <c r="R113" s="593">
        <f>U69*('04 Emissions Factors'!$I$26/1000)</f>
        <v>0</v>
      </c>
      <c r="S113" s="593">
        <f>V69*('04 Emissions Factors'!$I$23/1000)</f>
        <v>0</v>
      </c>
      <c r="T113" s="594">
        <f>W69*('04 Emissions Factors'!$I$30/1000)</f>
        <v>0</v>
      </c>
      <c r="U113" s="593">
        <f>X69*('04 Emissions Factors'!$I$29/1000)</f>
        <v>0</v>
      </c>
      <c r="V113" s="397"/>
      <c r="W113" s="593">
        <f>AB69*('04 Emissions Factors'!$I$22/1000)</f>
        <v>0</v>
      </c>
      <c r="X113" s="593">
        <f>AC69*('04 Emissions Factors'!$I$22/1000)</f>
        <v>0</v>
      </c>
      <c r="Y113" s="593">
        <f>AD69*('04 Emissions Factors'!$I$22/1000)</f>
        <v>0</v>
      </c>
      <c r="Z113" s="593">
        <f>AE69*('04 Emissions Factors'!$I$22/1000)</f>
        <v>0</v>
      </c>
      <c r="AA113" s="593">
        <f>AF69*('04 Emissions Factors'!$I$22/1000)</f>
        <v>0</v>
      </c>
      <c r="AB113" s="593">
        <f>AG69*('04 Emissions Factors'!$I$22/1000)</f>
        <v>0</v>
      </c>
      <c r="AC113" s="593">
        <f>AH69*('04 Emissions Factors'!$I$22/1000)</f>
        <v>0</v>
      </c>
      <c r="AD113" s="593">
        <f>AI69*('04 Emissions Factors'!$I$22/1000)</f>
        <v>0</v>
      </c>
      <c r="AE113" s="593">
        <f>AJ69*('04 Emissions Factors'!$I$22/1000)</f>
        <v>0</v>
      </c>
      <c r="AF113" s="593">
        <f>AK69*('04 Emissions Factors'!$I$22/1000)</f>
        <v>0</v>
      </c>
      <c r="AG113" s="593">
        <f>AL69*('04 Emissions Factors'!$I$22/1000)</f>
        <v>0</v>
      </c>
      <c r="AH113" s="593">
        <f>AM69*('04 Emissions Factors'!$I$22/1000)</f>
        <v>0</v>
      </c>
      <c r="AI113" s="593">
        <f t="shared" si="13"/>
        <v>0</v>
      </c>
      <c r="AJ113" s="593">
        <f t="shared" si="14"/>
        <v>0</v>
      </c>
      <c r="AK113" s="593">
        <f t="shared" si="15"/>
        <v>0</v>
      </c>
      <c r="AL113" s="593">
        <f t="shared" si="16"/>
        <v>0</v>
      </c>
      <c r="AM113" s="593">
        <f t="shared" si="17"/>
        <v>0</v>
      </c>
    </row>
    <row r="114" spans="1:39" ht="12.75">
      <c r="A114" s="329"/>
      <c r="B114" s="432" t="s">
        <v>67</v>
      </c>
      <c r="C114" s="350" t="s">
        <v>137</v>
      </c>
      <c r="D114" s="348"/>
      <c r="E114" s="593">
        <f>E70*('04 Emissions Factors'!$I$22/1000)</f>
        <v>0</v>
      </c>
      <c r="F114" s="593">
        <f>F70*('04 Emissions Factors'!$I$22/1000)</f>
        <v>0</v>
      </c>
      <c r="G114" s="593">
        <f>G70*('04 Emissions Factors'!$I$24/1000)</f>
        <v>0</v>
      </c>
      <c r="H114" s="593">
        <f>H70*('04 Emissions Factors'!$I$24/1000)</f>
        <v>0</v>
      </c>
      <c r="I114" s="593">
        <f>I70*('04 Emissions Factors'!$I$26/1000)</f>
        <v>0</v>
      </c>
      <c r="J114" s="593">
        <f>J70*('04 Emissions Factors'!$I$23/1000)</f>
        <v>0</v>
      </c>
      <c r="K114" s="594">
        <f>K70*('04 Emissions Factors'!$I$30/1000)</f>
        <v>0</v>
      </c>
      <c r="L114" s="593">
        <f>L70*('04 Emissions Factors'!$I$29/1000)</f>
        <v>0</v>
      </c>
      <c r="M114" s="397"/>
      <c r="N114" s="593">
        <f>Q70*('04 Emissions Factors'!$I$22/1000)</f>
        <v>0</v>
      </c>
      <c r="O114" s="593">
        <f>R70*('04 Emissions Factors'!$I$22/1000)</f>
        <v>0</v>
      </c>
      <c r="P114" s="593">
        <f>S70*('04 Emissions Factors'!$I$24/1000)</f>
        <v>0</v>
      </c>
      <c r="Q114" s="593">
        <f>T70*('04 Emissions Factors'!$I$24/1000)</f>
        <v>0</v>
      </c>
      <c r="R114" s="593">
        <f>U70*('04 Emissions Factors'!$I$26/1000)</f>
        <v>0</v>
      </c>
      <c r="S114" s="593">
        <f>V70*('04 Emissions Factors'!$I$23/1000)</f>
        <v>0</v>
      </c>
      <c r="T114" s="594">
        <f>W70*('04 Emissions Factors'!$I$30/1000)</f>
        <v>0</v>
      </c>
      <c r="U114" s="593">
        <f>X70*('04 Emissions Factors'!$I$29/1000)</f>
        <v>0</v>
      </c>
      <c r="V114" s="397"/>
      <c r="W114" s="593">
        <f>AB70*('04 Emissions Factors'!$I$22/1000)</f>
        <v>0</v>
      </c>
      <c r="X114" s="593">
        <f>AC70*('04 Emissions Factors'!$I$22/1000)</f>
        <v>0</v>
      </c>
      <c r="Y114" s="593">
        <f>AD70*('04 Emissions Factors'!$I$22/1000)</f>
        <v>0</v>
      </c>
      <c r="Z114" s="593">
        <f>AE70*('04 Emissions Factors'!$I$22/1000)</f>
        <v>0</v>
      </c>
      <c r="AA114" s="593">
        <f>AF70*('04 Emissions Factors'!$I$22/1000)</f>
        <v>0</v>
      </c>
      <c r="AB114" s="593">
        <f>AG70*('04 Emissions Factors'!$I$22/1000)</f>
        <v>0</v>
      </c>
      <c r="AC114" s="593">
        <f>AH70*('04 Emissions Factors'!$I$22/1000)</f>
        <v>0</v>
      </c>
      <c r="AD114" s="593">
        <f>AI70*('04 Emissions Factors'!$I$22/1000)</f>
        <v>0</v>
      </c>
      <c r="AE114" s="593">
        <f>AJ70*('04 Emissions Factors'!$I$22/1000)</f>
        <v>0</v>
      </c>
      <c r="AF114" s="593">
        <f>AK70*('04 Emissions Factors'!$I$22/1000)</f>
        <v>0</v>
      </c>
      <c r="AG114" s="593">
        <f>AL70*('04 Emissions Factors'!$I$22/1000)</f>
        <v>0</v>
      </c>
      <c r="AH114" s="593">
        <f>AM70*('04 Emissions Factors'!$I$22/1000)</f>
        <v>0</v>
      </c>
      <c r="AI114" s="593">
        <f t="shared" si="13"/>
        <v>0</v>
      </c>
      <c r="AJ114" s="593">
        <f t="shared" si="14"/>
        <v>0</v>
      </c>
      <c r="AK114" s="593">
        <f t="shared" si="15"/>
        <v>0</v>
      </c>
      <c r="AL114" s="593">
        <f t="shared" si="16"/>
        <v>0</v>
      </c>
      <c r="AM114" s="593">
        <f t="shared" si="17"/>
        <v>0</v>
      </c>
    </row>
    <row r="115" spans="1:39" ht="12.75">
      <c r="A115" s="329"/>
      <c r="B115" s="432" t="s">
        <v>68</v>
      </c>
      <c r="C115" s="350" t="s">
        <v>138</v>
      </c>
      <c r="D115" s="348"/>
      <c r="E115" s="593">
        <f>E71*('04 Emissions Factors'!$I$22/1000)</f>
        <v>0</v>
      </c>
      <c r="F115" s="593">
        <f>F71*('04 Emissions Factors'!$I$22/1000)</f>
        <v>0</v>
      </c>
      <c r="G115" s="593">
        <f>G71*('04 Emissions Factors'!$I$24/1000)</f>
        <v>0</v>
      </c>
      <c r="H115" s="593">
        <f>H71*('04 Emissions Factors'!$I$24/1000)</f>
        <v>0</v>
      </c>
      <c r="I115" s="593">
        <f>I71*('04 Emissions Factors'!$I$26/1000)</f>
        <v>0</v>
      </c>
      <c r="J115" s="593">
        <f>J71*('04 Emissions Factors'!$I$23/1000)</f>
        <v>0</v>
      </c>
      <c r="K115" s="594">
        <f>K71*('04 Emissions Factors'!$I$30/1000)</f>
        <v>0</v>
      </c>
      <c r="L115" s="593">
        <f>L71*('04 Emissions Factors'!$I$29/1000)</f>
        <v>0</v>
      </c>
      <c r="M115" s="397"/>
      <c r="N115" s="593">
        <f>Q71*('04 Emissions Factors'!$I$22/1000)</f>
        <v>0</v>
      </c>
      <c r="O115" s="593">
        <f>R71*('04 Emissions Factors'!$I$22/1000)</f>
        <v>9.393936140351851</v>
      </c>
      <c r="P115" s="593">
        <f>S71*('04 Emissions Factors'!$I$24/1000)</f>
        <v>0</v>
      </c>
      <c r="Q115" s="593">
        <f>T71*('04 Emissions Factors'!$I$24/1000)</f>
        <v>0</v>
      </c>
      <c r="R115" s="593">
        <f>U71*('04 Emissions Factors'!$I$26/1000)</f>
        <v>0</v>
      </c>
      <c r="S115" s="593">
        <f>V71*('04 Emissions Factors'!$I$23/1000)</f>
        <v>0</v>
      </c>
      <c r="T115" s="594">
        <f>W71*('04 Emissions Factors'!$I$30/1000)</f>
        <v>0</v>
      </c>
      <c r="U115" s="593">
        <f>X71*('04 Emissions Factors'!$I$29/1000)</f>
        <v>0</v>
      </c>
      <c r="V115" s="397"/>
      <c r="W115" s="593">
        <f>AB71*('04 Emissions Factors'!$I$22/1000)</f>
        <v>0</v>
      </c>
      <c r="X115" s="593">
        <f>AC71*('04 Emissions Factors'!$I$22/1000)</f>
        <v>0</v>
      </c>
      <c r="Y115" s="593">
        <f>AD71*('04 Emissions Factors'!$I$22/1000)</f>
        <v>0</v>
      </c>
      <c r="Z115" s="593">
        <f>AE71*('04 Emissions Factors'!$I$22/1000)</f>
        <v>0</v>
      </c>
      <c r="AA115" s="593">
        <f>AF71*('04 Emissions Factors'!$I$22/1000)</f>
        <v>0</v>
      </c>
      <c r="AB115" s="593">
        <f>AG71*('04 Emissions Factors'!$I$22/1000)</f>
        <v>0</v>
      </c>
      <c r="AC115" s="593">
        <f>AH71*('04 Emissions Factors'!$I$22/1000)</f>
        <v>0</v>
      </c>
      <c r="AD115" s="593">
        <f>AI71*('04 Emissions Factors'!$I$22/1000)</f>
        <v>0</v>
      </c>
      <c r="AE115" s="593">
        <f>AJ71*('04 Emissions Factors'!$I$22/1000)</f>
        <v>0</v>
      </c>
      <c r="AF115" s="593">
        <f>AK71*('04 Emissions Factors'!$I$22/1000)</f>
        <v>0</v>
      </c>
      <c r="AG115" s="593">
        <f>AL71*('04 Emissions Factors'!$I$22/1000)</f>
        <v>0</v>
      </c>
      <c r="AH115" s="593">
        <f>AM71*('04 Emissions Factors'!$I$22/1000)</f>
        <v>0</v>
      </c>
      <c r="AI115" s="593">
        <f t="shared" si="13"/>
        <v>0</v>
      </c>
      <c r="AJ115" s="593">
        <f t="shared" si="14"/>
        <v>9.393936140351851</v>
      </c>
      <c r="AK115" s="593">
        <f t="shared" si="15"/>
        <v>0</v>
      </c>
      <c r="AL115" s="593">
        <f t="shared" si="16"/>
        <v>0</v>
      </c>
      <c r="AM115" s="593">
        <f t="shared" si="17"/>
        <v>9.393936140351851</v>
      </c>
    </row>
    <row r="116" spans="1:39" ht="12.75">
      <c r="A116" s="329"/>
      <c r="B116" s="432" t="s">
        <v>69</v>
      </c>
      <c r="C116" s="350" t="s">
        <v>139</v>
      </c>
      <c r="D116" s="348"/>
      <c r="E116" s="593">
        <f>E72*('04 Emissions Factors'!$I$22/1000)</f>
        <v>0</v>
      </c>
      <c r="F116" s="593">
        <f>F72*('04 Emissions Factors'!$I$22/1000)</f>
        <v>0</v>
      </c>
      <c r="G116" s="593">
        <f>G72*('04 Emissions Factors'!$I$24/1000)</f>
        <v>0</v>
      </c>
      <c r="H116" s="593">
        <f>H72*('04 Emissions Factors'!$I$24/1000)</f>
        <v>0</v>
      </c>
      <c r="I116" s="593">
        <f>I72*('04 Emissions Factors'!$I$26/1000)</f>
        <v>0</v>
      </c>
      <c r="J116" s="593">
        <f>J72*('04 Emissions Factors'!$I$23/1000)</f>
        <v>0</v>
      </c>
      <c r="K116" s="594">
        <f>K72*('04 Emissions Factors'!$I$30/1000)</f>
        <v>0</v>
      </c>
      <c r="L116" s="593">
        <f>L72*('04 Emissions Factors'!$I$29/1000)</f>
        <v>0</v>
      </c>
      <c r="M116" s="397"/>
      <c r="N116" s="593">
        <f>Q72*('04 Emissions Factors'!$I$22/1000)</f>
        <v>0</v>
      </c>
      <c r="O116" s="593">
        <f>R72*('04 Emissions Factors'!$I$22/1000)</f>
        <v>0</v>
      </c>
      <c r="P116" s="593">
        <f>S72*('04 Emissions Factors'!$I$24/1000)</f>
        <v>0</v>
      </c>
      <c r="Q116" s="593">
        <f>T72*('04 Emissions Factors'!$I$24/1000)</f>
        <v>0</v>
      </c>
      <c r="R116" s="593">
        <f>U72*('04 Emissions Factors'!$I$26/1000)</f>
        <v>0</v>
      </c>
      <c r="S116" s="593">
        <f>V72*('04 Emissions Factors'!$I$23/1000)</f>
        <v>0</v>
      </c>
      <c r="T116" s="594">
        <f>W72*('04 Emissions Factors'!$I$30/1000)</f>
        <v>0</v>
      </c>
      <c r="U116" s="593">
        <f>X72*('04 Emissions Factors'!$I$29/1000)</f>
        <v>0</v>
      </c>
      <c r="V116" s="397"/>
      <c r="W116" s="593">
        <f>AB72*('04 Emissions Factors'!$I$22/1000)</f>
        <v>0</v>
      </c>
      <c r="X116" s="593">
        <f>AC72*('04 Emissions Factors'!$I$22/1000)</f>
        <v>0</v>
      </c>
      <c r="Y116" s="593">
        <f>AD72*('04 Emissions Factors'!$I$22/1000)</f>
        <v>0</v>
      </c>
      <c r="Z116" s="593">
        <f>AE72*('04 Emissions Factors'!$I$22/1000)</f>
        <v>0</v>
      </c>
      <c r="AA116" s="593">
        <f>AF72*('04 Emissions Factors'!$I$22/1000)</f>
        <v>0</v>
      </c>
      <c r="AB116" s="593">
        <f>AG72*('04 Emissions Factors'!$I$22/1000)</f>
        <v>0</v>
      </c>
      <c r="AC116" s="593">
        <f>AH72*('04 Emissions Factors'!$I$22/1000)</f>
        <v>0</v>
      </c>
      <c r="AD116" s="593">
        <f>AI72*('04 Emissions Factors'!$I$22/1000)</f>
        <v>0</v>
      </c>
      <c r="AE116" s="593">
        <f>AJ72*('04 Emissions Factors'!$I$22/1000)</f>
        <v>0</v>
      </c>
      <c r="AF116" s="593">
        <f>AK72*('04 Emissions Factors'!$I$22/1000)</f>
        <v>0</v>
      </c>
      <c r="AG116" s="593">
        <f>AL72*('04 Emissions Factors'!$I$22/1000)</f>
        <v>0</v>
      </c>
      <c r="AH116" s="593">
        <f>AM72*('04 Emissions Factors'!$I$22/1000)</f>
        <v>0</v>
      </c>
      <c r="AI116" s="593">
        <f t="shared" si="13"/>
        <v>0</v>
      </c>
      <c r="AJ116" s="593">
        <f t="shared" si="14"/>
        <v>0</v>
      </c>
      <c r="AK116" s="593">
        <f t="shared" si="15"/>
        <v>0</v>
      </c>
      <c r="AL116" s="593">
        <f t="shared" si="16"/>
        <v>0</v>
      </c>
      <c r="AM116" s="593">
        <f t="shared" si="17"/>
        <v>0</v>
      </c>
    </row>
    <row r="117" spans="1:39" ht="12.75">
      <c r="A117" s="329"/>
      <c r="B117" s="432" t="s">
        <v>70</v>
      </c>
      <c r="C117" s="350" t="s">
        <v>140</v>
      </c>
      <c r="D117" s="348"/>
      <c r="E117" s="593">
        <f>E73*('04 Emissions Factors'!$I$22/1000)</f>
        <v>0</v>
      </c>
      <c r="F117" s="593">
        <f>F73*('04 Emissions Factors'!$I$22/1000)</f>
        <v>0</v>
      </c>
      <c r="G117" s="593">
        <f>G73*('04 Emissions Factors'!$I$24/1000)</f>
        <v>0</v>
      </c>
      <c r="H117" s="593">
        <f>H73*('04 Emissions Factors'!$I$24/1000)</f>
        <v>0</v>
      </c>
      <c r="I117" s="593">
        <f>I73*('04 Emissions Factors'!$I$26/1000)</f>
        <v>0</v>
      </c>
      <c r="J117" s="593">
        <f>J73*('04 Emissions Factors'!$I$23/1000)</f>
        <v>0</v>
      </c>
      <c r="K117" s="594">
        <f>K73*('04 Emissions Factors'!$I$30/1000)</f>
        <v>0</v>
      </c>
      <c r="L117" s="593">
        <f>L73*('04 Emissions Factors'!$I$29/1000)</f>
        <v>0</v>
      </c>
      <c r="M117" s="397"/>
      <c r="N117" s="593">
        <f>Q73*('04 Emissions Factors'!$I$22/1000)</f>
        <v>26596.253856177053</v>
      </c>
      <c r="O117" s="593">
        <f>R73*('04 Emissions Factors'!$I$22/1000)</f>
        <v>10927.44455070732</v>
      </c>
      <c r="P117" s="593">
        <f>S73*('04 Emissions Factors'!$I$24/1000)</f>
        <v>55.15341964775611</v>
      </c>
      <c r="Q117" s="593">
        <f>T73*('04 Emissions Factors'!$I$24/1000)</f>
        <v>287.18493874438195</v>
      </c>
      <c r="R117" s="593">
        <f>U73*('04 Emissions Factors'!$I$26/1000)</f>
        <v>0.12419981162889077</v>
      </c>
      <c r="S117" s="593">
        <f>V73*('04 Emissions Factors'!$I$23/1000)</f>
        <v>3.8232109571531847</v>
      </c>
      <c r="T117" s="594">
        <f>W73*('04 Emissions Factors'!$I$30/1000)</f>
        <v>38.896847844755236</v>
      </c>
      <c r="U117" s="593">
        <f>X73*('04 Emissions Factors'!$I$29/1000)</f>
        <v>30.272946488791295</v>
      </c>
      <c r="V117" s="397">
        <v>1512.5512978522786</v>
      </c>
      <c r="W117" s="593">
        <f>AB73*('04 Emissions Factors'!$I$22/1000)</f>
        <v>0</v>
      </c>
      <c r="X117" s="593">
        <f>AC73*('04 Emissions Factors'!$I$22/1000)</f>
        <v>0</v>
      </c>
      <c r="Y117" s="593">
        <f>AD73*('04 Emissions Factors'!$I$22/1000)</f>
        <v>0</v>
      </c>
      <c r="Z117" s="593">
        <f>AE73*('04 Emissions Factors'!$I$22/1000)</f>
        <v>0</v>
      </c>
      <c r="AA117" s="593">
        <f>AF73*('04 Emissions Factors'!$I$22/1000)</f>
        <v>0</v>
      </c>
      <c r="AB117" s="593">
        <f>AG73*('04 Emissions Factors'!$I$22/1000)</f>
        <v>0</v>
      </c>
      <c r="AC117" s="593">
        <f>AH73*('04 Emissions Factors'!$I$22/1000)</f>
        <v>0</v>
      </c>
      <c r="AD117" s="593">
        <f>AI73*('04 Emissions Factors'!$I$22/1000)</f>
        <v>0</v>
      </c>
      <c r="AE117" s="593">
        <f>AJ73*('04 Emissions Factors'!$I$22/1000)</f>
        <v>0</v>
      </c>
      <c r="AF117" s="593">
        <f>AK73*('04 Emissions Factors'!$I$22/1000)</f>
        <v>0</v>
      </c>
      <c r="AG117" s="593">
        <f>AL73*('04 Emissions Factors'!$I$22/1000)</f>
        <v>0</v>
      </c>
      <c r="AH117" s="593">
        <f>AM73*('04 Emissions Factors'!$I$22/1000)</f>
        <v>1.6998872421930715</v>
      </c>
      <c r="AI117" s="593">
        <f t="shared" si="13"/>
        <v>26596.253856177053</v>
      </c>
      <c r="AJ117" s="593">
        <f t="shared" si="14"/>
        <v>10929.144437949513</v>
      </c>
      <c r="AK117" s="593">
        <f t="shared" si="15"/>
        <v>346.28576916092015</v>
      </c>
      <c r="AL117" s="593">
        <f t="shared" si="16"/>
        <v>69.16979433354653</v>
      </c>
      <c r="AM117" s="593">
        <f t="shared" si="17"/>
        <v>37940.85385762103</v>
      </c>
    </row>
    <row r="118" spans="1:39" ht="12.75">
      <c r="A118" s="329"/>
      <c r="B118" s="432" t="s">
        <v>71</v>
      </c>
      <c r="C118" s="350" t="s">
        <v>141</v>
      </c>
      <c r="D118" s="348"/>
      <c r="E118" s="593">
        <f>E74*('04 Emissions Factors'!$I$22/1000)</f>
        <v>0</v>
      </c>
      <c r="F118" s="593">
        <f>F74*('04 Emissions Factors'!$I$22/1000)</f>
        <v>0</v>
      </c>
      <c r="G118" s="593">
        <f>G74*('04 Emissions Factors'!$I$24/1000)</f>
        <v>0</v>
      </c>
      <c r="H118" s="593">
        <f>H74*('04 Emissions Factors'!$I$24/1000)</f>
        <v>0</v>
      </c>
      <c r="I118" s="593">
        <f>I74*('04 Emissions Factors'!$I$26/1000)</f>
        <v>0</v>
      </c>
      <c r="J118" s="593">
        <f>J74*('04 Emissions Factors'!$I$23/1000)</f>
        <v>0</v>
      </c>
      <c r="K118" s="594">
        <f>K74*('04 Emissions Factors'!$I$30/1000)</f>
        <v>0</v>
      </c>
      <c r="L118" s="593">
        <f>L74*('04 Emissions Factors'!$I$29/1000)</f>
        <v>0</v>
      </c>
      <c r="M118" s="397"/>
      <c r="N118" s="593">
        <f>Q74*('04 Emissions Factors'!$I$22/1000)</f>
        <v>0</v>
      </c>
      <c r="O118" s="593">
        <f>R74*('04 Emissions Factors'!$I$22/1000)</f>
        <v>836.782926963649</v>
      </c>
      <c r="P118" s="593">
        <f>S74*('04 Emissions Factors'!$I$24/1000)</f>
        <v>0</v>
      </c>
      <c r="Q118" s="593">
        <f>T74*('04 Emissions Factors'!$I$24/1000)</f>
        <v>0</v>
      </c>
      <c r="R118" s="593">
        <f>U74*('04 Emissions Factors'!$I$26/1000)</f>
        <v>0</v>
      </c>
      <c r="S118" s="593">
        <f>V74*('04 Emissions Factors'!$I$23/1000)</f>
        <v>0</v>
      </c>
      <c r="T118" s="594">
        <f>W74*('04 Emissions Factors'!$I$30/1000)</f>
        <v>0</v>
      </c>
      <c r="U118" s="593">
        <f>X74*('04 Emissions Factors'!$I$29/1000)</f>
        <v>0</v>
      </c>
      <c r="V118" s="397"/>
      <c r="W118" s="593">
        <f>AB74*('04 Emissions Factors'!$I$22/1000)</f>
        <v>0</v>
      </c>
      <c r="X118" s="593">
        <f>AC74*('04 Emissions Factors'!$I$22/1000)</f>
        <v>0</v>
      </c>
      <c r="Y118" s="593">
        <f>AD74*('04 Emissions Factors'!$I$22/1000)</f>
        <v>0</v>
      </c>
      <c r="Z118" s="593">
        <f>AE74*('04 Emissions Factors'!$I$22/1000)</f>
        <v>0</v>
      </c>
      <c r="AA118" s="593">
        <f>AF74*('04 Emissions Factors'!$I$22/1000)</f>
        <v>0</v>
      </c>
      <c r="AB118" s="593">
        <f>AG74*('04 Emissions Factors'!$I$22/1000)</f>
        <v>0</v>
      </c>
      <c r="AC118" s="593">
        <f>AH74*('04 Emissions Factors'!$I$22/1000)</f>
        <v>0</v>
      </c>
      <c r="AD118" s="593">
        <f>AI74*('04 Emissions Factors'!$I$22/1000)</f>
        <v>0</v>
      </c>
      <c r="AE118" s="593">
        <f>AJ74*('04 Emissions Factors'!$I$22/1000)</f>
        <v>0</v>
      </c>
      <c r="AF118" s="593">
        <f>AK74*('04 Emissions Factors'!$I$22/1000)</f>
        <v>0</v>
      </c>
      <c r="AG118" s="593">
        <f>AL74*('04 Emissions Factors'!$I$22/1000)</f>
        <v>0</v>
      </c>
      <c r="AH118" s="593">
        <f>AM74*('04 Emissions Factors'!$I$22/1000)</f>
        <v>8.502453545262528</v>
      </c>
      <c r="AI118" s="593">
        <f t="shared" si="13"/>
        <v>0</v>
      </c>
      <c r="AJ118" s="593">
        <f t="shared" si="14"/>
        <v>845.2853805089114</v>
      </c>
      <c r="AK118" s="593">
        <f t="shared" si="15"/>
        <v>0</v>
      </c>
      <c r="AL118" s="593">
        <f t="shared" si="16"/>
        <v>0</v>
      </c>
      <c r="AM118" s="593">
        <f t="shared" si="17"/>
        <v>845.2853805089114</v>
      </c>
    </row>
    <row r="119" spans="1:39" ht="12.75">
      <c r="A119" s="329"/>
      <c r="B119" s="432" t="s">
        <v>72</v>
      </c>
      <c r="C119" s="350" t="s">
        <v>142</v>
      </c>
      <c r="D119" s="348"/>
      <c r="E119" s="593">
        <f>E75*('04 Emissions Factors'!$I$22/1000)</f>
        <v>0</v>
      </c>
      <c r="F119" s="593">
        <f>F75*('04 Emissions Factors'!$I$22/1000)</f>
        <v>44674.44809455198</v>
      </c>
      <c r="G119" s="593">
        <f>G75*('04 Emissions Factors'!$I$24/1000)</f>
        <v>0</v>
      </c>
      <c r="H119" s="593">
        <f>H75*('04 Emissions Factors'!$I$24/1000)</f>
        <v>0</v>
      </c>
      <c r="I119" s="593">
        <f>I75*('04 Emissions Factors'!$I$26/1000)</f>
        <v>0</v>
      </c>
      <c r="J119" s="593">
        <f>J75*('04 Emissions Factors'!$I$23/1000)</f>
        <v>0</v>
      </c>
      <c r="K119" s="594">
        <f>K75*('04 Emissions Factors'!$I$30/1000)</f>
        <v>0</v>
      </c>
      <c r="L119" s="593">
        <f>L75*('04 Emissions Factors'!$I$29/1000)</f>
        <v>0</v>
      </c>
      <c r="M119" s="397"/>
      <c r="N119" s="593">
        <f>Q75*('04 Emissions Factors'!$I$22/1000)</f>
        <v>0</v>
      </c>
      <c r="O119" s="593">
        <f>R75*('04 Emissions Factors'!$I$22/1000)</f>
        <v>0</v>
      </c>
      <c r="P119" s="593">
        <f>S75*('04 Emissions Factors'!$I$24/1000)</f>
        <v>0</v>
      </c>
      <c r="Q119" s="593">
        <f>T75*('04 Emissions Factors'!$I$24/1000)</f>
        <v>0</v>
      </c>
      <c r="R119" s="593">
        <f>U75*('04 Emissions Factors'!$I$26/1000)</f>
        <v>0</v>
      </c>
      <c r="S119" s="593">
        <f>V75*('04 Emissions Factors'!$I$23/1000)</f>
        <v>0</v>
      </c>
      <c r="T119" s="594">
        <f>W75*('04 Emissions Factors'!$I$30/1000)</f>
        <v>0</v>
      </c>
      <c r="U119" s="593">
        <f>X75*('04 Emissions Factors'!$I$29/1000)</f>
        <v>0</v>
      </c>
      <c r="V119" s="397"/>
      <c r="W119" s="593">
        <f>AB75*('04 Emissions Factors'!$I$22/1000)</f>
        <v>0</v>
      </c>
      <c r="X119" s="593">
        <f>AC75*('04 Emissions Factors'!$I$22/1000)</f>
        <v>0</v>
      </c>
      <c r="Y119" s="593">
        <f>AD75*('04 Emissions Factors'!$I$22/1000)</f>
        <v>0</v>
      </c>
      <c r="Z119" s="593">
        <f>AE75*('04 Emissions Factors'!$I$22/1000)</f>
        <v>0</v>
      </c>
      <c r="AA119" s="593">
        <f>AF75*('04 Emissions Factors'!$I$22/1000)</f>
        <v>0</v>
      </c>
      <c r="AB119" s="593">
        <f>AG75*('04 Emissions Factors'!$I$22/1000)</f>
        <v>0</v>
      </c>
      <c r="AC119" s="593">
        <f>AH75*('04 Emissions Factors'!$I$22/1000)</f>
        <v>0</v>
      </c>
      <c r="AD119" s="593">
        <f>AI75*('04 Emissions Factors'!$I$22/1000)</f>
        <v>0</v>
      </c>
      <c r="AE119" s="593">
        <f>AJ75*('04 Emissions Factors'!$I$22/1000)</f>
        <v>0</v>
      </c>
      <c r="AF119" s="593">
        <f>AK75*('04 Emissions Factors'!$I$22/1000)</f>
        <v>0</v>
      </c>
      <c r="AG119" s="593">
        <f>AL75*('04 Emissions Factors'!$I$22/1000)</f>
        <v>0</v>
      </c>
      <c r="AH119" s="593">
        <f>AM75*('04 Emissions Factors'!$I$22/1000)</f>
        <v>0</v>
      </c>
      <c r="AI119" s="593">
        <f t="shared" si="13"/>
        <v>0</v>
      </c>
      <c r="AJ119" s="593">
        <f t="shared" si="14"/>
        <v>44674.44809455198</v>
      </c>
      <c r="AK119" s="593">
        <f t="shared" si="15"/>
        <v>0</v>
      </c>
      <c r="AL119" s="593">
        <f t="shared" si="16"/>
        <v>0</v>
      </c>
      <c r="AM119" s="593">
        <f t="shared" si="17"/>
        <v>44674.44809455198</v>
      </c>
    </row>
    <row r="120" spans="1:39" ht="12.75">
      <c r="A120" s="329"/>
      <c r="B120" s="432" t="s">
        <v>74</v>
      </c>
      <c r="C120" s="350" t="s">
        <v>143</v>
      </c>
      <c r="D120" s="348"/>
      <c r="E120" s="593">
        <f>E76*('04 Emissions Factors'!$I$22/1000)</f>
        <v>0</v>
      </c>
      <c r="F120" s="593">
        <f>F76*('04 Emissions Factors'!$I$22/1000)</f>
        <v>0</v>
      </c>
      <c r="G120" s="593">
        <f>G76*('04 Emissions Factors'!$I$24/1000)</f>
        <v>0</v>
      </c>
      <c r="H120" s="593">
        <f>H76*('04 Emissions Factors'!$I$24/1000)</f>
        <v>0</v>
      </c>
      <c r="I120" s="593">
        <f>I76*('04 Emissions Factors'!$I$26/1000)</f>
        <v>0</v>
      </c>
      <c r="J120" s="593">
        <f>J76*('04 Emissions Factors'!$I$23/1000)</f>
        <v>0</v>
      </c>
      <c r="K120" s="594">
        <f>K76*('04 Emissions Factors'!$I$30/1000)</f>
        <v>0</v>
      </c>
      <c r="L120" s="593">
        <f>L76*('04 Emissions Factors'!$I$29/1000)</f>
        <v>0</v>
      </c>
      <c r="M120" s="397"/>
      <c r="N120" s="593">
        <f>Q76*('04 Emissions Factors'!$I$22/1000)</f>
        <v>0</v>
      </c>
      <c r="O120" s="593">
        <f>R76*('04 Emissions Factors'!$I$22/1000)</f>
        <v>1271.4805202912469</v>
      </c>
      <c r="P120" s="593">
        <f>S76*('04 Emissions Factors'!$I$24/1000)</f>
        <v>0</v>
      </c>
      <c r="Q120" s="593">
        <f>T76*('04 Emissions Factors'!$I$24/1000)</f>
        <v>0</v>
      </c>
      <c r="R120" s="593">
        <f>U76*('04 Emissions Factors'!$I$26/1000)</f>
        <v>0</v>
      </c>
      <c r="S120" s="593">
        <f>V76*('04 Emissions Factors'!$I$23/1000)</f>
        <v>0</v>
      </c>
      <c r="T120" s="594">
        <f>W76*('04 Emissions Factors'!$I$30/1000)</f>
        <v>0</v>
      </c>
      <c r="U120" s="593">
        <f>X76*('04 Emissions Factors'!$I$29/1000)</f>
        <v>0</v>
      </c>
      <c r="V120" s="397"/>
      <c r="W120" s="593">
        <f>AB76*('04 Emissions Factors'!$I$22/1000)</f>
        <v>0</v>
      </c>
      <c r="X120" s="593">
        <f>AC76*('04 Emissions Factors'!$I$22/1000)</f>
        <v>0</v>
      </c>
      <c r="Y120" s="593">
        <f>AD76*('04 Emissions Factors'!$I$22/1000)</f>
        <v>0</v>
      </c>
      <c r="Z120" s="593">
        <f>AE76*('04 Emissions Factors'!$I$22/1000)</f>
        <v>0</v>
      </c>
      <c r="AA120" s="593">
        <f>AF76*('04 Emissions Factors'!$I$22/1000)</f>
        <v>0</v>
      </c>
      <c r="AB120" s="593">
        <f>AG76*('04 Emissions Factors'!$I$22/1000)</f>
        <v>0</v>
      </c>
      <c r="AC120" s="593">
        <f>AH76*('04 Emissions Factors'!$I$22/1000)</f>
        <v>0</v>
      </c>
      <c r="AD120" s="593">
        <f>AI76*('04 Emissions Factors'!$I$22/1000)</f>
        <v>0</v>
      </c>
      <c r="AE120" s="593">
        <f>AJ76*('04 Emissions Factors'!$I$22/1000)</f>
        <v>0</v>
      </c>
      <c r="AF120" s="593">
        <f>AK76*('04 Emissions Factors'!$I$22/1000)</f>
        <v>0</v>
      </c>
      <c r="AG120" s="593">
        <f>AL76*('04 Emissions Factors'!$I$22/1000)</f>
        <v>0</v>
      </c>
      <c r="AH120" s="593">
        <f>AM76*('04 Emissions Factors'!$I$22/1000)</f>
        <v>0</v>
      </c>
      <c r="AI120" s="593">
        <f t="shared" si="13"/>
        <v>0</v>
      </c>
      <c r="AJ120" s="593">
        <f t="shared" si="14"/>
        <v>1271.4805202912469</v>
      </c>
      <c r="AK120" s="593">
        <f t="shared" si="15"/>
        <v>0</v>
      </c>
      <c r="AL120" s="593">
        <f t="shared" si="16"/>
        <v>0</v>
      </c>
      <c r="AM120" s="593">
        <f t="shared" si="17"/>
        <v>1271.4805202912469</v>
      </c>
    </row>
    <row r="121" spans="1:39" ht="12.75">
      <c r="A121" s="329"/>
      <c r="B121" s="432" t="s">
        <v>75</v>
      </c>
      <c r="C121" s="350" t="s">
        <v>144</v>
      </c>
      <c r="D121" s="348"/>
      <c r="E121" s="593">
        <f>E77*('04 Emissions Factors'!$I$22/1000)</f>
        <v>0</v>
      </c>
      <c r="F121" s="593">
        <f>F77*('04 Emissions Factors'!$I$22/1000)</f>
        <v>0</v>
      </c>
      <c r="G121" s="593">
        <f>G77*('04 Emissions Factors'!$I$24/1000)</f>
        <v>0</v>
      </c>
      <c r="H121" s="593">
        <f>H77*('04 Emissions Factors'!$I$24/1000)</f>
        <v>0</v>
      </c>
      <c r="I121" s="593">
        <f>I77*('04 Emissions Factors'!$I$26/1000)</f>
        <v>0</v>
      </c>
      <c r="J121" s="593">
        <f>J77*('04 Emissions Factors'!$I$23/1000)</f>
        <v>0</v>
      </c>
      <c r="K121" s="594">
        <f>K77*('04 Emissions Factors'!$I$30/1000)</f>
        <v>0</v>
      </c>
      <c r="L121" s="593">
        <f>L77*('04 Emissions Factors'!$I$29/1000)</f>
        <v>0</v>
      </c>
      <c r="M121" s="397"/>
      <c r="N121" s="593">
        <f>Q77*('04 Emissions Factors'!$I$22/1000)</f>
        <v>0</v>
      </c>
      <c r="O121" s="593">
        <f>R77*('04 Emissions Factors'!$I$22/1000)</f>
        <v>0</v>
      </c>
      <c r="P121" s="593">
        <f>S77*('04 Emissions Factors'!$I$24/1000)</f>
        <v>0</v>
      </c>
      <c r="Q121" s="593">
        <f>T77*('04 Emissions Factors'!$I$24/1000)</f>
        <v>0</v>
      </c>
      <c r="R121" s="593">
        <f>U77*('04 Emissions Factors'!$I$26/1000)</f>
        <v>0</v>
      </c>
      <c r="S121" s="593">
        <f>V77*('04 Emissions Factors'!$I$23/1000)</f>
        <v>0</v>
      </c>
      <c r="T121" s="594">
        <f>W77*('04 Emissions Factors'!$I$30/1000)</f>
        <v>0</v>
      </c>
      <c r="U121" s="593">
        <f>X77*('04 Emissions Factors'!$I$29/1000)</f>
        <v>0</v>
      </c>
      <c r="V121" s="397"/>
      <c r="W121" s="593">
        <f>AB77*('04 Emissions Factors'!$I$22/1000)</f>
        <v>0</v>
      </c>
      <c r="X121" s="593">
        <f>AC77*('04 Emissions Factors'!$I$22/1000)</f>
        <v>0</v>
      </c>
      <c r="Y121" s="593">
        <f>AD77*('04 Emissions Factors'!$I$22/1000)</f>
        <v>0</v>
      </c>
      <c r="Z121" s="593">
        <f>AE77*('04 Emissions Factors'!$I$22/1000)</f>
        <v>44.17897279659739</v>
      </c>
      <c r="AA121" s="593">
        <f>AF77*('04 Emissions Factors'!$I$22/1000)</f>
        <v>0</v>
      </c>
      <c r="AB121" s="593">
        <f>AG77*('04 Emissions Factors'!$I$22/1000)</f>
        <v>0</v>
      </c>
      <c r="AC121" s="593">
        <f>AH77*('04 Emissions Factors'!$I$22/1000)</f>
        <v>0</v>
      </c>
      <c r="AD121" s="593">
        <f>AI77*('04 Emissions Factors'!$I$22/1000)</f>
        <v>0</v>
      </c>
      <c r="AE121" s="593">
        <f>AJ77*('04 Emissions Factors'!$I$22/1000)</f>
        <v>0</v>
      </c>
      <c r="AF121" s="593">
        <f>AK77*('04 Emissions Factors'!$I$22/1000)</f>
        <v>0</v>
      </c>
      <c r="AG121" s="593">
        <f>AL77*('04 Emissions Factors'!$I$22/1000)</f>
        <v>0</v>
      </c>
      <c r="AH121" s="593">
        <f>AM77*('04 Emissions Factors'!$I$22/1000)</f>
        <v>0</v>
      </c>
      <c r="AI121" s="593">
        <f t="shared" si="13"/>
        <v>0</v>
      </c>
      <c r="AJ121" s="593">
        <f t="shared" si="14"/>
        <v>44.17897279659739</v>
      </c>
      <c r="AK121" s="593">
        <f t="shared" si="15"/>
        <v>0</v>
      </c>
      <c r="AL121" s="593">
        <f t="shared" si="16"/>
        <v>0</v>
      </c>
      <c r="AM121" s="593">
        <f t="shared" si="17"/>
        <v>44.17897279659739</v>
      </c>
    </row>
    <row r="122" spans="1:39" ht="12.75">
      <c r="A122" s="329"/>
      <c r="B122" s="432" t="s">
        <v>76</v>
      </c>
      <c r="C122" s="350" t="s">
        <v>145</v>
      </c>
      <c r="D122" s="348"/>
      <c r="E122" s="593">
        <f>E78*('04 Emissions Factors'!$I$22/1000)</f>
        <v>0</v>
      </c>
      <c r="F122" s="593">
        <f>F78*('04 Emissions Factors'!$I$22/1000)</f>
        <v>0</v>
      </c>
      <c r="G122" s="593">
        <f>G78*('04 Emissions Factors'!$I$24/1000)</f>
        <v>0</v>
      </c>
      <c r="H122" s="593">
        <f>H78*('04 Emissions Factors'!$I$24/1000)</f>
        <v>0</v>
      </c>
      <c r="I122" s="593">
        <f>I78*('04 Emissions Factors'!$I$26/1000)</f>
        <v>0</v>
      </c>
      <c r="J122" s="593">
        <f>J78*('04 Emissions Factors'!$I$23/1000)</f>
        <v>0</v>
      </c>
      <c r="K122" s="594">
        <f>K78*('04 Emissions Factors'!$I$30/1000)</f>
        <v>0</v>
      </c>
      <c r="L122" s="593">
        <f>L78*('04 Emissions Factors'!$I$29/1000)</f>
        <v>0</v>
      </c>
      <c r="M122" s="397"/>
      <c r="N122" s="593">
        <f>Q78*('04 Emissions Factors'!$I$22/1000)</f>
        <v>0</v>
      </c>
      <c r="O122" s="593">
        <f>R78*('04 Emissions Factors'!$I$22/1000)</f>
        <v>12662.665581047437</v>
      </c>
      <c r="P122" s="593">
        <f>S78*('04 Emissions Factors'!$I$24/1000)</f>
        <v>0</v>
      </c>
      <c r="Q122" s="593">
        <f>T78*('04 Emissions Factors'!$I$24/1000)</f>
        <v>0</v>
      </c>
      <c r="R122" s="593">
        <f>U78*('04 Emissions Factors'!$I$26/1000)</f>
        <v>0</v>
      </c>
      <c r="S122" s="593">
        <f>V78*('04 Emissions Factors'!$I$23/1000)</f>
        <v>0</v>
      </c>
      <c r="T122" s="594">
        <f>W78*('04 Emissions Factors'!$I$30/1000)</f>
        <v>0</v>
      </c>
      <c r="U122" s="593">
        <f>X78*('04 Emissions Factors'!$I$29/1000)</f>
        <v>0</v>
      </c>
      <c r="V122" s="397"/>
      <c r="W122" s="593">
        <f>AB78*('04 Emissions Factors'!$I$22/1000)</f>
        <v>0</v>
      </c>
      <c r="X122" s="593">
        <f>AC78*('04 Emissions Factors'!$I$22/1000)</f>
        <v>0</v>
      </c>
      <c r="Y122" s="593">
        <f>AD78*('04 Emissions Factors'!$I$22/1000)</f>
        <v>0</v>
      </c>
      <c r="Z122" s="593">
        <f>AE78*('04 Emissions Factors'!$I$22/1000)</f>
        <v>0</v>
      </c>
      <c r="AA122" s="593">
        <f>AF78*('04 Emissions Factors'!$I$22/1000)</f>
        <v>0</v>
      </c>
      <c r="AB122" s="593">
        <f>AG78*('04 Emissions Factors'!$I$22/1000)</f>
        <v>0</v>
      </c>
      <c r="AC122" s="593">
        <f>AH78*('04 Emissions Factors'!$I$22/1000)</f>
        <v>0</v>
      </c>
      <c r="AD122" s="593">
        <f>AI78*('04 Emissions Factors'!$I$22/1000)</f>
        <v>0</v>
      </c>
      <c r="AE122" s="593">
        <f>AJ78*('04 Emissions Factors'!$I$22/1000)</f>
        <v>0</v>
      </c>
      <c r="AF122" s="593">
        <f>AK78*('04 Emissions Factors'!$I$22/1000)</f>
        <v>0</v>
      </c>
      <c r="AG122" s="593">
        <f>AL78*('04 Emissions Factors'!$I$22/1000)</f>
        <v>0</v>
      </c>
      <c r="AH122" s="593">
        <f>AM78*('04 Emissions Factors'!$I$22/1000)</f>
        <v>0.6169935506418766</v>
      </c>
      <c r="AI122" s="593">
        <f t="shared" si="13"/>
        <v>0</v>
      </c>
      <c r="AJ122" s="593">
        <f t="shared" si="14"/>
        <v>12663.282574598079</v>
      </c>
      <c r="AK122" s="593">
        <f t="shared" si="15"/>
        <v>0</v>
      </c>
      <c r="AL122" s="593">
        <f t="shared" si="16"/>
        <v>0</v>
      </c>
      <c r="AM122" s="593">
        <f t="shared" si="17"/>
        <v>12663.282574598079</v>
      </c>
    </row>
    <row r="123" spans="1:39" ht="12.75">
      <c r="A123" s="329"/>
      <c r="B123" s="432" t="s">
        <v>77</v>
      </c>
      <c r="C123" s="350" t="s">
        <v>146</v>
      </c>
      <c r="D123" s="348"/>
      <c r="E123" s="593">
        <f>E79*('04 Emissions Factors'!$I$22/1000)</f>
        <v>0</v>
      </c>
      <c r="F123" s="593">
        <f>F79*('04 Emissions Factors'!$I$22/1000)</f>
        <v>0</v>
      </c>
      <c r="G123" s="593">
        <f>G79*('04 Emissions Factors'!$I$24/1000)</f>
        <v>0</v>
      </c>
      <c r="H123" s="593">
        <f>H79*('04 Emissions Factors'!$I$24/1000)</f>
        <v>0</v>
      </c>
      <c r="I123" s="593">
        <f>I79*('04 Emissions Factors'!$I$26/1000)</f>
        <v>0</v>
      </c>
      <c r="J123" s="593">
        <f>J79*('04 Emissions Factors'!$I$23/1000)</f>
        <v>0</v>
      </c>
      <c r="K123" s="594">
        <f>K79*('04 Emissions Factors'!$I$30/1000)</f>
        <v>0</v>
      </c>
      <c r="L123" s="593">
        <f>L79*('04 Emissions Factors'!$I$29/1000)</f>
        <v>0</v>
      </c>
      <c r="M123" s="397"/>
      <c r="N123" s="593">
        <f>Q79*('04 Emissions Factors'!$I$22/1000)</f>
        <v>0</v>
      </c>
      <c r="O123" s="593">
        <f>R79*('04 Emissions Factors'!$I$22/1000)</f>
        <v>586.0370930634886</v>
      </c>
      <c r="P123" s="593">
        <f>S79*('04 Emissions Factors'!$I$24/1000)</f>
        <v>0</v>
      </c>
      <c r="Q123" s="593">
        <f>T79*('04 Emissions Factors'!$I$24/1000)</f>
        <v>0</v>
      </c>
      <c r="R123" s="593">
        <f>U79*('04 Emissions Factors'!$I$26/1000)</f>
        <v>0</v>
      </c>
      <c r="S123" s="593">
        <f>V79*('04 Emissions Factors'!$I$23/1000)</f>
        <v>0</v>
      </c>
      <c r="T123" s="594">
        <f>W79*('04 Emissions Factors'!$I$30/1000)</f>
        <v>0</v>
      </c>
      <c r="U123" s="593">
        <f>X79*('04 Emissions Factors'!$I$29/1000)</f>
        <v>0</v>
      </c>
      <c r="V123" s="397"/>
      <c r="W123" s="593">
        <f>AB79*('04 Emissions Factors'!$I$22/1000)</f>
        <v>0</v>
      </c>
      <c r="X123" s="593">
        <f>AC79*('04 Emissions Factors'!$I$22/1000)</f>
        <v>0</v>
      </c>
      <c r="Y123" s="593">
        <f>AD79*('04 Emissions Factors'!$I$22/1000)</f>
        <v>0</v>
      </c>
      <c r="Z123" s="593">
        <f>AE79*('04 Emissions Factors'!$I$22/1000)</f>
        <v>0</v>
      </c>
      <c r="AA123" s="593">
        <f>AF79*('04 Emissions Factors'!$I$22/1000)</f>
        <v>0</v>
      </c>
      <c r="AB123" s="593">
        <f>AG79*('04 Emissions Factors'!$I$22/1000)</f>
        <v>0</v>
      </c>
      <c r="AC123" s="593">
        <f>AH79*('04 Emissions Factors'!$I$22/1000)</f>
        <v>0</v>
      </c>
      <c r="AD123" s="593">
        <f>AI79*('04 Emissions Factors'!$I$22/1000)</f>
        <v>0</v>
      </c>
      <c r="AE123" s="593">
        <f>AJ79*('04 Emissions Factors'!$I$22/1000)</f>
        <v>0</v>
      </c>
      <c r="AF123" s="593">
        <f>AK79*('04 Emissions Factors'!$I$22/1000)</f>
        <v>0</v>
      </c>
      <c r="AG123" s="593">
        <f>AL79*('04 Emissions Factors'!$I$22/1000)</f>
        <v>0</v>
      </c>
      <c r="AH123" s="593">
        <f>AM79*('04 Emissions Factors'!$I$22/1000)</f>
        <v>0</v>
      </c>
      <c r="AI123" s="593">
        <f t="shared" si="13"/>
        <v>0</v>
      </c>
      <c r="AJ123" s="593">
        <f t="shared" si="14"/>
        <v>586.0370930634886</v>
      </c>
      <c r="AK123" s="593">
        <f t="shared" si="15"/>
        <v>0</v>
      </c>
      <c r="AL123" s="593">
        <f t="shared" si="16"/>
        <v>0</v>
      </c>
      <c r="AM123" s="593">
        <f t="shared" si="17"/>
        <v>586.0370930634886</v>
      </c>
    </row>
    <row r="124" spans="1:39" ht="12.75">
      <c r="A124" s="329"/>
      <c r="B124" s="432" t="s">
        <v>78</v>
      </c>
      <c r="C124" s="350" t="s">
        <v>147</v>
      </c>
      <c r="D124" s="348"/>
      <c r="E124" s="593">
        <f>E80*('04 Emissions Factors'!$I$22/1000)</f>
        <v>0</v>
      </c>
      <c r="F124" s="593">
        <f>F80*('04 Emissions Factors'!$I$22/1000)</f>
        <v>13240.559883136286</v>
      </c>
      <c r="G124" s="593">
        <f>G80*('04 Emissions Factors'!$I$24/1000)</f>
        <v>0</v>
      </c>
      <c r="H124" s="593">
        <f>H80*('04 Emissions Factors'!$I$24/1000)</f>
        <v>0</v>
      </c>
      <c r="I124" s="593">
        <f>I80*('04 Emissions Factors'!$I$26/1000)</f>
        <v>0</v>
      </c>
      <c r="J124" s="593">
        <f>J80*('04 Emissions Factors'!$I$23/1000)</f>
        <v>0</v>
      </c>
      <c r="K124" s="594">
        <f>K80*('04 Emissions Factors'!$I$30/1000)</f>
        <v>0</v>
      </c>
      <c r="L124" s="593">
        <f>L80*('04 Emissions Factors'!$I$29/1000)</f>
        <v>0</v>
      </c>
      <c r="M124" s="397"/>
      <c r="N124" s="593">
        <f>Q80*('04 Emissions Factors'!$I$22/1000)</f>
        <v>0</v>
      </c>
      <c r="O124" s="593">
        <f>R80*('04 Emissions Factors'!$I$22/1000)</f>
        <v>0</v>
      </c>
      <c r="P124" s="593">
        <f>S80*('04 Emissions Factors'!$I$24/1000)</f>
        <v>0</v>
      </c>
      <c r="Q124" s="593">
        <f>T80*('04 Emissions Factors'!$I$24/1000)</f>
        <v>0</v>
      </c>
      <c r="R124" s="593">
        <f>U80*('04 Emissions Factors'!$I$26/1000)</f>
        <v>0</v>
      </c>
      <c r="S124" s="593">
        <f>V80*('04 Emissions Factors'!$I$23/1000)</f>
        <v>0</v>
      </c>
      <c r="T124" s="594">
        <f>W80*('04 Emissions Factors'!$I$30/1000)</f>
        <v>0</v>
      </c>
      <c r="U124" s="593">
        <f>X80*('04 Emissions Factors'!$I$29/1000)</f>
        <v>0</v>
      </c>
      <c r="V124" s="397"/>
      <c r="W124" s="593">
        <f>AB80*('04 Emissions Factors'!$I$22/1000)</f>
        <v>2.2109993073138505</v>
      </c>
      <c r="X124" s="593">
        <f>AC80*('04 Emissions Factors'!$I$22/1000)</f>
        <v>247.13701541465747</v>
      </c>
      <c r="Y124" s="593">
        <f>AD80*('04 Emissions Factors'!$I$22/1000)</f>
        <v>0</v>
      </c>
      <c r="Z124" s="593">
        <f>AE80*('04 Emissions Factors'!$I$22/1000)</f>
        <v>0</v>
      </c>
      <c r="AA124" s="593">
        <f>AF80*('04 Emissions Factors'!$I$22/1000)</f>
        <v>0</v>
      </c>
      <c r="AB124" s="593">
        <f>AG80*('04 Emissions Factors'!$I$22/1000)</f>
        <v>0</v>
      </c>
      <c r="AC124" s="593">
        <f>AH80*('04 Emissions Factors'!$I$22/1000)</f>
        <v>0</v>
      </c>
      <c r="AD124" s="593">
        <f>AI80*('04 Emissions Factors'!$I$22/1000)</f>
        <v>0</v>
      </c>
      <c r="AE124" s="593">
        <f>AJ80*('04 Emissions Factors'!$I$22/1000)</f>
        <v>0</v>
      </c>
      <c r="AF124" s="593">
        <f>AK80*('04 Emissions Factors'!$I$22/1000)</f>
        <v>0</v>
      </c>
      <c r="AG124" s="593">
        <f>AL80*('04 Emissions Factors'!$I$22/1000)</f>
        <v>0</v>
      </c>
      <c r="AH124" s="593">
        <f>AM80*('04 Emissions Factors'!$I$22/1000)</f>
        <v>0</v>
      </c>
      <c r="AI124" s="593">
        <f t="shared" si="13"/>
        <v>2.2109993073138505</v>
      </c>
      <c r="AJ124" s="593">
        <f t="shared" si="14"/>
        <v>13487.696898550943</v>
      </c>
      <c r="AK124" s="593">
        <f t="shared" si="15"/>
        <v>0</v>
      </c>
      <c r="AL124" s="593">
        <f t="shared" si="16"/>
        <v>0</v>
      </c>
      <c r="AM124" s="593">
        <f t="shared" si="17"/>
        <v>13489.907897858257</v>
      </c>
    </row>
    <row r="125" spans="1:39" ht="13.5" thickBot="1">
      <c r="A125" s="329"/>
      <c r="B125" s="432" t="s">
        <v>79</v>
      </c>
      <c r="C125" s="350" t="s">
        <v>148</v>
      </c>
      <c r="D125" s="348"/>
      <c r="E125" s="593">
        <f>E81*('04 Emissions Factors'!$I$22/1000)</f>
        <v>0</v>
      </c>
      <c r="F125" s="593">
        <f>F81*('04 Emissions Factors'!$I$22/1000)</f>
        <v>0</v>
      </c>
      <c r="G125" s="593">
        <f>G81*('04 Emissions Factors'!$I$24/1000)</f>
        <v>0</v>
      </c>
      <c r="H125" s="593">
        <f>H81*('04 Emissions Factors'!$I$24/1000)</f>
        <v>0</v>
      </c>
      <c r="I125" s="593">
        <f>I81*('04 Emissions Factors'!$I$26/1000)</f>
        <v>0</v>
      </c>
      <c r="J125" s="593">
        <f>J81*('04 Emissions Factors'!$I$23/1000)</f>
        <v>0</v>
      </c>
      <c r="K125" s="594">
        <f>K81*('04 Emissions Factors'!$I$30/1000)</f>
        <v>0</v>
      </c>
      <c r="L125" s="593">
        <f>L81*('04 Emissions Factors'!$I$29/1000)</f>
        <v>0</v>
      </c>
      <c r="M125" s="397"/>
      <c r="N125" s="593">
        <f>Q81*('04 Emissions Factors'!$I$22/1000)</f>
        <v>0</v>
      </c>
      <c r="O125" s="593">
        <f>R81*('04 Emissions Factors'!$I$22/1000)</f>
        <v>0</v>
      </c>
      <c r="P125" s="593">
        <f>S81*('04 Emissions Factors'!$I$24/1000)</f>
        <v>0</v>
      </c>
      <c r="Q125" s="593">
        <f>T81*('04 Emissions Factors'!$I$24/1000)</f>
        <v>0</v>
      </c>
      <c r="R125" s="593">
        <f>U81*('04 Emissions Factors'!$I$26/1000)</f>
        <v>0</v>
      </c>
      <c r="S125" s="593">
        <f>V81*('04 Emissions Factors'!$I$23/1000)</f>
        <v>0</v>
      </c>
      <c r="T125" s="594">
        <f>W81*('04 Emissions Factors'!$I$30/1000)</f>
        <v>0</v>
      </c>
      <c r="U125" s="593">
        <f>X81*('04 Emissions Factors'!$I$29/1000)</f>
        <v>0</v>
      </c>
      <c r="V125" s="397"/>
      <c r="W125" s="593">
        <f>AB81*('04 Emissions Factors'!$I$22/1000)</f>
        <v>0</v>
      </c>
      <c r="X125" s="593">
        <f>AC81*('04 Emissions Factors'!$I$22/1000)</f>
        <v>0</v>
      </c>
      <c r="Y125" s="593">
        <f>AD81*('04 Emissions Factors'!$I$22/1000)</f>
        <v>0</v>
      </c>
      <c r="Z125" s="593">
        <f>AE81*('04 Emissions Factors'!$I$22/1000)</f>
        <v>0</v>
      </c>
      <c r="AA125" s="593">
        <f>AF81*('04 Emissions Factors'!$I$22/1000)</f>
        <v>0</v>
      </c>
      <c r="AB125" s="593">
        <f>AG81*('04 Emissions Factors'!$I$22/1000)</f>
        <v>0</v>
      </c>
      <c r="AC125" s="593">
        <f>AH81*('04 Emissions Factors'!$I$22/1000)</f>
        <v>0</v>
      </c>
      <c r="AD125" s="593">
        <f>AI81*('04 Emissions Factors'!$I$22/1000)</f>
        <v>0</v>
      </c>
      <c r="AE125" s="593">
        <f>AJ81*('04 Emissions Factors'!$I$22/1000)</f>
        <v>0</v>
      </c>
      <c r="AF125" s="593">
        <f>AK81*('04 Emissions Factors'!$I$22/1000)</f>
        <v>0</v>
      </c>
      <c r="AG125" s="593">
        <f>AL81*('04 Emissions Factors'!$I$22/1000)</f>
        <v>0</v>
      </c>
      <c r="AH125" s="593">
        <f>AM81*('04 Emissions Factors'!$I$22/1000)</f>
        <v>0</v>
      </c>
      <c r="AI125" s="593">
        <f t="shared" si="13"/>
        <v>0</v>
      </c>
      <c r="AJ125" s="593">
        <f t="shared" si="14"/>
        <v>0</v>
      </c>
      <c r="AK125" s="593">
        <f t="shared" si="15"/>
        <v>0</v>
      </c>
      <c r="AL125" s="593">
        <f t="shared" si="16"/>
        <v>0</v>
      </c>
      <c r="AM125" s="593">
        <f t="shared" si="17"/>
        <v>0</v>
      </c>
    </row>
    <row r="126" spans="1:39" s="271" customFormat="1" ht="13.5" thickBot="1">
      <c r="A126" s="392"/>
      <c r="B126" s="445" t="s">
        <v>166</v>
      </c>
      <c r="C126" s="723"/>
      <c r="D126" s="724"/>
      <c r="E126" s="395">
        <f aca="true" t="shared" si="18" ref="E126:AM126">SUM(E93:E125)</f>
        <v>562882.4708216467</v>
      </c>
      <c r="F126" s="395">
        <f t="shared" si="18"/>
        <v>254579.0401456092</v>
      </c>
      <c r="G126" s="395">
        <f t="shared" si="18"/>
        <v>4735.043843842237</v>
      </c>
      <c r="H126" s="395">
        <f t="shared" si="18"/>
        <v>24654.43087798364</v>
      </c>
      <c r="I126" s="395">
        <f t="shared" si="18"/>
        <v>6.1220015700410615</v>
      </c>
      <c r="J126" s="395">
        <f t="shared" si="18"/>
        <v>344.5300767948778</v>
      </c>
      <c r="K126" s="395">
        <f t="shared" si="18"/>
        <v>3497.085587649611</v>
      </c>
      <c r="L126" s="395">
        <f t="shared" si="18"/>
        <v>2778.017542399565</v>
      </c>
      <c r="M126" s="395">
        <f t="shared" si="18"/>
        <v>52359.71270999997</v>
      </c>
      <c r="N126" s="395">
        <f t="shared" si="18"/>
        <v>26596.253856177053</v>
      </c>
      <c r="O126" s="395">
        <f t="shared" si="18"/>
        <v>45615.51239493419</v>
      </c>
      <c r="P126" s="395">
        <f t="shared" si="18"/>
        <v>55.15341964775611</v>
      </c>
      <c r="Q126" s="395">
        <f t="shared" si="18"/>
        <v>287.18493874438195</v>
      </c>
      <c r="R126" s="395">
        <f t="shared" si="18"/>
        <v>0.12419981162889077</v>
      </c>
      <c r="S126" s="395">
        <f t="shared" si="18"/>
        <v>3.8232109571531847</v>
      </c>
      <c r="T126" s="395">
        <f t="shared" si="18"/>
        <v>38.896847844755236</v>
      </c>
      <c r="U126" s="395">
        <f t="shared" si="18"/>
        <v>30.272946488791295</v>
      </c>
      <c r="V126" s="395">
        <f t="shared" si="18"/>
        <v>1512.5512978522786</v>
      </c>
      <c r="W126" s="395">
        <f t="shared" si="18"/>
        <v>2.2109993073138505</v>
      </c>
      <c r="X126" s="395">
        <f t="shared" si="18"/>
        <v>247.13701541465747</v>
      </c>
      <c r="Y126" s="395">
        <f t="shared" si="18"/>
        <v>789.6953497075789</v>
      </c>
      <c r="Z126" s="395">
        <f t="shared" si="18"/>
        <v>1080.8810049184897</v>
      </c>
      <c r="AA126" s="395">
        <f t="shared" si="18"/>
        <v>966.2098630076204</v>
      </c>
      <c r="AB126" s="395">
        <f t="shared" si="18"/>
        <v>1612.6581083153371</v>
      </c>
      <c r="AC126" s="395">
        <f t="shared" si="18"/>
        <v>0</v>
      </c>
      <c r="AD126" s="395">
        <f t="shared" si="18"/>
        <v>84.7479839546508</v>
      </c>
      <c r="AE126" s="395">
        <f t="shared" si="18"/>
        <v>0</v>
      </c>
      <c r="AF126" s="395">
        <f t="shared" si="18"/>
        <v>34.04075614184201</v>
      </c>
      <c r="AG126" s="395">
        <f t="shared" si="18"/>
        <v>0</v>
      </c>
      <c r="AH126" s="395">
        <f t="shared" si="18"/>
        <v>10.819334338097475</v>
      </c>
      <c r="AI126" s="422">
        <f t="shared" si="18"/>
        <v>591236.8408898464</v>
      </c>
      <c r="AJ126" s="394">
        <f t="shared" si="18"/>
        <v>303264.8367436265</v>
      </c>
      <c r="AK126" s="394">
        <f t="shared" si="18"/>
        <v>30086.41256935172</v>
      </c>
      <c r="AL126" s="394">
        <f t="shared" si="18"/>
        <v>6344.2729243827225</v>
      </c>
      <c r="AM126" s="423">
        <f t="shared" si="18"/>
        <v>930932.3631272074</v>
      </c>
    </row>
    <row r="127" spans="1:31" s="271" customFormat="1" ht="12.75">
      <c r="A127" s="392"/>
      <c r="B127" s="533"/>
      <c r="C127" s="534"/>
      <c r="D127" s="534"/>
      <c r="E127" s="391"/>
      <c r="F127" s="391"/>
      <c r="G127" s="391"/>
      <c r="H127" s="391"/>
      <c r="I127" s="391"/>
      <c r="J127" s="391"/>
      <c r="K127" s="391"/>
      <c r="L127" s="391"/>
      <c r="M127" s="391"/>
      <c r="N127" s="391"/>
      <c r="O127" s="391"/>
      <c r="P127" s="391"/>
      <c r="Q127" s="391"/>
      <c r="R127" s="391"/>
      <c r="S127" s="391"/>
      <c r="T127" s="391"/>
      <c r="U127" s="391"/>
      <c r="V127" s="391"/>
      <c r="W127" s="391"/>
      <c r="X127" s="391"/>
      <c r="Y127" s="391"/>
      <c r="Z127" s="391"/>
      <c r="AA127" s="592"/>
      <c r="AB127" s="592"/>
      <c r="AC127" s="592"/>
      <c r="AD127" s="592"/>
      <c r="AE127" s="592"/>
    </row>
    <row r="128" spans="2:40" ht="21">
      <c r="B128" s="267" t="s">
        <v>277</v>
      </c>
      <c r="C128" s="267" t="s">
        <v>373</v>
      </c>
      <c r="D128" s="268"/>
      <c r="AN128" s="343"/>
    </row>
    <row r="129" spans="2:4" ht="13.5" thickBot="1">
      <c r="B129" s="268"/>
      <c r="C129" s="268"/>
      <c r="D129" s="268"/>
    </row>
    <row r="130" spans="2:12" ht="12.75">
      <c r="B130" s="434" t="s">
        <v>111</v>
      </c>
      <c r="C130" s="360" t="s">
        <v>112</v>
      </c>
      <c r="D130" s="359" t="s">
        <v>113</v>
      </c>
      <c r="E130" s="701" t="s">
        <v>298</v>
      </c>
      <c r="F130" s="702"/>
      <c r="G130" s="702"/>
      <c r="H130" s="702"/>
      <c r="I130" s="702"/>
      <c r="J130" s="703"/>
      <c r="K130" s="749" t="s">
        <v>89</v>
      </c>
      <c r="L130" s="750"/>
    </row>
    <row r="131" spans="2:12" ht="12.75">
      <c r="B131" s="435"/>
      <c r="C131" s="358"/>
      <c r="D131" s="357"/>
      <c r="E131" s="710" t="s">
        <v>155</v>
      </c>
      <c r="F131" s="711"/>
      <c r="G131" s="699" t="s">
        <v>380</v>
      </c>
      <c r="H131" s="733"/>
      <c r="I131" s="733"/>
      <c r="J131" s="733"/>
      <c r="K131" s="751"/>
      <c r="L131" s="752"/>
    </row>
    <row r="132" spans="2:12" ht="13.5" thickBot="1">
      <c r="B132" s="431"/>
      <c r="C132" s="355"/>
      <c r="D132" s="354"/>
      <c r="E132" s="377" t="s">
        <v>3</v>
      </c>
      <c r="F132" s="377" t="s">
        <v>284</v>
      </c>
      <c r="G132" s="377" t="s">
        <v>365</v>
      </c>
      <c r="H132" s="377" t="s">
        <v>297</v>
      </c>
      <c r="I132" s="377" t="s">
        <v>3</v>
      </c>
      <c r="J132" s="353" t="s">
        <v>284</v>
      </c>
      <c r="K132" s="377" t="s">
        <v>3</v>
      </c>
      <c r="L132" s="385" t="s">
        <v>284</v>
      </c>
    </row>
    <row r="133" spans="2:16" ht="12.75">
      <c r="B133" s="432" t="s">
        <v>46</v>
      </c>
      <c r="C133" s="350" t="s">
        <v>114</v>
      </c>
      <c r="D133" s="348"/>
      <c r="E133" s="384">
        <v>9229235.864474505</v>
      </c>
      <c r="F133" s="373">
        <v>6368.751648044829</v>
      </c>
      <c r="G133" s="383">
        <v>0</v>
      </c>
      <c r="H133" s="476">
        <v>0</v>
      </c>
      <c r="I133" s="460">
        <f>(G133*$C$291)+(H133*$C$292)</f>
        <v>0</v>
      </c>
      <c r="J133" s="373">
        <v>0</v>
      </c>
      <c r="K133" s="375">
        <f>E133+I133</f>
        <v>9229235.864474505</v>
      </c>
      <c r="L133" s="382">
        <f>F133+J133</f>
        <v>6368.751648044829</v>
      </c>
      <c r="M133" s="449"/>
      <c r="O133" s="441"/>
      <c r="P133" s="441"/>
    </row>
    <row r="134" spans="2:16" ht="12.75">
      <c r="B134" s="432" t="s">
        <v>47</v>
      </c>
      <c r="C134" s="350" t="s">
        <v>115</v>
      </c>
      <c r="D134" s="348"/>
      <c r="E134" s="384">
        <v>0</v>
      </c>
      <c r="F134" s="373">
        <v>0</v>
      </c>
      <c r="G134" s="383">
        <v>0</v>
      </c>
      <c r="H134" s="384">
        <v>0</v>
      </c>
      <c r="I134" s="460">
        <f aca="true" t="shared" si="19" ref="I134:I165">(G134*$C$291)+(H134*$C$292)</f>
        <v>0</v>
      </c>
      <c r="J134" s="373">
        <v>0</v>
      </c>
      <c r="K134" s="375">
        <f aca="true" t="shared" si="20" ref="K134:K165">E134+I134</f>
        <v>0</v>
      </c>
      <c r="L134" s="382">
        <f aca="true" t="shared" si="21" ref="L134:L165">F134+J134</f>
        <v>0</v>
      </c>
      <c r="M134" s="449"/>
      <c r="O134" s="441"/>
      <c r="P134" s="441"/>
    </row>
    <row r="135" spans="2:16" ht="12.75">
      <c r="B135" s="432" t="s">
        <v>48</v>
      </c>
      <c r="C135" s="350" t="s">
        <v>118</v>
      </c>
      <c r="D135" s="348"/>
      <c r="E135" s="384">
        <v>6743132.545721941</v>
      </c>
      <c r="F135" s="373">
        <v>4561.340066791499</v>
      </c>
      <c r="G135" s="383">
        <v>0</v>
      </c>
      <c r="H135" s="384">
        <v>0</v>
      </c>
      <c r="I135" s="460">
        <f t="shared" si="19"/>
        <v>0</v>
      </c>
      <c r="J135" s="373">
        <v>0</v>
      </c>
      <c r="K135" s="375">
        <f t="shared" si="20"/>
        <v>6743132.545721941</v>
      </c>
      <c r="L135" s="382">
        <f t="shared" si="21"/>
        <v>4561.340066791499</v>
      </c>
      <c r="M135" s="449"/>
      <c r="O135" s="441"/>
      <c r="P135" s="441"/>
    </row>
    <row r="136" spans="2:16" ht="12.75">
      <c r="B136" s="432" t="s">
        <v>49</v>
      </c>
      <c r="C136" s="350" t="s">
        <v>119</v>
      </c>
      <c r="D136" s="348"/>
      <c r="E136" s="384">
        <v>0</v>
      </c>
      <c r="F136" s="373">
        <v>0</v>
      </c>
      <c r="G136" s="383">
        <v>0</v>
      </c>
      <c r="H136" s="384">
        <v>0</v>
      </c>
      <c r="I136" s="460">
        <f t="shared" si="19"/>
        <v>0</v>
      </c>
      <c r="J136" s="373">
        <v>0</v>
      </c>
      <c r="K136" s="375">
        <f t="shared" si="20"/>
        <v>0</v>
      </c>
      <c r="L136" s="382">
        <f t="shared" si="21"/>
        <v>0</v>
      </c>
      <c r="M136" s="449"/>
      <c r="O136" s="441"/>
      <c r="P136" s="441"/>
    </row>
    <row r="137" spans="2:16" ht="12.75">
      <c r="B137" s="432" t="s">
        <v>50</v>
      </c>
      <c r="C137" s="350" t="s">
        <v>120</v>
      </c>
      <c r="D137" s="348"/>
      <c r="E137" s="384">
        <v>0</v>
      </c>
      <c r="F137" s="373">
        <v>0</v>
      </c>
      <c r="G137" s="383">
        <v>0</v>
      </c>
      <c r="H137" s="384">
        <v>0</v>
      </c>
      <c r="I137" s="460">
        <f t="shared" si="19"/>
        <v>0</v>
      </c>
      <c r="J137" s="373">
        <v>0</v>
      </c>
      <c r="K137" s="375">
        <f t="shared" si="20"/>
        <v>0</v>
      </c>
      <c r="L137" s="382">
        <f t="shared" si="21"/>
        <v>0</v>
      </c>
      <c r="M137" s="449"/>
      <c r="O137" s="441"/>
      <c r="P137" s="441"/>
    </row>
    <row r="138" spans="2:16" ht="12.75">
      <c r="B138" s="432" t="s">
        <v>51</v>
      </c>
      <c r="C138" s="350" t="s">
        <v>121</v>
      </c>
      <c r="D138" s="348"/>
      <c r="E138" s="384">
        <v>0</v>
      </c>
      <c r="F138" s="373">
        <v>0</v>
      </c>
      <c r="G138" s="383">
        <v>0</v>
      </c>
      <c r="H138" s="384">
        <v>0</v>
      </c>
      <c r="I138" s="460">
        <f t="shared" si="19"/>
        <v>0</v>
      </c>
      <c r="J138" s="373">
        <v>0</v>
      </c>
      <c r="K138" s="375">
        <f t="shared" si="20"/>
        <v>0</v>
      </c>
      <c r="L138" s="382">
        <f t="shared" si="21"/>
        <v>0</v>
      </c>
      <c r="M138" s="449"/>
      <c r="O138" s="441"/>
      <c r="P138" s="441"/>
    </row>
    <row r="139" spans="2:16" ht="12.75">
      <c r="B139" s="432" t="s">
        <v>52</v>
      </c>
      <c r="C139" s="350" t="s">
        <v>122</v>
      </c>
      <c r="D139" s="348"/>
      <c r="E139" s="384">
        <v>1875.870769732255</v>
      </c>
      <c r="F139" s="373">
        <v>1.2126669761630633</v>
      </c>
      <c r="G139" s="383">
        <v>311765.44075458305</v>
      </c>
      <c r="H139" s="384">
        <v>438240.34362994833</v>
      </c>
      <c r="I139" s="460">
        <f>(G139*$C$291)+(H139*$C$292)</f>
        <v>7993885.348839027</v>
      </c>
      <c r="J139" s="373">
        <v>2031.77435071663</v>
      </c>
      <c r="K139" s="375">
        <f t="shared" si="20"/>
        <v>7995761.2196087595</v>
      </c>
      <c r="L139" s="382">
        <f t="shared" si="21"/>
        <v>2032.987017692793</v>
      </c>
      <c r="M139" s="449"/>
      <c r="O139" s="441"/>
      <c r="P139" s="441"/>
    </row>
    <row r="140" spans="2:16" ht="12.75">
      <c r="B140" s="432" t="s">
        <v>53</v>
      </c>
      <c r="C140" s="350" t="s">
        <v>123</v>
      </c>
      <c r="D140" s="348"/>
      <c r="E140" s="384">
        <v>0</v>
      </c>
      <c r="F140" s="373">
        <v>0</v>
      </c>
      <c r="G140" s="383">
        <v>0</v>
      </c>
      <c r="H140" s="384">
        <v>0</v>
      </c>
      <c r="I140" s="460">
        <f t="shared" si="19"/>
        <v>0</v>
      </c>
      <c r="J140" s="373">
        <v>0</v>
      </c>
      <c r="K140" s="375">
        <f t="shared" si="20"/>
        <v>0</v>
      </c>
      <c r="L140" s="382">
        <f t="shared" si="21"/>
        <v>0</v>
      </c>
      <c r="M140" s="449"/>
      <c r="O140" s="441"/>
      <c r="P140" s="441"/>
    </row>
    <row r="141" spans="2:16" ht="12.75">
      <c r="B141" s="432" t="s">
        <v>54</v>
      </c>
      <c r="C141" s="350" t="s">
        <v>124</v>
      </c>
      <c r="D141" s="348"/>
      <c r="E141" s="384">
        <v>0</v>
      </c>
      <c r="F141" s="373">
        <v>0</v>
      </c>
      <c r="G141" s="383">
        <v>0</v>
      </c>
      <c r="H141" s="384">
        <v>0</v>
      </c>
      <c r="I141" s="460">
        <f t="shared" si="19"/>
        <v>0</v>
      </c>
      <c r="J141" s="373">
        <v>0</v>
      </c>
      <c r="K141" s="375">
        <f t="shared" si="20"/>
        <v>0</v>
      </c>
      <c r="L141" s="382">
        <f t="shared" si="21"/>
        <v>0</v>
      </c>
      <c r="M141" s="449"/>
      <c r="N141" s="450"/>
      <c r="O141" s="441"/>
      <c r="P141" s="441"/>
    </row>
    <row r="142" spans="2:16" ht="12.75">
      <c r="B142" s="432" t="s">
        <v>55</v>
      </c>
      <c r="C142" s="350" t="s">
        <v>125</v>
      </c>
      <c r="D142" s="348"/>
      <c r="E142" s="384">
        <v>0</v>
      </c>
      <c r="F142" s="373">
        <v>0</v>
      </c>
      <c r="G142" s="383">
        <v>0</v>
      </c>
      <c r="H142" s="384">
        <v>0</v>
      </c>
      <c r="I142" s="460">
        <f t="shared" si="19"/>
        <v>0</v>
      </c>
      <c r="J142" s="373">
        <v>0</v>
      </c>
      <c r="K142" s="375">
        <f t="shared" si="20"/>
        <v>0</v>
      </c>
      <c r="L142" s="382">
        <f t="shared" si="21"/>
        <v>0</v>
      </c>
      <c r="M142" s="449"/>
      <c r="O142" s="441"/>
      <c r="P142" s="441"/>
    </row>
    <row r="143" spans="2:16" ht="12.75">
      <c r="B143" s="432" t="s">
        <v>56</v>
      </c>
      <c r="C143" s="350" t="s">
        <v>126</v>
      </c>
      <c r="D143" s="348"/>
      <c r="E143" s="384">
        <v>4163010.8169382755</v>
      </c>
      <c r="F143" s="373">
        <v>3105.7204196119123</v>
      </c>
      <c r="G143" s="383">
        <v>166068.15942515284</v>
      </c>
      <c r="H143" s="384">
        <v>250906.39158450783</v>
      </c>
      <c r="I143" s="460">
        <f t="shared" si="19"/>
        <v>4445020.879860854</v>
      </c>
      <c r="J143" s="373">
        <v>1130.5796888830246</v>
      </c>
      <c r="K143" s="375">
        <f t="shared" si="20"/>
        <v>8608031.69679913</v>
      </c>
      <c r="L143" s="382">
        <f t="shared" si="21"/>
        <v>4236.300108494937</v>
      </c>
      <c r="M143" s="449"/>
      <c r="O143" s="441"/>
      <c r="P143" s="441"/>
    </row>
    <row r="144" spans="2:16" ht="12.75">
      <c r="B144" s="432" t="s">
        <v>57</v>
      </c>
      <c r="C144" s="350" t="s">
        <v>127</v>
      </c>
      <c r="D144" s="348"/>
      <c r="E144" s="384">
        <v>0</v>
      </c>
      <c r="F144" s="373">
        <v>0</v>
      </c>
      <c r="G144" s="383">
        <v>0</v>
      </c>
      <c r="H144" s="384">
        <v>0</v>
      </c>
      <c r="I144" s="460">
        <f t="shared" si="19"/>
        <v>0</v>
      </c>
      <c r="J144" s="373">
        <v>0</v>
      </c>
      <c r="K144" s="375">
        <f t="shared" si="20"/>
        <v>0</v>
      </c>
      <c r="L144" s="382">
        <f t="shared" si="21"/>
        <v>0</v>
      </c>
      <c r="M144" s="449"/>
      <c r="O144" s="441"/>
      <c r="P144" s="441"/>
    </row>
    <row r="145" spans="2:16" ht="12.75">
      <c r="B145" s="432" t="s">
        <v>58</v>
      </c>
      <c r="C145" s="350" t="s">
        <v>128</v>
      </c>
      <c r="D145" s="348"/>
      <c r="E145" s="384">
        <v>419.33764836380175</v>
      </c>
      <c r="F145" s="373">
        <v>0.298552731433283</v>
      </c>
      <c r="G145" s="383">
        <v>0</v>
      </c>
      <c r="H145" s="384">
        <v>29001.821701071483</v>
      </c>
      <c r="I145" s="460">
        <f t="shared" si="19"/>
        <v>310319.49220146483</v>
      </c>
      <c r="J145" s="373">
        <v>80.21120833330444</v>
      </c>
      <c r="K145" s="375">
        <f t="shared" si="20"/>
        <v>310738.8298498286</v>
      </c>
      <c r="L145" s="382">
        <f t="shared" si="21"/>
        <v>80.50976106473773</v>
      </c>
      <c r="M145" s="449"/>
      <c r="O145" s="441"/>
      <c r="P145" s="441"/>
    </row>
    <row r="146" spans="2:16" ht="12.75">
      <c r="B146" s="432" t="s">
        <v>59</v>
      </c>
      <c r="C146" s="350" t="s">
        <v>129</v>
      </c>
      <c r="D146" s="348"/>
      <c r="E146" s="384">
        <v>0</v>
      </c>
      <c r="F146" s="373">
        <v>0</v>
      </c>
      <c r="G146" s="383">
        <v>0</v>
      </c>
      <c r="H146" s="384">
        <v>0</v>
      </c>
      <c r="I146" s="460">
        <f t="shared" si="19"/>
        <v>0</v>
      </c>
      <c r="J146" s="373">
        <v>0</v>
      </c>
      <c r="K146" s="375">
        <f t="shared" si="20"/>
        <v>0</v>
      </c>
      <c r="L146" s="382">
        <f t="shared" si="21"/>
        <v>0</v>
      </c>
      <c r="M146" s="449"/>
      <c r="O146" s="441"/>
      <c r="P146" s="441"/>
    </row>
    <row r="147" spans="2:16" ht="12.75">
      <c r="B147" s="432" t="s">
        <v>60</v>
      </c>
      <c r="C147" s="350" t="s">
        <v>130</v>
      </c>
      <c r="D147" s="348"/>
      <c r="E147" s="384">
        <v>0</v>
      </c>
      <c r="F147" s="373">
        <v>0</v>
      </c>
      <c r="G147" s="383">
        <v>0</v>
      </c>
      <c r="H147" s="384">
        <v>0</v>
      </c>
      <c r="I147" s="460">
        <f t="shared" si="19"/>
        <v>0</v>
      </c>
      <c r="J147" s="373">
        <v>0</v>
      </c>
      <c r="K147" s="375">
        <f t="shared" si="20"/>
        <v>0</v>
      </c>
      <c r="L147" s="382">
        <f t="shared" si="21"/>
        <v>0</v>
      </c>
      <c r="M147" s="449"/>
      <c r="O147" s="441"/>
      <c r="P147" s="441"/>
    </row>
    <row r="148" spans="2:16" ht="12.75">
      <c r="B148" s="432" t="s">
        <v>61</v>
      </c>
      <c r="C148" s="350" t="s">
        <v>131</v>
      </c>
      <c r="D148" s="348"/>
      <c r="E148" s="384">
        <v>683803.2458701252</v>
      </c>
      <c r="F148" s="373">
        <v>438.16638348248654</v>
      </c>
      <c r="G148" s="383">
        <v>0</v>
      </c>
      <c r="H148" s="384">
        <v>0</v>
      </c>
      <c r="I148" s="460">
        <f t="shared" si="19"/>
        <v>0</v>
      </c>
      <c r="J148" s="373">
        <v>0</v>
      </c>
      <c r="K148" s="375">
        <f t="shared" si="20"/>
        <v>683803.2458701252</v>
      </c>
      <c r="L148" s="382">
        <f t="shared" si="21"/>
        <v>438.16638348248654</v>
      </c>
      <c r="M148" s="449"/>
      <c r="O148" s="441"/>
      <c r="P148" s="441"/>
    </row>
    <row r="149" spans="2:16" ht="12.75">
      <c r="B149" s="432" t="s">
        <v>62</v>
      </c>
      <c r="C149" s="350" t="s">
        <v>132</v>
      </c>
      <c r="D149" s="348"/>
      <c r="E149" s="384">
        <v>0</v>
      </c>
      <c r="F149" s="373">
        <v>0</v>
      </c>
      <c r="G149" s="383">
        <v>0</v>
      </c>
      <c r="H149" s="384">
        <v>0</v>
      </c>
      <c r="I149" s="460">
        <f t="shared" si="19"/>
        <v>0</v>
      </c>
      <c r="J149" s="373">
        <v>0</v>
      </c>
      <c r="K149" s="375">
        <f t="shared" si="20"/>
        <v>0</v>
      </c>
      <c r="L149" s="382">
        <f t="shared" si="21"/>
        <v>0</v>
      </c>
      <c r="M149" s="449"/>
      <c r="O149" s="441"/>
      <c r="P149" s="441"/>
    </row>
    <row r="150" spans="2:16" ht="12.75">
      <c r="B150" s="432" t="s">
        <v>63</v>
      </c>
      <c r="C150" s="350" t="s">
        <v>133</v>
      </c>
      <c r="D150" s="348"/>
      <c r="E150" s="384">
        <v>0</v>
      </c>
      <c r="F150" s="373">
        <v>0</v>
      </c>
      <c r="G150" s="383">
        <v>0</v>
      </c>
      <c r="H150" s="384">
        <v>35524.966052796524</v>
      </c>
      <c r="I150" s="460">
        <f t="shared" si="19"/>
        <v>380117.13676492276</v>
      </c>
      <c r="J150" s="373">
        <v>98.25246436120092</v>
      </c>
      <c r="K150" s="375">
        <f t="shared" si="20"/>
        <v>380117.13676492276</v>
      </c>
      <c r="L150" s="382">
        <f t="shared" si="21"/>
        <v>98.25246436120092</v>
      </c>
      <c r="M150" s="449"/>
      <c r="O150" s="441"/>
      <c r="P150" s="441"/>
    </row>
    <row r="151" spans="2:16" ht="12.75">
      <c r="B151" s="432" t="s">
        <v>64</v>
      </c>
      <c r="C151" s="350" t="s">
        <v>134</v>
      </c>
      <c r="D151" s="348"/>
      <c r="E151" s="384">
        <v>0</v>
      </c>
      <c r="F151" s="373">
        <v>0</v>
      </c>
      <c r="G151" s="383">
        <v>0</v>
      </c>
      <c r="H151" s="384">
        <v>0</v>
      </c>
      <c r="I151" s="460">
        <f t="shared" si="19"/>
        <v>0</v>
      </c>
      <c r="J151" s="373">
        <v>0</v>
      </c>
      <c r="K151" s="375">
        <f t="shared" si="20"/>
        <v>0</v>
      </c>
      <c r="L151" s="382">
        <f t="shared" si="21"/>
        <v>0</v>
      </c>
      <c r="M151" s="449"/>
      <c r="O151" s="441"/>
      <c r="P151" s="441"/>
    </row>
    <row r="152" spans="2:16" ht="12.75">
      <c r="B152" s="432" t="s">
        <v>65</v>
      </c>
      <c r="C152" s="350" t="s">
        <v>135</v>
      </c>
      <c r="D152" s="348"/>
      <c r="E152" s="384">
        <v>7.233519485139631</v>
      </c>
      <c r="F152" s="373">
        <v>0.004684437966248747</v>
      </c>
      <c r="G152" s="383">
        <v>0</v>
      </c>
      <c r="H152" s="384">
        <v>5476.054979836288</v>
      </c>
      <c r="I152" s="460">
        <f t="shared" si="19"/>
        <v>58593.78828424828</v>
      </c>
      <c r="J152" s="373">
        <v>15.145289539382617</v>
      </c>
      <c r="K152" s="375">
        <f t="shared" si="20"/>
        <v>58601.02180373342</v>
      </c>
      <c r="L152" s="382">
        <f t="shared" si="21"/>
        <v>15.149973977348866</v>
      </c>
      <c r="M152" s="449"/>
      <c r="O152" s="441"/>
      <c r="P152" s="441"/>
    </row>
    <row r="153" spans="2:16" ht="12.75">
      <c r="B153" s="432" t="s">
        <v>66</v>
      </c>
      <c r="C153" s="350" t="s">
        <v>136</v>
      </c>
      <c r="D153" s="348"/>
      <c r="E153" s="384">
        <v>0</v>
      </c>
      <c r="F153" s="373">
        <v>0</v>
      </c>
      <c r="G153" s="383">
        <v>0</v>
      </c>
      <c r="H153" s="384">
        <v>13123.806060976636</v>
      </c>
      <c r="I153" s="460">
        <f t="shared" si="19"/>
        <v>140424.72485245</v>
      </c>
      <c r="J153" s="373">
        <v>36.29690413702491</v>
      </c>
      <c r="K153" s="375">
        <f t="shared" si="20"/>
        <v>140424.72485245</v>
      </c>
      <c r="L153" s="382">
        <f t="shared" si="21"/>
        <v>36.29690413702491</v>
      </c>
      <c r="M153" s="449"/>
      <c r="O153" s="441"/>
      <c r="P153" s="441"/>
    </row>
    <row r="154" spans="2:16" ht="12.75">
      <c r="B154" s="432" t="s">
        <v>67</v>
      </c>
      <c r="C154" s="350" t="s">
        <v>137</v>
      </c>
      <c r="D154" s="348"/>
      <c r="E154" s="384">
        <v>1432.0519421602878</v>
      </c>
      <c r="F154" s="373">
        <v>0.9273989655073709</v>
      </c>
      <c r="G154" s="383">
        <v>115730.17127095336</v>
      </c>
      <c r="H154" s="384">
        <v>316743.32162371685</v>
      </c>
      <c r="I154" s="460">
        <f t="shared" si="19"/>
        <v>4615893.356845876</v>
      </c>
      <c r="J154" s="373">
        <v>1180.3139945543396</v>
      </c>
      <c r="K154" s="375">
        <f t="shared" si="20"/>
        <v>4617325.408788037</v>
      </c>
      <c r="L154" s="382">
        <f t="shared" si="21"/>
        <v>1181.241393519847</v>
      </c>
      <c r="M154" s="449"/>
      <c r="O154" s="441"/>
      <c r="P154" s="441"/>
    </row>
    <row r="155" spans="2:16" ht="12.75">
      <c r="B155" s="432" t="s">
        <v>68</v>
      </c>
      <c r="C155" s="350" t="s">
        <v>138</v>
      </c>
      <c r="D155" s="348"/>
      <c r="E155" s="384">
        <v>2459.092090634327</v>
      </c>
      <c r="F155" s="373">
        <v>1.5888499151990485</v>
      </c>
      <c r="G155" s="383">
        <v>0</v>
      </c>
      <c r="H155" s="384">
        <v>0</v>
      </c>
      <c r="I155" s="460">
        <f t="shared" si="19"/>
        <v>0</v>
      </c>
      <c r="J155" s="373">
        <v>0</v>
      </c>
      <c r="K155" s="375">
        <f t="shared" si="20"/>
        <v>2459.092090634327</v>
      </c>
      <c r="L155" s="382">
        <f t="shared" si="21"/>
        <v>1.5888499151990485</v>
      </c>
      <c r="M155" s="449"/>
      <c r="O155" s="441"/>
      <c r="P155" s="441"/>
    </row>
    <row r="156" spans="2:16" ht="12.75">
      <c r="B156" s="432" t="s">
        <v>69</v>
      </c>
      <c r="C156" s="350" t="s">
        <v>139</v>
      </c>
      <c r="D156" s="348"/>
      <c r="E156" s="384">
        <v>0</v>
      </c>
      <c r="F156" s="373">
        <v>0</v>
      </c>
      <c r="G156" s="383">
        <v>0</v>
      </c>
      <c r="H156" s="384">
        <v>0</v>
      </c>
      <c r="I156" s="460">
        <f t="shared" si="19"/>
        <v>0</v>
      </c>
      <c r="J156" s="373">
        <v>0</v>
      </c>
      <c r="K156" s="375">
        <f t="shared" si="20"/>
        <v>0</v>
      </c>
      <c r="L156" s="382">
        <f t="shared" si="21"/>
        <v>0</v>
      </c>
      <c r="M156" s="449"/>
      <c r="O156" s="441"/>
      <c r="P156" s="441"/>
    </row>
    <row r="157" spans="2:16" ht="12.75">
      <c r="B157" s="432" t="s">
        <v>70</v>
      </c>
      <c r="C157" s="350" t="s">
        <v>140</v>
      </c>
      <c r="D157" s="348"/>
      <c r="E157" s="384">
        <v>894541.8517359062</v>
      </c>
      <c r="F157" s="373">
        <v>620.3805831502481</v>
      </c>
      <c r="G157" s="383">
        <v>82019.3412386408</v>
      </c>
      <c r="H157" s="384">
        <v>226808.89271197142</v>
      </c>
      <c r="I157" s="460">
        <f t="shared" si="19"/>
        <v>3296260.1691476866</v>
      </c>
      <c r="J157" s="373">
        <v>842.9443004495793</v>
      </c>
      <c r="K157" s="375">
        <f t="shared" si="20"/>
        <v>4190802.020883593</v>
      </c>
      <c r="L157" s="382">
        <f t="shared" si="21"/>
        <v>1463.3248835998274</v>
      </c>
      <c r="M157" s="449"/>
      <c r="O157" s="441"/>
      <c r="P157" s="441"/>
    </row>
    <row r="158" spans="2:16" ht="12.75">
      <c r="B158" s="432" t="s">
        <v>71</v>
      </c>
      <c r="C158" s="350" t="s">
        <v>141</v>
      </c>
      <c r="D158" s="348"/>
      <c r="E158" s="384">
        <v>0</v>
      </c>
      <c r="F158" s="373">
        <v>0</v>
      </c>
      <c r="G158" s="383">
        <v>0</v>
      </c>
      <c r="H158" s="384">
        <v>0</v>
      </c>
      <c r="I158" s="460">
        <f t="shared" si="19"/>
        <v>0</v>
      </c>
      <c r="J158" s="373">
        <v>0</v>
      </c>
      <c r="K158" s="375">
        <f t="shared" si="20"/>
        <v>0</v>
      </c>
      <c r="L158" s="382">
        <f t="shared" si="21"/>
        <v>0</v>
      </c>
      <c r="M158" s="449"/>
      <c r="O158" s="441"/>
      <c r="P158" s="441"/>
    </row>
    <row r="159" spans="2:16" ht="12.75">
      <c r="B159" s="432" t="s">
        <v>72</v>
      </c>
      <c r="C159" s="350" t="s">
        <v>142</v>
      </c>
      <c r="D159" s="348"/>
      <c r="E159" s="384">
        <v>0</v>
      </c>
      <c r="F159" s="373">
        <v>0</v>
      </c>
      <c r="G159" s="383">
        <v>0</v>
      </c>
      <c r="H159" s="384">
        <v>87194.11380531896</v>
      </c>
      <c r="I159" s="460">
        <f t="shared" si="19"/>
        <v>932977.0177169129</v>
      </c>
      <c r="J159" s="373">
        <v>241.15537637478485</v>
      </c>
      <c r="K159" s="375">
        <f t="shared" si="20"/>
        <v>932977.0177169129</v>
      </c>
      <c r="L159" s="382">
        <f t="shared" si="21"/>
        <v>241.15537637478485</v>
      </c>
      <c r="M159" s="449"/>
      <c r="O159" s="441"/>
      <c r="P159" s="441"/>
    </row>
    <row r="160" spans="2:16" ht="12.75">
      <c r="B160" s="432" t="s">
        <v>74</v>
      </c>
      <c r="C160" s="350" t="s">
        <v>143</v>
      </c>
      <c r="D160" s="348"/>
      <c r="E160" s="384">
        <v>698727.896445656</v>
      </c>
      <c r="F160" s="373">
        <v>496.6825569462664</v>
      </c>
      <c r="G160" s="383">
        <v>269135.8977307827</v>
      </c>
      <c r="H160" s="384">
        <v>433562.8232769805</v>
      </c>
      <c r="I160" s="460">
        <f t="shared" si="19"/>
        <v>7491962.725009987</v>
      </c>
      <c r="J160" s="373">
        <v>1906.7524169510261</v>
      </c>
      <c r="K160" s="375">
        <f t="shared" si="20"/>
        <v>8190690.621455643</v>
      </c>
      <c r="L160" s="382">
        <f t="shared" si="21"/>
        <v>2403.4349738972924</v>
      </c>
      <c r="M160" s="449"/>
      <c r="O160" s="441"/>
      <c r="P160" s="441"/>
    </row>
    <row r="161" spans="2:16" ht="12.75">
      <c r="B161" s="432" t="s">
        <v>75</v>
      </c>
      <c r="C161" s="350" t="s">
        <v>144</v>
      </c>
      <c r="D161" s="348"/>
      <c r="E161" s="384">
        <v>0</v>
      </c>
      <c r="F161" s="373">
        <v>0</v>
      </c>
      <c r="G161" s="383">
        <v>0</v>
      </c>
      <c r="H161" s="384">
        <v>0</v>
      </c>
      <c r="I161" s="460">
        <f t="shared" si="19"/>
        <v>0</v>
      </c>
      <c r="J161" s="373">
        <v>0</v>
      </c>
      <c r="K161" s="375">
        <f t="shared" si="20"/>
        <v>0</v>
      </c>
      <c r="L161" s="382">
        <f t="shared" si="21"/>
        <v>0</v>
      </c>
      <c r="M161" s="449"/>
      <c r="O161" s="441"/>
      <c r="P161" s="441"/>
    </row>
    <row r="162" spans="2:16" ht="12.75">
      <c r="B162" s="432" t="s">
        <v>76</v>
      </c>
      <c r="C162" s="350" t="s">
        <v>145</v>
      </c>
      <c r="D162" s="348"/>
      <c r="E162" s="384">
        <v>3056798.592826515</v>
      </c>
      <c r="F162" s="373">
        <v>2111.646393885594</v>
      </c>
      <c r="G162" s="383">
        <v>697285.1108090036</v>
      </c>
      <c r="H162" s="384">
        <v>814045.0338278491</v>
      </c>
      <c r="I162" s="460">
        <f t="shared" si="19"/>
        <v>16101504.036533423</v>
      </c>
      <c r="J162" s="373">
        <v>4084.789356697037</v>
      </c>
      <c r="K162" s="375">
        <f t="shared" si="20"/>
        <v>19158302.62935994</v>
      </c>
      <c r="L162" s="382">
        <f t="shared" si="21"/>
        <v>6196.435750582631</v>
      </c>
      <c r="M162" s="449"/>
      <c r="O162" s="441"/>
      <c r="P162" s="441"/>
    </row>
    <row r="163" spans="2:16" ht="12.75">
      <c r="B163" s="432" t="s">
        <v>77</v>
      </c>
      <c r="C163" s="350" t="s">
        <v>146</v>
      </c>
      <c r="D163" s="348"/>
      <c r="E163" s="384">
        <v>0</v>
      </c>
      <c r="F163" s="373">
        <v>0</v>
      </c>
      <c r="G163" s="383">
        <v>0</v>
      </c>
      <c r="H163" s="384">
        <v>0</v>
      </c>
      <c r="I163" s="460">
        <f t="shared" si="19"/>
        <v>0</v>
      </c>
      <c r="J163" s="373">
        <v>0</v>
      </c>
      <c r="K163" s="375">
        <f t="shared" si="20"/>
        <v>0</v>
      </c>
      <c r="L163" s="382">
        <f t="shared" si="21"/>
        <v>0</v>
      </c>
      <c r="M163" s="449"/>
      <c r="O163" s="441"/>
      <c r="P163" s="441"/>
    </row>
    <row r="164" spans="2:16" ht="12.75">
      <c r="B164" s="432" t="s">
        <v>78</v>
      </c>
      <c r="C164" s="350" t="s">
        <v>147</v>
      </c>
      <c r="D164" s="348"/>
      <c r="E164" s="384">
        <v>96099.6387164534</v>
      </c>
      <c r="F164" s="373">
        <v>68.45406339534723</v>
      </c>
      <c r="G164" s="383">
        <v>0</v>
      </c>
      <c r="H164" s="384">
        <v>14926.05930773026</v>
      </c>
      <c r="I164" s="460">
        <f t="shared" si="19"/>
        <v>159708.83459271377</v>
      </c>
      <c r="J164" s="373">
        <v>41.281450009168815</v>
      </c>
      <c r="K164" s="375">
        <f t="shared" si="20"/>
        <v>255808.47330916717</v>
      </c>
      <c r="L164" s="382">
        <f t="shared" si="21"/>
        <v>109.73551340451604</v>
      </c>
      <c r="M164" s="449"/>
      <c r="O164" s="441"/>
      <c r="P164" s="441"/>
    </row>
    <row r="165" spans="2:16" ht="13.5" thickBot="1">
      <c r="B165" s="432" t="s">
        <v>79</v>
      </c>
      <c r="C165" s="350" t="s">
        <v>148</v>
      </c>
      <c r="D165" s="348"/>
      <c r="E165" s="384">
        <v>1322.729467054408</v>
      </c>
      <c r="F165" s="373">
        <v>0.8566015681958215</v>
      </c>
      <c r="G165" s="383">
        <v>76356.74545157758</v>
      </c>
      <c r="H165" s="478">
        <v>556391.9206707699</v>
      </c>
      <c r="I165" s="460">
        <f t="shared" si="19"/>
        <v>6762775.052963959</v>
      </c>
      <c r="J165" s="373">
        <v>1739.593395864674</v>
      </c>
      <c r="K165" s="375">
        <f t="shared" si="20"/>
        <v>6764097.782431014</v>
      </c>
      <c r="L165" s="382">
        <f t="shared" si="21"/>
        <v>1740.4499974328698</v>
      </c>
      <c r="M165" s="449"/>
      <c r="O165" s="441"/>
      <c r="P165" s="441"/>
    </row>
    <row r="166" spans="2:13" ht="13.5" thickBot="1">
      <c r="B166" s="428" t="s">
        <v>166</v>
      </c>
      <c r="C166" s="731"/>
      <c r="D166" s="745"/>
      <c r="E166" s="461">
        <f aca="true" t="shared" si="22" ref="E166:L166">SUM(E133:E165)</f>
        <v>25572866.768166795</v>
      </c>
      <c r="F166" s="461">
        <f t="shared" si="22"/>
        <v>17776.030869902654</v>
      </c>
      <c r="G166" s="461">
        <f t="shared" si="22"/>
        <v>1718360.8666806938</v>
      </c>
      <c r="H166" s="461">
        <f t="shared" si="22"/>
        <v>3221945.549233474</v>
      </c>
      <c r="I166" s="461">
        <f t="shared" si="22"/>
        <v>52689442.56361353</v>
      </c>
      <c r="J166" s="461">
        <f t="shared" si="22"/>
        <v>13429.090196871177</v>
      </c>
      <c r="K166" s="461">
        <f t="shared" si="22"/>
        <v>78262309.33178034</v>
      </c>
      <c r="L166" s="462">
        <f t="shared" si="22"/>
        <v>31205.121066773823</v>
      </c>
      <c r="M166" s="449"/>
    </row>
    <row r="167" spans="1:4" ht="12.75">
      <c r="A167" s="512"/>
      <c r="B167" s="268"/>
      <c r="C167" s="268"/>
      <c r="D167" s="268"/>
    </row>
    <row r="168" spans="1:18" ht="21">
      <c r="A168" s="512"/>
      <c r="B168" s="267" t="s">
        <v>286</v>
      </c>
      <c r="C168" s="267" t="s">
        <v>372</v>
      </c>
      <c r="D168" s="513"/>
      <c r="R168" s="449"/>
    </row>
    <row r="169" spans="1:12" ht="13.5" thickBot="1">
      <c r="A169" s="512"/>
      <c r="B169" s="268"/>
      <c r="C169" s="268"/>
      <c r="D169" s="268"/>
      <c r="L169" s="343"/>
    </row>
    <row r="170" spans="2:30" ht="12.75">
      <c r="B170" s="434" t="s">
        <v>111</v>
      </c>
      <c r="C170" s="360" t="s">
        <v>112</v>
      </c>
      <c r="D170" s="380" t="s">
        <v>113</v>
      </c>
      <c r="E170" s="726" t="s">
        <v>319</v>
      </c>
      <c r="F170" s="702"/>
      <c r="G170" s="702"/>
      <c r="H170" s="702"/>
      <c r="I170" s="702"/>
      <c r="J170" s="702"/>
      <c r="K170" s="702"/>
      <c r="L170" s="702"/>
      <c r="M170" s="702"/>
      <c r="N170" s="703"/>
      <c r="O170" s="701" t="s">
        <v>296</v>
      </c>
      <c r="P170" s="702"/>
      <c r="Q170" s="702"/>
      <c r="R170" s="702"/>
      <c r="S170" s="702"/>
      <c r="T170" s="702"/>
      <c r="U170" s="702"/>
      <c r="V170" s="702"/>
      <c r="W170" s="702"/>
      <c r="X170" s="727"/>
      <c r="Y170" s="746" t="s">
        <v>89</v>
      </c>
      <c r="Z170" s="747"/>
      <c r="AA170" s="747"/>
      <c r="AB170" s="747"/>
      <c r="AC170" s="747"/>
      <c r="AD170" s="748"/>
    </row>
    <row r="171" spans="2:30" ht="12.75">
      <c r="B171" s="435"/>
      <c r="C171" s="358"/>
      <c r="D171" s="357"/>
      <c r="E171" s="760" t="s">
        <v>295</v>
      </c>
      <c r="F171" s="700"/>
      <c r="G171" s="699" t="s">
        <v>294</v>
      </c>
      <c r="H171" s="700"/>
      <c r="I171" s="699" t="s">
        <v>293</v>
      </c>
      <c r="J171" s="700"/>
      <c r="K171" s="699" t="s">
        <v>292</v>
      </c>
      <c r="L171" s="733"/>
      <c r="M171" s="699" t="s">
        <v>291</v>
      </c>
      <c r="N171" s="700"/>
      <c r="O171" s="699" t="s">
        <v>290</v>
      </c>
      <c r="P171" s="700"/>
      <c r="Q171" s="699" t="s">
        <v>289</v>
      </c>
      <c r="R171" s="700"/>
      <c r="S171" s="699" t="s">
        <v>288</v>
      </c>
      <c r="T171" s="700"/>
      <c r="U171" s="699" t="s">
        <v>316</v>
      </c>
      <c r="V171" s="700"/>
      <c r="W171" s="713" t="s">
        <v>89</v>
      </c>
      <c r="X171" s="715"/>
      <c r="Y171" s="754" t="s">
        <v>171</v>
      </c>
      <c r="Z171" s="714"/>
      <c r="AA171" s="713" t="s">
        <v>33</v>
      </c>
      <c r="AB171" s="714"/>
      <c r="AC171" s="713" t="s">
        <v>287</v>
      </c>
      <c r="AD171" s="715"/>
    </row>
    <row r="172" spans="2:30" ht="13.5" thickBot="1">
      <c r="B172" s="431"/>
      <c r="C172" s="355"/>
      <c r="D172" s="354"/>
      <c r="E172" s="378" t="s">
        <v>3</v>
      </c>
      <c r="F172" s="377" t="s">
        <v>320</v>
      </c>
      <c r="G172" s="377" t="s">
        <v>3</v>
      </c>
      <c r="H172" s="377" t="s">
        <v>320</v>
      </c>
      <c r="I172" s="377" t="s">
        <v>3</v>
      </c>
      <c r="J172" s="377" t="s">
        <v>320</v>
      </c>
      <c r="K172" s="377" t="s">
        <v>3</v>
      </c>
      <c r="L172" s="377" t="s">
        <v>320</v>
      </c>
      <c r="M172" s="377" t="s">
        <v>3</v>
      </c>
      <c r="N172" s="377" t="s">
        <v>320</v>
      </c>
      <c r="O172" s="353" t="s">
        <v>3</v>
      </c>
      <c r="P172" s="353" t="s">
        <v>320</v>
      </c>
      <c r="Q172" s="377" t="s">
        <v>3</v>
      </c>
      <c r="R172" s="353" t="s">
        <v>320</v>
      </c>
      <c r="S172" s="377" t="s">
        <v>3</v>
      </c>
      <c r="T172" s="353" t="s">
        <v>320</v>
      </c>
      <c r="U172" s="377" t="s">
        <v>3</v>
      </c>
      <c r="V172" s="353" t="s">
        <v>320</v>
      </c>
      <c r="W172" s="353" t="s">
        <v>3</v>
      </c>
      <c r="X172" s="352" t="s">
        <v>320</v>
      </c>
      <c r="Y172" s="378" t="s">
        <v>3</v>
      </c>
      <c r="Z172" s="521" t="s">
        <v>320</v>
      </c>
      <c r="AA172" s="377" t="s">
        <v>3</v>
      </c>
      <c r="AB172" s="377" t="s">
        <v>320</v>
      </c>
      <c r="AC172" s="377" t="s">
        <v>3</v>
      </c>
      <c r="AD172" s="385" t="s">
        <v>320</v>
      </c>
    </row>
    <row r="173" spans="2:30" ht="12.75">
      <c r="B173" s="432" t="s">
        <v>46</v>
      </c>
      <c r="C173" s="350" t="s">
        <v>114</v>
      </c>
      <c r="D173" s="348"/>
      <c r="E173" s="539">
        <v>705881.5810454971</v>
      </c>
      <c r="F173" s="371">
        <f>(E173*'04 Emissions Factors'!$I$17)/1000</f>
        <v>195.04201507319905</v>
      </c>
      <c r="G173" s="373">
        <v>21330976.232467465</v>
      </c>
      <c r="H173" s="600">
        <f>G173*(('04 Emissions Factors'!$I$18)+('04 Emissions Factors'!$I$19))/1000</f>
        <v>9584.434240772282</v>
      </c>
      <c r="I173" s="375">
        <f>E173+G173</f>
        <v>22036857.813512962</v>
      </c>
      <c r="J173" s="374">
        <f>F173+H173</f>
        <v>9779.47625584548</v>
      </c>
      <c r="K173" s="539">
        <v>5467508.285662131</v>
      </c>
      <c r="L173" s="371">
        <f>(K173*'04 Emissions Factors'!$I$17)/1000</f>
        <v>1510.72624941636</v>
      </c>
      <c r="M173" s="371">
        <f>I173+K173</f>
        <v>27504366.099175096</v>
      </c>
      <c r="N173" s="371">
        <f>J173+L173</f>
        <v>11290.202505261841</v>
      </c>
      <c r="O173" s="373">
        <v>23170465.41895464</v>
      </c>
      <c r="P173" s="371">
        <f>O173*(('04 Emissions Factors'!$I$18)+('04 Emissions Factors'!$I$19))/1000</f>
        <v>10410.9535220447</v>
      </c>
      <c r="Q173" s="372">
        <v>0</v>
      </c>
      <c r="R173" s="371">
        <f>Q173*(('04 Emissions Factors'!$I$18)+('04 Emissions Factors'!$I$19))/1000</f>
        <v>0</v>
      </c>
      <c r="S173" s="372">
        <v>0</v>
      </c>
      <c r="T173" s="371">
        <f>S173*(('04 Emissions Factors'!$I$18)+('04 Emissions Factors'!$I$19))/1000</f>
        <v>0</v>
      </c>
      <c r="U173" s="456"/>
      <c r="V173" s="456"/>
      <c r="W173" s="207">
        <f>O173+Q173+S173+U173</f>
        <v>23170465.41895464</v>
      </c>
      <c r="X173" s="207">
        <f>P173+R173+T173+V173</f>
        <v>10410.9535220447</v>
      </c>
      <c r="Y173" s="518">
        <f aca="true" t="shared" si="23" ref="Y173:Y205">K173+E173</f>
        <v>6173389.866707629</v>
      </c>
      <c r="Z173" s="516">
        <f aca="true" t="shared" si="24" ref="Z173:Z205">F173+L173</f>
        <v>1705.768264489559</v>
      </c>
      <c r="AA173" s="516">
        <f aca="true" t="shared" si="25" ref="AA173:AA206">G173+W173</f>
        <v>44501441.651422106</v>
      </c>
      <c r="AB173" s="516">
        <f aca="true" t="shared" si="26" ref="AB173:AB206">X173+H173</f>
        <v>19995.38776281698</v>
      </c>
      <c r="AC173" s="209">
        <f>Y173+AA173</f>
        <v>50674831.518129736</v>
      </c>
      <c r="AD173" s="519">
        <f>Z173+AB173</f>
        <v>21701.156027306537</v>
      </c>
    </row>
    <row r="174" spans="2:30" ht="12.75">
      <c r="B174" s="432" t="s">
        <v>47</v>
      </c>
      <c r="C174" s="350" t="s">
        <v>115</v>
      </c>
      <c r="D174" s="348"/>
      <c r="E174" s="539">
        <v>17230354.522876423</v>
      </c>
      <c r="F174" s="371">
        <f>(E174*'04 Emissions Factors'!$I$17)/1000</f>
        <v>4760.916217122287</v>
      </c>
      <c r="G174" s="373">
        <v>23298989.166996542</v>
      </c>
      <c r="H174" s="600">
        <f>G174*(('04 Emissions Factors'!$I$18)+('04 Emissions Factors'!$I$19))/1000</f>
        <v>10468.701812514886</v>
      </c>
      <c r="I174" s="375">
        <f aca="true" t="shared" si="27" ref="I174:I205">E174+G174</f>
        <v>40529343.689872965</v>
      </c>
      <c r="J174" s="374">
        <f aca="true" t="shared" si="28" ref="J174:J205">F174+H174</f>
        <v>15229.618029637173</v>
      </c>
      <c r="K174" s="539">
        <v>2384270.6405990045</v>
      </c>
      <c r="L174" s="371">
        <f>(K174*'04 Emissions Factors'!$I$17)/1000</f>
        <v>658.7973998889818</v>
      </c>
      <c r="M174" s="371">
        <f aca="true" t="shared" si="29" ref="M174:M205">I174+K174</f>
        <v>42913614.33047197</v>
      </c>
      <c r="N174" s="371">
        <f aca="true" t="shared" si="30" ref="N174:N205">J174+L174</f>
        <v>15888.415429526154</v>
      </c>
      <c r="O174" s="373">
        <v>56005018.7219167</v>
      </c>
      <c r="P174" s="371">
        <f>O174*(('04 Emissions Factors'!$I$18)+('04 Emissions Factors'!$I$19))/1000</f>
        <v>25164.175012131607</v>
      </c>
      <c r="Q174" s="372">
        <v>0</v>
      </c>
      <c r="R174" s="371">
        <f>Q174*(('04 Emissions Factors'!$I$18)+('04 Emissions Factors'!$I$19))/1000</f>
        <v>0</v>
      </c>
      <c r="S174" s="372">
        <v>0</v>
      </c>
      <c r="T174" s="371">
        <f>S174*(('04 Emissions Factors'!$I$18)+('04 Emissions Factors'!$I$19))/1000</f>
        <v>0</v>
      </c>
      <c r="U174" s="456"/>
      <c r="V174" s="456"/>
      <c r="W174" s="207">
        <f aca="true" t="shared" si="31" ref="W174:W206">O174+Q174+S174+U174</f>
        <v>56005018.7219167</v>
      </c>
      <c r="X174" s="207">
        <f aca="true" t="shared" si="32" ref="X174:X206">P174+R174+T174+V174</f>
        <v>25164.175012131607</v>
      </c>
      <c r="Y174" s="518">
        <f t="shared" si="23"/>
        <v>19614625.163475428</v>
      </c>
      <c r="Z174" s="516">
        <f t="shared" si="24"/>
        <v>5419.713617011269</v>
      </c>
      <c r="AA174" s="516">
        <f t="shared" si="25"/>
        <v>79304007.88891324</v>
      </c>
      <c r="AB174" s="516">
        <f t="shared" si="26"/>
        <v>35632.87682464649</v>
      </c>
      <c r="AC174" s="209">
        <f aca="true" t="shared" si="33" ref="AC174:AC206">Y174+AA174</f>
        <v>98918633.05238867</v>
      </c>
      <c r="AD174" s="519">
        <f aca="true" t="shared" si="34" ref="AD174:AD206">Z174+AB174</f>
        <v>41052.59044165776</v>
      </c>
    </row>
    <row r="175" spans="2:30" ht="12.75">
      <c r="B175" s="432" t="s">
        <v>48</v>
      </c>
      <c r="C175" s="350" t="s">
        <v>118</v>
      </c>
      <c r="D175" s="348"/>
      <c r="E175" s="539">
        <v>0</v>
      </c>
      <c r="F175" s="371">
        <f>(E175*'04 Emissions Factors'!$I$17)/1000</f>
        <v>0</v>
      </c>
      <c r="G175" s="373">
        <v>20703867.20510211</v>
      </c>
      <c r="H175" s="600">
        <f>G175*(('04 Emissions Factors'!$I$18)+('04 Emissions Factors'!$I$19))/1000</f>
        <v>9302.661612596481</v>
      </c>
      <c r="I175" s="375">
        <f t="shared" si="27"/>
        <v>20703867.20510211</v>
      </c>
      <c r="J175" s="374">
        <f t="shared" si="28"/>
        <v>9302.661612596481</v>
      </c>
      <c r="K175" s="539">
        <v>3191701.2134066112</v>
      </c>
      <c r="L175" s="371">
        <f>(K175*'04 Emissions Factors'!$I$17)/1000</f>
        <v>881.8983989529486</v>
      </c>
      <c r="M175" s="371">
        <f t="shared" si="29"/>
        <v>23895568.41850872</v>
      </c>
      <c r="N175" s="371">
        <f t="shared" si="30"/>
        <v>10184.560011549429</v>
      </c>
      <c r="O175" s="373">
        <v>0</v>
      </c>
      <c r="P175" s="371">
        <f>O175*(('04 Emissions Factors'!$I$18)+('04 Emissions Factors'!$I$19))/1000</f>
        <v>0</v>
      </c>
      <c r="Q175" s="372">
        <v>0</v>
      </c>
      <c r="R175" s="371">
        <f>Q175*(('04 Emissions Factors'!$I$18)+('04 Emissions Factors'!$I$19))/1000</f>
        <v>0</v>
      </c>
      <c r="S175" s="372">
        <v>0</v>
      </c>
      <c r="T175" s="371">
        <f>S175*(('04 Emissions Factors'!$I$18)+('04 Emissions Factors'!$I$19))/1000</f>
        <v>0</v>
      </c>
      <c r="U175" s="456"/>
      <c r="V175" s="456"/>
      <c r="W175" s="207">
        <f t="shared" si="31"/>
        <v>0</v>
      </c>
      <c r="X175" s="207">
        <f t="shared" si="32"/>
        <v>0</v>
      </c>
      <c r="Y175" s="518">
        <f t="shared" si="23"/>
        <v>3191701.2134066112</v>
      </c>
      <c r="Z175" s="516">
        <f t="shared" si="24"/>
        <v>881.8983989529486</v>
      </c>
      <c r="AA175" s="516">
        <f t="shared" si="25"/>
        <v>20703867.20510211</v>
      </c>
      <c r="AB175" s="516">
        <f t="shared" si="26"/>
        <v>9302.661612596481</v>
      </c>
      <c r="AC175" s="209">
        <f t="shared" si="33"/>
        <v>23895568.41850872</v>
      </c>
      <c r="AD175" s="519">
        <f t="shared" si="34"/>
        <v>10184.560011549429</v>
      </c>
    </row>
    <row r="176" spans="2:30" ht="12.75">
      <c r="B176" s="432" t="s">
        <v>49</v>
      </c>
      <c r="C176" s="350" t="s">
        <v>119</v>
      </c>
      <c r="D176" s="348"/>
      <c r="E176" s="539">
        <v>24344327.503890302</v>
      </c>
      <c r="F176" s="371">
        <f>(E176*'04 Emissions Factors'!$I$17)/1000</f>
        <v>6726.576835916373</v>
      </c>
      <c r="G176" s="373">
        <v>18993319.082537875</v>
      </c>
      <c r="H176" s="600">
        <f>G176*(('04 Emissions Factors'!$I$18)+('04 Emissions Factors'!$I$19))/1000</f>
        <v>8534.078130165917</v>
      </c>
      <c r="I176" s="375">
        <f t="shared" si="27"/>
        <v>43337646.58642818</v>
      </c>
      <c r="J176" s="374">
        <f t="shared" si="28"/>
        <v>15260.65496608229</v>
      </c>
      <c r="K176" s="539">
        <v>8042473.133180828</v>
      </c>
      <c r="L176" s="371">
        <f>(K176*'04 Emissions Factors'!$I$17)/1000</f>
        <v>2222.214331962501</v>
      </c>
      <c r="M176" s="371">
        <f t="shared" si="29"/>
        <v>51380119.71960901</v>
      </c>
      <c r="N176" s="371">
        <f t="shared" si="30"/>
        <v>17482.86929804479</v>
      </c>
      <c r="O176" s="373">
        <v>79269854.59355976</v>
      </c>
      <c r="P176" s="371">
        <f>O176*(('04 Emissions Factors'!$I$18)+('04 Emissions Factors'!$I$19))/1000</f>
        <v>35617.53106597827</v>
      </c>
      <c r="Q176" s="372">
        <v>0</v>
      </c>
      <c r="R176" s="371">
        <f>Q176*(('04 Emissions Factors'!$I$18)+('04 Emissions Factors'!$I$19))/1000</f>
        <v>0</v>
      </c>
      <c r="S176" s="372">
        <v>0</v>
      </c>
      <c r="T176" s="371">
        <f>S176*(('04 Emissions Factors'!$I$18)+('04 Emissions Factors'!$I$19))/1000</f>
        <v>0</v>
      </c>
      <c r="U176" s="456"/>
      <c r="V176" s="456"/>
      <c r="W176" s="207">
        <f t="shared" si="31"/>
        <v>79269854.59355976</v>
      </c>
      <c r="X176" s="207">
        <f t="shared" si="32"/>
        <v>35617.53106597827</v>
      </c>
      <c r="Y176" s="518">
        <f t="shared" si="23"/>
        <v>32386800.63707113</v>
      </c>
      <c r="Z176" s="516">
        <f t="shared" si="24"/>
        <v>8948.791167878873</v>
      </c>
      <c r="AA176" s="516">
        <f t="shared" si="25"/>
        <v>98263173.67609763</v>
      </c>
      <c r="AB176" s="516">
        <f t="shared" si="26"/>
        <v>44151.609196144185</v>
      </c>
      <c r="AC176" s="209">
        <f t="shared" si="33"/>
        <v>130649974.31316876</v>
      </c>
      <c r="AD176" s="519">
        <f t="shared" si="34"/>
        <v>53100.40036402306</v>
      </c>
    </row>
    <row r="177" spans="2:30" ht="12.75">
      <c r="B177" s="432" t="s">
        <v>50</v>
      </c>
      <c r="C177" s="350" t="s">
        <v>120</v>
      </c>
      <c r="D177" s="348"/>
      <c r="E177" s="539">
        <v>652473.0014481469</v>
      </c>
      <c r="F177" s="371">
        <f>(E177*'04 Emissions Factors'!$I$17)/1000</f>
        <v>180.28469987107152</v>
      </c>
      <c r="G177" s="373">
        <v>47415366.1020178</v>
      </c>
      <c r="H177" s="600">
        <f>G177*(('04 Emissions Factors'!$I$18)+('04 Emissions Factors'!$I$19))/1000</f>
        <v>21304.672296958637</v>
      </c>
      <c r="I177" s="375">
        <f t="shared" si="27"/>
        <v>48067839.103465945</v>
      </c>
      <c r="J177" s="374">
        <f t="shared" si="28"/>
        <v>21484.956996829707</v>
      </c>
      <c r="K177" s="539">
        <v>2110942.68502563</v>
      </c>
      <c r="L177" s="371">
        <f>(K177*'04 Emissions Factors'!$I$17)/1000</f>
        <v>583.2742007258735</v>
      </c>
      <c r="M177" s="371">
        <f t="shared" si="29"/>
        <v>50178781.78849158</v>
      </c>
      <c r="N177" s="371">
        <f t="shared" si="30"/>
        <v>22068.231197555582</v>
      </c>
      <c r="O177" s="373">
        <v>0</v>
      </c>
      <c r="P177" s="371">
        <f>O177*(('04 Emissions Factors'!$I$18)+('04 Emissions Factors'!$I$19))/1000</f>
        <v>0</v>
      </c>
      <c r="Q177" s="372">
        <v>0</v>
      </c>
      <c r="R177" s="371">
        <f>Q177*(('04 Emissions Factors'!$I$18)+('04 Emissions Factors'!$I$19))/1000</f>
        <v>0</v>
      </c>
      <c r="S177" s="372">
        <v>1730560.1585542834</v>
      </c>
      <c r="T177" s="371">
        <f>S177*(('04 Emissions Factors'!$I$18)+('04 Emissions Factors'!$I$19))/1000</f>
        <v>777.5752904416106</v>
      </c>
      <c r="U177" s="456"/>
      <c r="V177" s="456"/>
      <c r="W177" s="207">
        <f t="shared" si="31"/>
        <v>1730560.1585542834</v>
      </c>
      <c r="X177" s="207">
        <f t="shared" si="32"/>
        <v>777.5752904416106</v>
      </c>
      <c r="Y177" s="518">
        <f t="shared" si="23"/>
        <v>2763415.686473777</v>
      </c>
      <c r="Z177" s="516">
        <f t="shared" si="24"/>
        <v>763.558900596945</v>
      </c>
      <c r="AA177" s="516">
        <f t="shared" si="25"/>
        <v>49145926.26057208</v>
      </c>
      <c r="AB177" s="516">
        <f t="shared" si="26"/>
        <v>22082.24758740025</v>
      </c>
      <c r="AC177" s="209">
        <f t="shared" si="33"/>
        <v>51909341.94704586</v>
      </c>
      <c r="AD177" s="519">
        <f t="shared" si="34"/>
        <v>22845.806487997193</v>
      </c>
    </row>
    <row r="178" spans="2:30" ht="12.75">
      <c r="B178" s="432" t="s">
        <v>51</v>
      </c>
      <c r="C178" s="350" t="s">
        <v>121</v>
      </c>
      <c r="D178" s="348"/>
      <c r="E178" s="539">
        <v>18971518.79140823</v>
      </c>
      <c r="F178" s="371">
        <f>(E178*'04 Emissions Factors'!$I$17)/1000</f>
        <v>5242.017008851271</v>
      </c>
      <c r="G178" s="373">
        <v>23856744.984326214</v>
      </c>
      <c r="H178" s="600">
        <f>G178*(('04 Emissions Factors'!$I$18)+('04 Emissions Factors'!$I$19))/1000</f>
        <v>10719.312656357453</v>
      </c>
      <c r="I178" s="375">
        <f t="shared" si="27"/>
        <v>42828263.77573444</v>
      </c>
      <c r="J178" s="374">
        <f t="shared" si="28"/>
        <v>15961.329665208725</v>
      </c>
      <c r="K178" s="539">
        <v>6386624.387951075</v>
      </c>
      <c r="L178" s="371">
        <f>(K178*'04 Emissions Factors'!$I$17)/1000</f>
        <v>1764.6870574192333</v>
      </c>
      <c r="M178" s="371">
        <f t="shared" si="29"/>
        <v>49214888.163685516</v>
      </c>
      <c r="N178" s="371">
        <f t="shared" si="30"/>
        <v>17726.01672262796</v>
      </c>
      <c r="O178" s="373">
        <v>80764057.94451259</v>
      </c>
      <c r="P178" s="371">
        <f>O178*(('04 Emissions Factors'!$I$18)+('04 Emissions Factors'!$I$19))/1000</f>
        <v>36288.9065156284</v>
      </c>
      <c r="Q178" s="372">
        <v>0</v>
      </c>
      <c r="R178" s="371">
        <f>Q178*(('04 Emissions Factors'!$I$18)+('04 Emissions Factors'!$I$19))/1000</f>
        <v>0</v>
      </c>
      <c r="S178" s="372">
        <v>0</v>
      </c>
      <c r="T178" s="371">
        <f>S178*(('04 Emissions Factors'!$I$18)+('04 Emissions Factors'!$I$19))/1000</f>
        <v>0</v>
      </c>
      <c r="U178" s="456"/>
      <c r="V178" s="456"/>
      <c r="W178" s="207">
        <f t="shared" si="31"/>
        <v>80764057.94451259</v>
      </c>
      <c r="X178" s="207">
        <f t="shared" si="32"/>
        <v>36288.9065156284</v>
      </c>
      <c r="Y178" s="518">
        <f t="shared" si="23"/>
        <v>25358143.179359306</v>
      </c>
      <c r="Z178" s="516">
        <f t="shared" si="24"/>
        <v>7006.704066270505</v>
      </c>
      <c r="AA178" s="516">
        <f t="shared" si="25"/>
        <v>104620802.9288388</v>
      </c>
      <c r="AB178" s="516">
        <f t="shared" si="26"/>
        <v>47008.21917198585</v>
      </c>
      <c r="AC178" s="209">
        <f t="shared" si="33"/>
        <v>129978946.1081981</v>
      </c>
      <c r="AD178" s="519">
        <f t="shared" si="34"/>
        <v>54014.92323825636</v>
      </c>
    </row>
    <row r="179" spans="2:30" ht="12.75">
      <c r="B179" s="432" t="s">
        <v>52</v>
      </c>
      <c r="C179" s="350" t="s">
        <v>122</v>
      </c>
      <c r="D179" s="348"/>
      <c r="E179" s="539">
        <v>0</v>
      </c>
      <c r="F179" s="371">
        <f>(E179*'04 Emissions Factors'!$I$17)/1000</f>
        <v>0</v>
      </c>
      <c r="G179" s="373">
        <v>4111760.6073456416</v>
      </c>
      <c r="H179" s="600">
        <f>G179*(('04 Emissions Factors'!$I$18)+('04 Emissions Factors'!$I$19))/1000</f>
        <v>1847.4962760925437</v>
      </c>
      <c r="I179" s="375">
        <f t="shared" si="27"/>
        <v>4111760.6073456416</v>
      </c>
      <c r="J179" s="374">
        <f t="shared" si="28"/>
        <v>1847.4962760925437</v>
      </c>
      <c r="K179" s="539">
        <v>0</v>
      </c>
      <c r="L179" s="371">
        <f>(K179*'04 Emissions Factors'!$I$17)/1000</f>
        <v>0</v>
      </c>
      <c r="M179" s="371">
        <f t="shared" si="29"/>
        <v>4111760.6073456416</v>
      </c>
      <c r="N179" s="371">
        <f t="shared" si="30"/>
        <v>1847.4962760925437</v>
      </c>
      <c r="O179" s="373">
        <v>38474012.46368575</v>
      </c>
      <c r="P179" s="371">
        <f>O179*(('04 Emissions Factors'!$I$18)+('04 Emissions Factors'!$I$19))/1000</f>
        <v>17287.14328018328</v>
      </c>
      <c r="Q179" s="372">
        <v>2386205.4445474357</v>
      </c>
      <c r="R179" s="371">
        <f>Q179*(('04 Emissions Factors'!$I$18)+('04 Emissions Factors'!$I$19))/1000</f>
        <v>1072.169830344054</v>
      </c>
      <c r="S179" s="372">
        <v>0</v>
      </c>
      <c r="T179" s="371">
        <f>S179*(('04 Emissions Factors'!$I$18)+('04 Emissions Factors'!$I$19))/1000</f>
        <v>0</v>
      </c>
      <c r="U179" s="456"/>
      <c r="V179" s="456"/>
      <c r="W179" s="207">
        <f t="shared" si="31"/>
        <v>40860217.90823319</v>
      </c>
      <c r="X179" s="207">
        <f t="shared" si="32"/>
        <v>18359.313110527335</v>
      </c>
      <c r="Y179" s="518">
        <f t="shared" si="23"/>
        <v>0</v>
      </c>
      <c r="Z179" s="516">
        <f t="shared" si="24"/>
        <v>0</v>
      </c>
      <c r="AA179" s="516">
        <f t="shared" si="25"/>
        <v>44971978.51557883</v>
      </c>
      <c r="AB179" s="516">
        <f t="shared" si="26"/>
        <v>20206.80938661988</v>
      </c>
      <c r="AC179" s="209">
        <f t="shared" si="33"/>
        <v>44971978.51557883</v>
      </c>
      <c r="AD179" s="519">
        <f t="shared" si="34"/>
        <v>20206.80938661988</v>
      </c>
    </row>
    <row r="180" spans="2:30" ht="12.75">
      <c r="B180" s="432" t="s">
        <v>53</v>
      </c>
      <c r="C180" s="350" t="s">
        <v>123</v>
      </c>
      <c r="D180" s="348"/>
      <c r="E180" s="539">
        <v>3325149.1855348106</v>
      </c>
      <c r="F180" s="371">
        <f>(E180*'04 Emissions Factors'!$I$17)/1000</f>
        <v>918.7713845786191</v>
      </c>
      <c r="G180" s="373">
        <v>50695927.02330731</v>
      </c>
      <c r="H180" s="600">
        <f>G180*(('04 Emissions Factors'!$I$18)+('04 Emissions Factors'!$I$19))/1000</f>
        <v>22778.69393011244</v>
      </c>
      <c r="I180" s="375">
        <f t="shared" si="27"/>
        <v>54021076.20884212</v>
      </c>
      <c r="J180" s="374">
        <f t="shared" si="28"/>
        <v>23697.46531469106</v>
      </c>
      <c r="K180" s="539">
        <v>1594788.791251276</v>
      </c>
      <c r="L180" s="371">
        <f>(K180*'04 Emissions Factors'!$I$17)/1000</f>
        <v>440.6558094363305</v>
      </c>
      <c r="M180" s="371">
        <f t="shared" si="29"/>
        <v>55615865.0000934</v>
      </c>
      <c r="N180" s="371">
        <f t="shared" si="30"/>
        <v>24138.121124127392</v>
      </c>
      <c r="O180" s="373">
        <v>0</v>
      </c>
      <c r="P180" s="371">
        <f>O180*(('04 Emissions Factors'!$I$18)+('04 Emissions Factors'!$I$19))/1000</f>
        <v>0</v>
      </c>
      <c r="Q180" s="372">
        <v>0</v>
      </c>
      <c r="R180" s="371">
        <f>Q180*(('04 Emissions Factors'!$I$18)+('04 Emissions Factors'!$I$19))/1000</f>
        <v>0</v>
      </c>
      <c r="S180" s="372">
        <v>9160793.183438484</v>
      </c>
      <c r="T180" s="371">
        <f>S180*(('04 Emissions Factors'!$I$18)+('04 Emissions Factors'!$I$19))/1000</f>
        <v>4116.127593182579</v>
      </c>
      <c r="U180" s="456"/>
      <c r="V180" s="456"/>
      <c r="W180" s="207">
        <f t="shared" si="31"/>
        <v>9160793.183438484</v>
      </c>
      <c r="X180" s="207">
        <f t="shared" si="32"/>
        <v>4116.127593182579</v>
      </c>
      <c r="Y180" s="518">
        <f t="shared" si="23"/>
        <v>4919937.976786086</v>
      </c>
      <c r="Z180" s="516">
        <f t="shared" si="24"/>
        <v>1359.4271940149497</v>
      </c>
      <c r="AA180" s="516">
        <f t="shared" si="25"/>
        <v>59856720.20674579</v>
      </c>
      <c r="AB180" s="516">
        <f t="shared" si="26"/>
        <v>26894.82152329502</v>
      </c>
      <c r="AC180" s="209">
        <f t="shared" si="33"/>
        <v>64776658.18353187</v>
      </c>
      <c r="AD180" s="519">
        <f t="shared" si="34"/>
        <v>28254.24871730997</v>
      </c>
    </row>
    <row r="181" spans="2:30" ht="12.75">
      <c r="B181" s="432" t="s">
        <v>54</v>
      </c>
      <c r="C181" s="350" t="s">
        <v>124</v>
      </c>
      <c r="D181" s="348"/>
      <c r="E181" s="539">
        <v>41323668.12172319</v>
      </c>
      <c r="F181" s="371">
        <f>(E181*'04 Emissions Factors'!$I$17)/1000</f>
        <v>11418.135445239104</v>
      </c>
      <c r="G181" s="373">
        <v>6976115.753010578</v>
      </c>
      <c r="H181" s="600">
        <f>G181*(('04 Emissions Factors'!$I$18)+('04 Emissions Factors'!$I$19))/1000</f>
        <v>3134.508330142713</v>
      </c>
      <c r="I181" s="375">
        <f t="shared" si="27"/>
        <v>48299783.87473377</v>
      </c>
      <c r="J181" s="374">
        <f t="shared" si="28"/>
        <v>14552.643775381817</v>
      </c>
      <c r="K181" s="539">
        <v>10987068.886654269</v>
      </c>
      <c r="L181" s="371">
        <f>(K181*'04 Emissions Factors'!$I$17)/1000</f>
        <v>3035.8350648945134</v>
      </c>
      <c r="M181" s="371">
        <f t="shared" si="29"/>
        <v>59286852.76138803</v>
      </c>
      <c r="N181" s="371">
        <f t="shared" si="30"/>
        <v>17588.47884027633</v>
      </c>
      <c r="O181" s="373">
        <v>54064685.92648988</v>
      </c>
      <c r="P181" s="371">
        <f>O181*(('04 Emissions Factors'!$I$18)+('04 Emissions Factors'!$I$19))/1000</f>
        <v>24292.344680490434</v>
      </c>
      <c r="Q181" s="372">
        <v>0</v>
      </c>
      <c r="R181" s="371">
        <f>Q181*(('04 Emissions Factors'!$I$18)+('04 Emissions Factors'!$I$19))/1000</f>
        <v>0</v>
      </c>
      <c r="S181" s="372">
        <v>0</v>
      </c>
      <c r="T181" s="371">
        <f>S181*(('04 Emissions Factors'!$I$18)+('04 Emissions Factors'!$I$19))/1000</f>
        <v>0</v>
      </c>
      <c r="U181" s="456"/>
      <c r="V181" s="456"/>
      <c r="W181" s="207">
        <f t="shared" si="31"/>
        <v>54064685.92648988</v>
      </c>
      <c r="X181" s="207">
        <f t="shared" si="32"/>
        <v>24292.344680490434</v>
      </c>
      <c r="Y181" s="518">
        <f t="shared" si="23"/>
        <v>52310737.00837746</v>
      </c>
      <c r="Z181" s="516">
        <f t="shared" si="24"/>
        <v>14453.970510133619</v>
      </c>
      <c r="AA181" s="516">
        <f t="shared" si="25"/>
        <v>61040801.67950046</v>
      </c>
      <c r="AB181" s="516">
        <f t="shared" si="26"/>
        <v>27426.853010633145</v>
      </c>
      <c r="AC181" s="209">
        <f t="shared" si="33"/>
        <v>113351538.68787792</v>
      </c>
      <c r="AD181" s="519">
        <f t="shared" si="34"/>
        <v>41880.82352076676</v>
      </c>
    </row>
    <row r="182" spans="2:30" ht="12.75">
      <c r="B182" s="432" t="s">
        <v>55</v>
      </c>
      <c r="C182" s="350" t="s">
        <v>125</v>
      </c>
      <c r="D182" s="348"/>
      <c r="E182" s="539">
        <v>867712.2422431506</v>
      </c>
      <c r="F182" s="371">
        <f>(E182*'04 Emissions Factors'!$I$17)/1000</f>
        <v>239.75741650621092</v>
      </c>
      <c r="G182" s="373">
        <v>26239154.828054465</v>
      </c>
      <c r="H182" s="600">
        <f>G182*(('04 Emissions Factors'!$I$18)+('04 Emissions Factors'!$I$19))/1000</f>
        <v>11789.777047341433</v>
      </c>
      <c r="I182" s="375">
        <f t="shared" si="27"/>
        <v>27106867.070297617</v>
      </c>
      <c r="J182" s="374">
        <f t="shared" si="28"/>
        <v>12029.534463847644</v>
      </c>
      <c r="K182" s="539">
        <v>1355148.3387938389</v>
      </c>
      <c r="L182" s="371">
        <f>(K182*'04 Emissions Factors'!$I$17)/1000</f>
        <v>374.44079831346755</v>
      </c>
      <c r="M182" s="371">
        <f t="shared" si="29"/>
        <v>28462015.409091458</v>
      </c>
      <c r="N182" s="371">
        <f t="shared" si="30"/>
        <v>12403.975262161111</v>
      </c>
      <c r="O182" s="373">
        <v>16757167.624462718</v>
      </c>
      <c r="P182" s="371">
        <f>O182*(('04 Emissions Factors'!$I$18)+('04 Emissions Factors'!$I$19))/1000</f>
        <v>7529.330557023589</v>
      </c>
      <c r="Q182" s="372">
        <v>0</v>
      </c>
      <c r="R182" s="371">
        <f>Q182*(('04 Emissions Factors'!$I$18)+('04 Emissions Factors'!$I$19))/1000</f>
        <v>0</v>
      </c>
      <c r="S182" s="372">
        <v>0</v>
      </c>
      <c r="T182" s="371">
        <f>S182*(('04 Emissions Factors'!$I$18)+('04 Emissions Factors'!$I$19))/1000</f>
        <v>0</v>
      </c>
      <c r="U182" s="456"/>
      <c r="V182" s="456"/>
      <c r="W182" s="207">
        <f t="shared" si="31"/>
        <v>16757167.624462718</v>
      </c>
      <c r="X182" s="207">
        <f t="shared" si="32"/>
        <v>7529.330557023589</v>
      </c>
      <c r="Y182" s="518">
        <f t="shared" si="23"/>
        <v>2222860.5810369896</v>
      </c>
      <c r="Z182" s="516">
        <f t="shared" si="24"/>
        <v>614.1982148196785</v>
      </c>
      <c r="AA182" s="516">
        <f t="shared" si="25"/>
        <v>42996322.45251718</v>
      </c>
      <c r="AB182" s="516">
        <f t="shared" si="26"/>
        <v>19319.10760436502</v>
      </c>
      <c r="AC182" s="209">
        <f t="shared" si="33"/>
        <v>45219183.033554174</v>
      </c>
      <c r="AD182" s="519">
        <f t="shared" si="34"/>
        <v>19933.3058191847</v>
      </c>
    </row>
    <row r="183" spans="2:30" ht="12.75">
      <c r="B183" s="432" t="s">
        <v>56</v>
      </c>
      <c r="C183" s="350" t="s">
        <v>126</v>
      </c>
      <c r="D183" s="348"/>
      <c r="E183" s="539">
        <v>0</v>
      </c>
      <c r="F183" s="371">
        <f>(E183*'04 Emissions Factors'!$I$17)/1000</f>
        <v>0</v>
      </c>
      <c r="G183" s="373">
        <v>19662880.364587866</v>
      </c>
      <c r="H183" s="600">
        <f>G183*(('04 Emissions Factors'!$I$18)+('04 Emissions Factors'!$I$19))/1000</f>
        <v>8834.92540541662</v>
      </c>
      <c r="I183" s="375">
        <f t="shared" si="27"/>
        <v>19662880.364587866</v>
      </c>
      <c r="J183" s="374">
        <f t="shared" si="28"/>
        <v>8834.92540541662</v>
      </c>
      <c r="K183" s="539">
        <v>2266524.8602768756</v>
      </c>
      <c r="L183" s="371">
        <f>(K183*'04 Emissions Factors'!$I$17)/1000</f>
        <v>626.2630841098679</v>
      </c>
      <c r="M183" s="371">
        <f t="shared" si="29"/>
        <v>21929405.22486474</v>
      </c>
      <c r="N183" s="371">
        <f t="shared" si="30"/>
        <v>9461.188489526487</v>
      </c>
      <c r="O183" s="373">
        <v>3497102.3953449405</v>
      </c>
      <c r="P183" s="371">
        <f>O183*(('04 Emissions Factors'!$I$18)+('04 Emissions Factors'!$I$19))/1000</f>
        <v>1571.3180482763885</v>
      </c>
      <c r="Q183" s="372">
        <v>8487050.49387048</v>
      </c>
      <c r="R183" s="371">
        <f>Q183*(('04 Emissions Factors'!$I$18)+('04 Emissions Factors'!$I$19))/1000</f>
        <v>3813.401527905884</v>
      </c>
      <c r="S183" s="372">
        <v>0</v>
      </c>
      <c r="T183" s="371">
        <f>S183*(('04 Emissions Factors'!$I$18)+('04 Emissions Factors'!$I$19))/1000</f>
        <v>0</v>
      </c>
      <c r="U183" s="456"/>
      <c r="V183" s="456"/>
      <c r="W183" s="207">
        <f t="shared" si="31"/>
        <v>11984152.889215421</v>
      </c>
      <c r="X183" s="207">
        <f t="shared" si="32"/>
        <v>5384.719576182272</v>
      </c>
      <c r="Y183" s="518">
        <f t="shared" si="23"/>
        <v>2266524.8602768756</v>
      </c>
      <c r="Z183" s="516">
        <f t="shared" si="24"/>
        <v>626.2630841098679</v>
      </c>
      <c r="AA183" s="516">
        <f t="shared" si="25"/>
        <v>31647033.253803287</v>
      </c>
      <c r="AB183" s="516">
        <f t="shared" si="26"/>
        <v>14219.644981598893</v>
      </c>
      <c r="AC183" s="209">
        <f t="shared" si="33"/>
        <v>33913558.11408016</v>
      </c>
      <c r="AD183" s="519">
        <f t="shared" si="34"/>
        <v>14845.90806570876</v>
      </c>
    </row>
    <row r="184" spans="2:30" ht="12.75">
      <c r="B184" s="432" t="s">
        <v>57</v>
      </c>
      <c r="C184" s="350" t="s">
        <v>127</v>
      </c>
      <c r="D184" s="348"/>
      <c r="E184" s="539">
        <v>0</v>
      </c>
      <c r="F184" s="371">
        <f>(E184*'04 Emissions Factors'!$I$17)/1000</f>
        <v>0</v>
      </c>
      <c r="G184" s="373">
        <v>18695450.296754643</v>
      </c>
      <c r="H184" s="600">
        <f>G184*(('04 Emissions Factors'!$I$18)+('04 Emissions Factors'!$I$19))/1000</f>
        <v>8400.239727337796</v>
      </c>
      <c r="I184" s="375">
        <f t="shared" si="27"/>
        <v>18695450.296754643</v>
      </c>
      <c r="J184" s="374">
        <f t="shared" si="28"/>
        <v>8400.239727337796</v>
      </c>
      <c r="K184" s="539">
        <v>3138575.168495419</v>
      </c>
      <c r="L184" s="371">
        <f>(K184*'04 Emissions Factors'!$I$17)/1000</f>
        <v>867.2191508600871</v>
      </c>
      <c r="M184" s="371">
        <f t="shared" si="29"/>
        <v>21834025.465250064</v>
      </c>
      <c r="N184" s="371">
        <f t="shared" si="30"/>
        <v>9267.458878197882</v>
      </c>
      <c r="O184" s="373">
        <v>5290730.997624628</v>
      </c>
      <c r="P184" s="371">
        <f>O184*(('04 Emissions Factors'!$I$18)+('04 Emissions Factors'!$I$19))/1000</f>
        <v>2377.2312518526983</v>
      </c>
      <c r="Q184" s="372">
        <v>0</v>
      </c>
      <c r="R184" s="371">
        <f>Q184*(('04 Emissions Factors'!$I$18)+('04 Emissions Factors'!$I$19))/1000</f>
        <v>0</v>
      </c>
      <c r="S184" s="372">
        <v>0</v>
      </c>
      <c r="T184" s="371">
        <f>S184*(('04 Emissions Factors'!$I$18)+('04 Emissions Factors'!$I$19))/1000</f>
        <v>0</v>
      </c>
      <c r="U184" s="456"/>
      <c r="V184" s="456"/>
      <c r="W184" s="207">
        <f t="shared" si="31"/>
        <v>5290730.997624628</v>
      </c>
      <c r="X184" s="207">
        <f t="shared" si="32"/>
        <v>2377.2312518526983</v>
      </c>
      <c r="Y184" s="518">
        <f t="shared" si="23"/>
        <v>3138575.168495419</v>
      </c>
      <c r="Z184" s="516">
        <f t="shared" si="24"/>
        <v>867.2191508600871</v>
      </c>
      <c r="AA184" s="516">
        <f t="shared" si="25"/>
        <v>23986181.29437927</v>
      </c>
      <c r="AB184" s="516">
        <f t="shared" si="26"/>
        <v>10777.470979190493</v>
      </c>
      <c r="AC184" s="209">
        <f t="shared" si="33"/>
        <v>27124756.462874692</v>
      </c>
      <c r="AD184" s="519">
        <f t="shared" si="34"/>
        <v>11644.69013005058</v>
      </c>
    </row>
    <row r="185" spans="2:30" ht="12.75">
      <c r="B185" s="432" t="s">
        <v>58</v>
      </c>
      <c r="C185" s="350" t="s">
        <v>128</v>
      </c>
      <c r="D185" s="348"/>
      <c r="E185" s="539">
        <v>7017096.032464044</v>
      </c>
      <c r="F185" s="371">
        <f>(E185*'04 Emissions Factors'!$I$17)/1000</f>
        <v>1938.8925662387037</v>
      </c>
      <c r="G185" s="373">
        <v>4411372.611873943</v>
      </c>
      <c r="H185" s="600">
        <f>G185*(('04 Emissions Factors'!$I$18)+('04 Emissions Factors'!$I$19))/1000</f>
        <v>1982.1179419672003</v>
      </c>
      <c r="I185" s="375">
        <f t="shared" si="27"/>
        <v>11428468.644337988</v>
      </c>
      <c r="J185" s="374">
        <f t="shared" si="28"/>
        <v>3921.010508205904</v>
      </c>
      <c r="K185" s="539">
        <v>3422200.054381604</v>
      </c>
      <c r="L185" s="371">
        <f>(K185*'04 Emissions Factors'!$I$17)/1000</f>
        <v>945.5874930205579</v>
      </c>
      <c r="M185" s="371">
        <f t="shared" si="29"/>
        <v>14850668.69871959</v>
      </c>
      <c r="N185" s="371">
        <f t="shared" si="30"/>
        <v>4866.598001226462</v>
      </c>
      <c r="O185" s="373">
        <v>41122535.85326798</v>
      </c>
      <c r="P185" s="371">
        <f>O185*(('04 Emissions Factors'!$I$18)+('04 Emissions Factors'!$I$19))/1000</f>
        <v>18477.17780959037</v>
      </c>
      <c r="Q185" s="372">
        <v>0</v>
      </c>
      <c r="R185" s="371">
        <f>Q185*(('04 Emissions Factors'!$I$18)+('04 Emissions Factors'!$I$19))/1000</f>
        <v>0</v>
      </c>
      <c r="S185" s="372">
        <v>0</v>
      </c>
      <c r="T185" s="371">
        <f>S185*(('04 Emissions Factors'!$I$18)+('04 Emissions Factors'!$I$19))/1000</f>
        <v>0</v>
      </c>
      <c r="U185" s="456"/>
      <c r="V185" s="456"/>
      <c r="W185" s="207">
        <f t="shared" si="31"/>
        <v>41122535.85326798</v>
      </c>
      <c r="X185" s="207">
        <f t="shared" si="32"/>
        <v>18477.17780959037</v>
      </c>
      <c r="Y185" s="518">
        <f t="shared" si="23"/>
        <v>10439296.086845648</v>
      </c>
      <c r="Z185" s="516">
        <f t="shared" si="24"/>
        <v>2884.4800592592615</v>
      </c>
      <c r="AA185" s="516">
        <f t="shared" si="25"/>
        <v>45533908.46514192</v>
      </c>
      <c r="AB185" s="516">
        <f t="shared" si="26"/>
        <v>20459.29575155757</v>
      </c>
      <c r="AC185" s="209">
        <f t="shared" si="33"/>
        <v>55973204.55198757</v>
      </c>
      <c r="AD185" s="519">
        <f t="shared" si="34"/>
        <v>23343.77581081683</v>
      </c>
    </row>
    <row r="186" spans="2:30" ht="12.75">
      <c r="B186" s="432" t="s">
        <v>59</v>
      </c>
      <c r="C186" s="350" t="s">
        <v>129</v>
      </c>
      <c r="D186" s="348"/>
      <c r="E186" s="539">
        <v>6098504.524977269</v>
      </c>
      <c r="F186" s="371">
        <f>(E186*'04 Emissions Factors'!$I$17)/1000</f>
        <v>1685.0767089330284</v>
      </c>
      <c r="G186" s="373">
        <v>20388110.448201448</v>
      </c>
      <c r="H186" s="600">
        <f>G186*(('04 Emissions Factors'!$I$18)+('04 Emissions Factors'!$I$19))/1000</f>
        <v>9160.785786585875</v>
      </c>
      <c r="I186" s="375">
        <f t="shared" si="27"/>
        <v>26486614.973178715</v>
      </c>
      <c r="J186" s="374">
        <f t="shared" si="28"/>
        <v>10845.862495518904</v>
      </c>
      <c r="K186" s="539">
        <v>2857347.8903704896</v>
      </c>
      <c r="L186" s="371">
        <f>(K186*'04 Emissions Factors'!$I$17)/1000</f>
        <v>789.51329127696</v>
      </c>
      <c r="M186" s="371">
        <f t="shared" si="29"/>
        <v>29343962.863549203</v>
      </c>
      <c r="N186" s="371">
        <f t="shared" si="30"/>
        <v>11635.375786795865</v>
      </c>
      <c r="O186" s="373">
        <v>40433581.194250084</v>
      </c>
      <c r="P186" s="371">
        <f>O186*(('04 Emissions Factors'!$I$18)+('04 Emissions Factors'!$I$19))/1000</f>
        <v>18167.616702200445</v>
      </c>
      <c r="Q186" s="372">
        <v>0</v>
      </c>
      <c r="R186" s="371">
        <f>Q186*(('04 Emissions Factors'!$I$18)+('04 Emissions Factors'!$I$19))/1000</f>
        <v>0</v>
      </c>
      <c r="S186" s="372">
        <v>0</v>
      </c>
      <c r="T186" s="371">
        <f>S186*(('04 Emissions Factors'!$I$18)+('04 Emissions Factors'!$I$19))/1000</f>
        <v>0</v>
      </c>
      <c r="U186" s="456"/>
      <c r="V186" s="456"/>
      <c r="W186" s="207">
        <f t="shared" si="31"/>
        <v>40433581.194250084</v>
      </c>
      <c r="X186" s="207">
        <f t="shared" si="32"/>
        <v>18167.616702200445</v>
      </c>
      <c r="Y186" s="518">
        <f t="shared" si="23"/>
        <v>8955852.415347759</v>
      </c>
      <c r="Z186" s="516">
        <f t="shared" si="24"/>
        <v>2474.5900002099884</v>
      </c>
      <c r="AA186" s="516">
        <f t="shared" si="25"/>
        <v>60821691.64245153</v>
      </c>
      <c r="AB186" s="516">
        <f t="shared" si="26"/>
        <v>27328.40248878632</v>
      </c>
      <c r="AC186" s="209">
        <f t="shared" si="33"/>
        <v>69777544.0577993</v>
      </c>
      <c r="AD186" s="519">
        <f t="shared" si="34"/>
        <v>29802.992488996308</v>
      </c>
    </row>
    <row r="187" spans="2:30" ht="12.75">
      <c r="B187" s="432" t="s">
        <v>60</v>
      </c>
      <c r="C187" s="350" t="s">
        <v>130</v>
      </c>
      <c r="D187" s="348"/>
      <c r="E187" s="539">
        <v>7845325.147436184</v>
      </c>
      <c r="F187" s="371">
        <f>(E187*'04 Emissions Factors'!$I$17)/1000</f>
        <v>2167.7404068172873</v>
      </c>
      <c r="G187" s="373">
        <v>14205348.518835077</v>
      </c>
      <c r="H187" s="600">
        <f>G187*(('04 Emissions Factors'!$I$18)+('04 Emissions Factors'!$I$19))/1000</f>
        <v>6382.7471964829765</v>
      </c>
      <c r="I187" s="375">
        <f t="shared" si="27"/>
        <v>22050673.666271262</v>
      </c>
      <c r="J187" s="374">
        <f t="shared" si="28"/>
        <v>8550.487603300264</v>
      </c>
      <c r="K187" s="539">
        <v>5642385.357913651</v>
      </c>
      <c r="L187" s="371">
        <f>(K187*'04 Emissions Factors'!$I$17)/1000</f>
        <v>1559.0465023850224</v>
      </c>
      <c r="M187" s="371">
        <f t="shared" si="29"/>
        <v>27693059.024184912</v>
      </c>
      <c r="N187" s="371">
        <f t="shared" si="30"/>
        <v>10109.534105685287</v>
      </c>
      <c r="O187" s="373">
        <v>31155724.71587106</v>
      </c>
      <c r="P187" s="371">
        <f>O187*(('04 Emissions Factors'!$I$18)+('04 Emissions Factors'!$I$19))/1000</f>
        <v>13998.890229335184</v>
      </c>
      <c r="Q187" s="372">
        <v>0</v>
      </c>
      <c r="R187" s="371">
        <f>Q187*(('04 Emissions Factors'!$I$18)+('04 Emissions Factors'!$I$19))/1000</f>
        <v>0</v>
      </c>
      <c r="S187" s="372">
        <v>0</v>
      </c>
      <c r="T187" s="371">
        <f>S187*(('04 Emissions Factors'!$I$18)+('04 Emissions Factors'!$I$19))/1000</f>
        <v>0</v>
      </c>
      <c r="U187" s="456"/>
      <c r="V187" s="456"/>
      <c r="W187" s="207">
        <f t="shared" si="31"/>
        <v>31155724.71587106</v>
      </c>
      <c r="X187" s="207">
        <f t="shared" si="32"/>
        <v>13998.890229335184</v>
      </c>
      <c r="Y187" s="518">
        <f t="shared" si="23"/>
        <v>13487710.505349834</v>
      </c>
      <c r="Z187" s="516">
        <f t="shared" si="24"/>
        <v>3726.7869092023097</v>
      </c>
      <c r="AA187" s="516">
        <f t="shared" si="25"/>
        <v>45361073.23470613</v>
      </c>
      <c r="AB187" s="516">
        <f t="shared" si="26"/>
        <v>20381.63742581816</v>
      </c>
      <c r="AC187" s="209">
        <f t="shared" si="33"/>
        <v>58848783.74005596</v>
      </c>
      <c r="AD187" s="519">
        <f t="shared" si="34"/>
        <v>24108.42433502047</v>
      </c>
    </row>
    <row r="188" spans="2:30" ht="12.75">
      <c r="B188" s="432" t="s">
        <v>61</v>
      </c>
      <c r="C188" s="350" t="s">
        <v>131</v>
      </c>
      <c r="D188" s="348"/>
      <c r="E188" s="539">
        <v>0</v>
      </c>
      <c r="F188" s="371">
        <f>(E188*'04 Emissions Factors'!$I$17)/1000</f>
        <v>0</v>
      </c>
      <c r="G188" s="373">
        <v>33074681.882375743</v>
      </c>
      <c r="H188" s="600">
        <f>G188*(('04 Emissions Factors'!$I$18)+('04 Emissions Factors'!$I$19))/1000</f>
        <v>14861.116063389069</v>
      </c>
      <c r="I188" s="375">
        <f t="shared" si="27"/>
        <v>33074681.882375743</v>
      </c>
      <c r="J188" s="374">
        <f t="shared" si="28"/>
        <v>14861.116063389069</v>
      </c>
      <c r="K188" s="539">
        <v>7515085.920671884</v>
      </c>
      <c r="L188" s="371">
        <f>(K188*'04 Emissions Factors'!$I$17)/1000</f>
        <v>2076.4920643560426</v>
      </c>
      <c r="M188" s="371">
        <f t="shared" si="29"/>
        <v>40589767.80304763</v>
      </c>
      <c r="N188" s="371">
        <f t="shared" si="30"/>
        <v>16937.608127745112</v>
      </c>
      <c r="O188" s="373">
        <v>12416933.34505555</v>
      </c>
      <c r="P188" s="371">
        <f>O188*(('04 Emissions Factors'!$I$18)+('04 Emissions Factors'!$I$19))/1000</f>
        <v>5579.17649060036</v>
      </c>
      <c r="Q188" s="372">
        <v>0</v>
      </c>
      <c r="R188" s="371">
        <f>Q188*(('04 Emissions Factors'!$I$18)+('04 Emissions Factors'!$I$19))/1000</f>
        <v>0</v>
      </c>
      <c r="S188" s="372">
        <v>0</v>
      </c>
      <c r="T188" s="371">
        <f>S188*(('04 Emissions Factors'!$I$18)+('04 Emissions Factors'!$I$19))/1000</f>
        <v>0</v>
      </c>
      <c r="U188" s="456"/>
      <c r="V188" s="456"/>
      <c r="W188" s="207">
        <f t="shared" si="31"/>
        <v>12416933.34505555</v>
      </c>
      <c r="X188" s="207">
        <f t="shared" si="32"/>
        <v>5579.17649060036</v>
      </c>
      <c r="Y188" s="518">
        <f t="shared" si="23"/>
        <v>7515085.920671884</v>
      </c>
      <c r="Z188" s="516">
        <f t="shared" si="24"/>
        <v>2076.4920643560426</v>
      </c>
      <c r="AA188" s="516">
        <f t="shared" si="25"/>
        <v>45491615.2274313</v>
      </c>
      <c r="AB188" s="516">
        <f t="shared" si="26"/>
        <v>20440.292553989428</v>
      </c>
      <c r="AC188" s="209">
        <f t="shared" si="33"/>
        <v>53006701.14810318</v>
      </c>
      <c r="AD188" s="519">
        <f t="shared" si="34"/>
        <v>22516.78461834547</v>
      </c>
    </row>
    <row r="189" spans="2:30" ht="12.75">
      <c r="B189" s="432" t="s">
        <v>62</v>
      </c>
      <c r="C189" s="350" t="s">
        <v>132</v>
      </c>
      <c r="D189" s="348"/>
      <c r="E189" s="539">
        <v>36534904.45080791</v>
      </c>
      <c r="F189" s="371">
        <f>(E189*'04 Emissions Factors'!$I$17)/1000</f>
        <v>10094.953000527537</v>
      </c>
      <c r="G189" s="373">
        <v>5235739.942919916</v>
      </c>
      <c r="H189" s="600">
        <f>G189*(('04 Emissions Factors'!$I$18)+('04 Emissions Factors'!$I$19))/1000</f>
        <v>2352.5226711527766</v>
      </c>
      <c r="I189" s="375">
        <f t="shared" si="27"/>
        <v>41770644.393727824</v>
      </c>
      <c r="J189" s="374">
        <f t="shared" si="28"/>
        <v>12447.475671680313</v>
      </c>
      <c r="K189" s="539">
        <v>5029474.166832471</v>
      </c>
      <c r="L189" s="371">
        <f>(K189*'04 Emissions Factors'!$I$17)/1000</f>
        <v>1389.6931193539347</v>
      </c>
      <c r="M189" s="371">
        <f t="shared" si="29"/>
        <v>46800118.56056029</v>
      </c>
      <c r="N189" s="371">
        <f t="shared" si="30"/>
        <v>13837.168791034248</v>
      </c>
      <c r="O189" s="373">
        <v>46917154.10573673</v>
      </c>
      <c r="P189" s="371">
        <f>O189*(('04 Emissions Factors'!$I$18)+('04 Emissions Factors'!$I$19))/1000</f>
        <v>21080.815682789627</v>
      </c>
      <c r="Q189" s="372">
        <v>0</v>
      </c>
      <c r="R189" s="371">
        <f>Q189*(('04 Emissions Factors'!$I$18)+('04 Emissions Factors'!$I$19))/1000</f>
        <v>0</v>
      </c>
      <c r="S189" s="372">
        <v>0</v>
      </c>
      <c r="T189" s="371">
        <f>S189*(('04 Emissions Factors'!$I$18)+('04 Emissions Factors'!$I$19))/1000</f>
        <v>0</v>
      </c>
      <c r="U189" s="456"/>
      <c r="V189" s="456"/>
      <c r="W189" s="207">
        <f t="shared" si="31"/>
        <v>46917154.10573673</v>
      </c>
      <c r="X189" s="207">
        <f t="shared" si="32"/>
        <v>21080.815682789627</v>
      </c>
      <c r="Y189" s="518">
        <f t="shared" si="23"/>
        <v>41564378.617640376</v>
      </c>
      <c r="Z189" s="516">
        <f t="shared" si="24"/>
        <v>11484.646119881472</v>
      </c>
      <c r="AA189" s="516">
        <f t="shared" si="25"/>
        <v>52152894.04865665</v>
      </c>
      <c r="AB189" s="516">
        <f t="shared" si="26"/>
        <v>23433.338353942403</v>
      </c>
      <c r="AC189" s="209">
        <f t="shared" si="33"/>
        <v>93717272.66629702</v>
      </c>
      <c r="AD189" s="519">
        <f t="shared" si="34"/>
        <v>34917.984473823875</v>
      </c>
    </row>
    <row r="190" spans="2:30" ht="12.75">
      <c r="B190" s="432" t="s">
        <v>63</v>
      </c>
      <c r="C190" s="350" t="s">
        <v>133</v>
      </c>
      <c r="D190" s="348"/>
      <c r="E190" s="539">
        <v>0</v>
      </c>
      <c r="F190" s="371">
        <f>(E190*'04 Emissions Factors'!$I$17)/1000</f>
        <v>0</v>
      </c>
      <c r="G190" s="373">
        <v>11443408.270797554</v>
      </c>
      <c r="H190" s="600">
        <f>G190*(('04 Emissions Factors'!$I$18)+('04 Emissions Factors'!$I$19))/1000</f>
        <v>5141.752204234757</v>
      </c>
      <c r="I190" s="375">
        <f t="shared" si="27"/>
        <v>11443408.270797554</v>
      </c>
      <c r="J190" s="374">
        <f t="shared" si="28"/>
        <v>5141.752204234757</v>
      </c>
      <c r="K190" s="539">
        <v>1420312.3719346004</v>
      </c>
      <c r="L190" s="371">
        <f>(K190*'04 Emissions Factors'!$I$17)/1000</f>
        <v>392.4462608093811</v>
      </c>
      <c r="M190" s="371">
        <f t="shared" si="29"/>
        <v>12863720.642732155</v>
      </c>
      <c r="N190" s="371">
        <f t="shared" si="30"/>
        <v>5534.198465044138</v>
      </c>
      <c r="O190" s="373">
        <v>31014562.832169473</v>
      </c>
      <c r="P190" s="371">
        <f>O190*(('04 Emissions Factors'!$I$18)+('04 Emissions Factors'!$I$19))/1000</f>
        <v>13935.463371750388</v>
      </c>
      <c r="Q190" s="372">
        <v>0</v>
      </c>
      <c r="R190" s="371">
        <f>Q190*(('04 Emissions Factors'!$I$18)+('04 Emissions Factors'!$I$19))/1000</f>
        <v>0</v>
      </c>
      <c r="S190" s="372">
        <v>0</v>
      </c>
      <c r="T190" s="371">
        <f>S190*(('04 Emissions Factors'!$I$18)+('04 Emissions Factors'!$I$19))/1000</f>
        <v>0</v>
      </c>
      <c r="U190" s="456"/>
      <c r="V190" s="456"/>
      <c r="W190" s="207">
        <f t="shared" si="31"/>
        <v>31014562.832169473</v>
      </c>
      <c r="X190" s="207">
        <f t="shared" si="32"/>
        <v>13935.463371750388</v>
      </c>
      <c r="Y190" s="518">
        <f t="shared" si="23"/>
        <v>1420312.3719346004</v>
      </c>
      <c r="Z190" s="516">
        <f t="shared" si="24"/>
        <v>392.4462608093811</v>
      </c>
      <c r="AA190" s="516">
        <f t="shared" si="25"/>
        <v>42457971.102967024</v>
      </c>
      <c r="AB190" s="516">
        <f t="shared" si="26"/>
        <v>19077.215575985145</v>
      </c>
      <c r="AC190" s="209">
        <f t="shared" si="33"/>
        <v>43878283.474901624</v>
      </c>
      <c r="AD190" s="519">
        <f t="shared" si="34"/>
        <v>19469.661836794527</v>
      </c>
    </row>
    <row r="191" spans="2:30" ht="12.75">
      <c r="B191" s="432" t="s">
        <v>64</v>
      </c>
      <c r="C191" s="350" t="s">
        <v>134</v>
      </c>
      <c r="D191" s="348"/>
      <c r="E191" s="539">
        <v>3265042.4731462765</v>
      </c>
      <c r="F191" s="371">
        <f>(E191*'04 Emissions Factors'!$I$17)/1000</f>
        <v>902.1633094871552</v>
      </c>
      <c r="G191" s="373">
        <v>14917373.498493854</v>
      </c>
      <c r="H191" s="600">
        <f>G191*(('04 Emissions Factors'!$I$18)+('04 Emissions Factors'!$I$19))/1000</f>
        <v>6702.6742603432585</v>
      </c>
      <c r="I191" s="375">
        <f t="shared" si="27"/>
        <v>18182415.971640132</v>
      </c>
      <c r="J191" s="374">
        <f t="shared" si="28"/>
        <v>7604.8375698304135</v>
      </c>
      <c r="K191" s="539">
        <v>3323064.464315699</v>
      </c>
      <c r="L191" s="371">
        <f>(K191*'04 Emissions Factors'!$I$17)/1000</f>
        <v>918.1953556265119</v>
      </c>
      <c r="M191" s="371">
        <f t="shared" si="29"/>
        <v>21505480.43595583</v>
      </c>
      <c r="N191" s="371">
        <f t="shared" si="30"/>
        <v>8523.032925456926</v>
      </c>
      <c r="O191" s="373">
        <v>39745138.797892645</v>
      </c>
      <c r="P191" s="371">
        <f>O191*(('04 Emissions Factors'!$I$18)+('04 Emissions Factors'!$I$19))/1000</f>
        <v>17858.285764669123</v>
      </c>
      <c r="Q191" s="372">
        <v>0</v>
      </c>
      <c r="R191" s="371">
        <f>Q191*(('04 Emissions Factors'!$I$18)+('04 Emissions Factors'!$I$19))/1000</f>
        <v>0</v>
      </c>
      <c r="S191" s="372">
        <v>0</v>
      </c>
      <c r="T191" s="371">
        <f>S191*(('04 Emissions Factors'!$I$18)+('04 Emissions Factors'!$I$19))/1000</f>
        <v>0</v>
      </c>
      <c r="U191" s="456"/>
      <c r="V191" s="456"/>
      <c r="W191" s="207">
        <f t="shared" si="31"/>
        <v>39745138.797892645</v>
      </c>
      <c r="X191" s="207">
        <f t="shared" si="32"/>
        <v>17858.285764669123</v>
      </c>
      <c r="Y191" s="518">
        <f t="shared" si="23"/>
        <v>6588106.937461976</v>
      </c>
      <c r="Z191" s="516">
        <f t="shared" si="24"/>
        <v>1820.358665113667</v>
      </c>
      <c r="AA191" s="516">
        <f t="shared" si="25"/>
        <v>54662512.296386495</v>
      </c>
      <c r="AB191" s="516">
        <f t="shared" si="26"/>
        <v>24560.96002501238</v>
      </c>
      <c r="AC191" s="209">
        <f t="shared" si="33"/>
        <v>61250619.23384847</v>
      </c>
      <c r="AD191" s="519">
        <f t="shared" si="34"/>
        <v>26381.31869012605</v>
      </c>
    </row>
    <row r="192" spans="2:30" ht="12.75">
      <c r="B192" s="432" t="s">
        <v>65</v>
      </c>
      <c r="C192" s="350" t="s">
        <v>135</v>
      </c>
      <c r="D192" s="348"/>
      <c r="E192" s="539">
        <v>7200749.472802132</v>
      </c>
      <c r="F192" s="371">
        <f>(E192*'04 Emissions Factors'!$I$17)/1000</f>
        <v>1989.6378159243695</v>
      </c>
      <c r="G192" s="373">
        <v>1331692.3261183642</v>
      </c>
      <c r="H192" s="600">
        <f>G192*(('04 Emissions Factors'!$I$18)+('04 Emissions Factors'!$I$19))/1000</f>
        <v>598.3559959715035</v>
      </c>
      <c r="I192" s="375">
        <f t="shared" si="27"/>
        <v>8532441.798920497</v>
      </c>
      <c r="J192" s="374">
        <f t="shared" si="28"/>
        <v>2587.993811895873</v>
      </c>
      <c r="K192" s="539">
        <v>632246.9299148045</v>
      </c>
      <c r="L192" s="371">
        <f>(K192*'04 Emissions Factors'!$I$17)/1000</f>
        <v>174.69603761552034</v>
      </c>
      <c r="M192" s="371">
        <f t="shared" si="29"/>
        <v>9164688.728835301</v>
      </c>
      <c r="N192" s="371">
        <f t="shared" si="30"/>
        <v>2762.6898495113933</v>
      </c>
      <c r="O192" s="373">
        <v>55673872.725744195</v>
      </c>
      <c r="P192" s="371">
        <f>O192*(('04 Emissions Factors'!$I$18)+('04 Emissions Factors'!$I$19))/1000</f>
        <v>25015.38449313138</v>
      </c>
      <c r="Q192" s="372">
        <v>0</v>
      </c>
      <c r="R192" s="371">
        <f>Q192*(('04 Emissions Factors'!$I$18)+('04 Emissions Factors'!$I$19))/1000</f>
        <v>0</v>
      </c>
      <c r="S192" s="372">
        <v>0</v>
      </c>
      <c r="T192" s="371">
        <f>S192*(('04 Emissions Factors'!$I$18)+('04 Emissions Factors'!$I$19))/1000</f>
        <v>0</v>
      </c>
      <c r="U192" s="456"/>
      <c r="V192" s="456"/>
      <c r="W192" s="207">
        <f t="shared" si="31"/>
        <v>55673872.725744195</v>
      </c>
      <c r="X192" s="207">
        <f t="shared" si="32"/>
        <v>25015.38449313138</v>
      </c>
      <c r="Y192" s="518">
        <f t="shared" si="23"/>
        <v>7832996.402716937</v>
      </c>
      <c r="Z192" s="516">
        <f t="shared" si="24"/>
        <v>2164.33385353989</v>
      </c>
      <c r="AA192" s="516">
        <f t="shared" si="25"/>
        <v>57005565.05186256</v>
      </c>
      <c r="AB192" s="516">
        <f t="shared" si="26"/>
        <v>25613.740489102882</v>
      </c>
      <c r="AC192" s="209">
        <f t="shared" si="33"/>
        <v>64838561.454579495</v>
      </c>
      <c r="AD192" s="519">
        <f t="shared" si="34"/>
        <v>27778.074342642773</v>
      </c>
    </row>
    <row r="193" spans="2:30" ht="12.75">
      <c r="B193" s="432" t="s">
        <v>66</v>
      </c>
      <c r="C193" s="350" t="s">
        <v>136</v>
      </c>
      <c r="D193" s="348"/>
      <c r="E193" s="539">
        <v>1925598.170832809</v>
      </c>
      <c r="F193" s="371">
        <f>(E193*'04 Emissions Factors'!$I$17)/1000</f>
        <v>532.0616907218748</v>
      </c>
      <c r="G193" s="373">
        <v>17270649.598282643</v>
      </c>
      <c r="H193" s="600">
        <f>G193*(('04 Emissions Factors'!$I$18)+('04 Emissions Factors'!$I$19))/1000</f>
        <v>7760.048277500357</v>
      </c>
      <c r="I193" s="375">
        <f t="shared" si="27"/>
        <v>19196247.76911545</v>
      </c>
      <c r="J193" s="374">
        <f t="shared" si="28"/>
        <v>8292.109968222232</v>
      </c>
      <c r="K193" s="539">
        <v>158915.41905177323</v>
      </c>
      <c r="L193" s="371">
        <f>(K193*'04 Emissions Factors'!$I$17)/1000</f>
        <v>43.909891390213126</v>
      </c>
      <c r="M193" s="371">
        <f t="shared" si="29"/>
        <v>19355163.188167226</v>
      </c>
      <c r="N193" s="371">
        <f t="shared" si="30"/>
        <v>8336.019859612445</v>
      </c>
      <c r="O193" s="373">
        <v>0</v>
      </c>
      <c r="P193" s="371">
        <f>O193*(('04 Emissions Factors'!$I$18)+('04 Emissions Factors'!$I$19))/1000</f>
        <v>0</v>
      </c>
      <c r="Q193" s="372">
        <v>0</v>
      </c>
      <c r="R193" s="371">
        <f>Q193*(('04 Emissions Factors'!$I$18)+('04 Emissions Factors'!$I$19))/1000</f>
        <v>0</v>
      </c>
      <c r="S193" s="372">
        <v>0</v>
      </c>
      <c r="T193" s="371">
        <f>S193*(('04 Emissions Factors'!$I$18)+('04 Emissions Factors'!$I$19))/1000</f>
        <v>0</v>
      </c>
      <c r="U193" s="456"/>
      <c r="V193" s="456"/>
      <c r="W193" s="207">
        <f t="shared" si="31"/>
        <v>0</v>
      </c>
      <c r="X193" s="207">
        <f t="shared" si="32"/>
        <v>0</v>
      </c>
      <c r="Y193" s="518">
        <f t="shared" si="23"/>
        <v>2084513.5898845822</v>
      </c>
      <c r="Z193" s="516">
        <f t="shared" si="24"/>
        <v>575.971582112088</v>
      </c>
      <c r="AA193" s="516">
        <f t="shared" si="25"/>
        <v>17270649.598282643</v>
      </c>
      <c r="AB193" s="516">
        <f t="shared" si="26"/>
        <v>7760.048277500357</v>
      </c>
      <c r="AC193" s="209">
        <f t="shared" si="33"/>
        <v>19355163.188167226</v>
      </c>
      <c r="AD193" s="519">
        <f t="shared" si="34"/>
        <v>8336.019859612445</v>
      </c>
    </row>
    <row r="194" spans="2:30" ht="12.75">
      <c r="B194" s="432" t="s">
        <v>67</v>
      </c>
      <c r="C194" s="350" t="s">
        <v>137</v>
      </c>
      <c r="D194" s="348"/>
      <c r="E194" s="539">
        <v>965310.6040556814</v>
      </c>
      <c r="F194" s="371">
        <f>(E194*'04 Emissions Factors'!$I$17)/1000</f>
        <v>266.72480263288224</v>
      </c>
      <c r="G194" s="373">
        <v>37714801.874158196</v>
      </c>
      <c r="H194" s="600">
        <f>G194*(('04 Emissions Factors'!$I$18)+('04 Emissions Factors'!$I$19))/1000</f>
        <v>16946.01477809676</v>
      </c>
      <c r="I194" s="375">
        <f t="shared" si="27"/>
        <v>38680112.47821388</v>
      </c>
      <c r="J194" s="374">
        <f t="shared" si="28"/>
        <v>17212.73958072964</v>
      </c>
      <c r="K194" s="539">
        <v>2505373.18874519</v>
      </c>
      <c r="L194" s="371">
        <f>(K194*'04 Emissions Factors'!$I$17)/1000</f>
        <v>692.2592235931033</v>
      </c>
      <c r="M194" s="371">
        <f t="shared" si="29"/>
        <v>41185485.66695907</v>
      </c>
      <c r="N194" s="371">
        <f t="shared" si="30"/>
        <v>17904.998804322746</v>
      </c>
      <c r="O194" s="373">
        <v>72262525.76439695</v>
      </c>
      <c r="P194" s="371">
        <f>O194*(('04 Emissions Factors'!$I$18)+('04 Emissions Factors'!$I$19))/1000</f>
        <v>32468.998076458836</v>
      </c>
      <c r="Q194" s="372">
        <v>0</v>
      </c>
      <c r="R194" s="371">
        <f>Q194*(('04 Emissions Factors'!$I$18)+('04 Emissions Factors'!$I$19))/1000</f>
        <v>0</v>
      </c>
      <c r="S194" s="372">
        <v>0</v>
      </c>
      <c r="T194" s="371">
        <f>S194*(('04 Emissions Factors'!$I$18)+('04 Emissions Factors'!$I$19))/1000</f>
        <v>0</v>
      </c>
      <c r="U194" s="456"/>
      <c r="V194" s="456"/>
      <c r="W194" s="207">
        <f t="shared" si="31"/>
        <v>72262525.76439695</v>
      </c>
      <c r="X194" s="207">
        <f t="shared" si="32"/>
        <v>32468.998076458836</v>
      </c>
      <c r="Y194" s="518">
        <f t="shared" si="23"/>
        <v>3470683.792800871</v>
      </c>
      <c r="Z194" s="516">
        <f t="shared" si="24"/>
        <v>958.9840262259856</v>
      </c>
      <c r="AA194" s="516">
        <f t="shared" si="25"/>
        <v>109977327.63855514</v>
      </c>
      <c r="AB194" s="516">
        <f t="shared" si="26"/>
        <v>49415.01285455559</v>
      </c>
      <c r="AC194" s="209">
        <f t="shared" si="33"/>
        <v>113448011.43135601</v>
      </c>
      <c r="AD194" s="519">
        <f t="shared" si="34"/>
        <v>50373.996880781575</v>
      </c>
    </row>
    <row r="195" spans="2:30" ht="12.75">
      <c r="B195" s="432" t="s">
        <v>68</v>
      </c>
      <c r="C195" s="350" t="s">
        <v>138</v>
      </c>
      <c r="D195" s="348"/>
      <c r="E195" s="539">
        <v>2354930.9290185664</v>
      </c>
      <c r="F195" s="371">
        <f>(E195*'04 Emissions Factors'!$I$17)/1000</f>
        <v>650.6905493605411</v>
      </c>
      <c r="G195" s="373">
        <v>49765300.799196504</v>
      </c>
      <c r="H195" s="600">
        <f>G195*(('04 Emissions Factors'!$I$18)+('04 Emissions Factors'!$I$19))/1000</f>
        <v>22360.544955094974</v>
      </c>
      <c r="I195" s="375">
        <f t="shared" si="27"/>
        <v>52120231.72821507</v>
      </c>
      <c r="J195" s="374">
        <f t="shared" si="28"/>
        <v>23011.235504455515</v>
      </c>
      <c r="K195" s="539">
        <v>2740965.336650904</v>
      </c>
      <c r="L195" s="371">
        <f>(K195*'04 Emissions Factors'!$I$17)/1000</f>
        <v>757.3556483997904</v>
      </c>
      <c r="M195" s="371">
        <f t="shared" si="29"/>
        <v>54861197.06486597</v>
      </c>
      <c r="N195" s="371">
        <f t="shared" si="30"/>
        <v>23768.591152855304</v>
      </c>
      <c r="O195" s="373">
        <v>0</v>
      </c>
      <c r="P195" s="371">
        <f>O195*(('04 Emissions Factors'!$I$18)+('04 Emissions Factors'!$I$19))/1000</f>
        <v>0</v>
      </c>
      <c r="Q195" s="372">
        <v>0</v>
      </c>
      <c r="R195" s="371">
        <f>Q195*(('04 Emissions Factors'!$I$18)+('04 Emissions Factors'!$I$19))/1000</f>
        <v>0</v>
      </c>
      <c r="S195" s="372">
        <v>0</v>
      </c>
      <c r="T195" s="371">
        <f>S195*(('04 Emissions Factors'!$I$18)+('04 Emissions Factors'!$I$19))/1000</f>
        <v>0</v>
      </c>
      <c r="U195" s="456"/>
      <c r="V195" s="456"/>
      <c r="W195" s="207">
        <f t="shared" si="31"/>
        <v>0</v>
      </c>
      <c r="X195" s="207">
        <f t="shared" si="32"/>
        <v>0</v>
      </c>
      <c r="Y195" s="518">
        <f t="shared" si="23"/>
        <v>5095896.265669471</v>
      </c>
      <c r="Z195" s="516">
        <f t="shared" si="24"/>
        <v>1408.0461977603316</v>
      </c>
      <c r="AA195" s="516">
        <f t="shared" si="25"/>
        <v>49765300.799196504</v>
      </c>
      <c r="AB195" s="516">
        <f t="shared" si="26"/>
        <v>22360.544955094974</v>
      </c>
      <c r="AC195" s="209">
        <f t="shared" si="33"/>
        <v>54861197.06486598</v>
      </c>
      <c r="AD195" s="519">
        <f t="shared" si="34"/>
        <v>23768.591152855304</v>
      </c>
    </row>
    <row r="196" spans="2:30" ht="12.75">
      <c r="B196" s="432" t="s">
        <v>69</v>
      </c>
      <c r="C196" s="350" t="s">
        <v>139</v>
      </c>
      <c r="D196" s="348"/>
      <c r="E196" s="539">
        <v>2430825.73311598</v>
      </c>
      <c r="F196" s="371">
        <f>(E196*'04 Emissions Factors'!$I$17)/1000</f>
        <v>671.661029285546</v>
      </c>
      <c r="G196" s="373">
        <v>31000333.213792525</v>
      </c>
      <c r="H196" s="600">
        <f>G196*(('04 Emissions Factors'!$I$18)+('04 Emissions Factors'!$I$19))/1000</f>
        <v>13929.069719621259</v>
      </c>
      <c r="I196" s="375">
        <f t="shared" si="27"/>
        <v>33431158.946908504</v>
      </c>
      <c r="J196" s="374">
        <f t="shared" si="28"/>
        <v>14600.730748906804</v>
      </c>
      <c r="K196" s="539">
        <v>261119.72937436527</v>
      </c>
      <c r="L196" s="371">
        <f>(K196*'04 Emissions Factors'!$I$17)/1000</f>
        <v>72.14994633676665</v>
      </c>
      <c r="M196" s="371">
        <f t="shared" si="29"/>
        <v>33692278.67628287</v>
      </c>
      <c r="N196" s="371">
        <f t="shared" si="30"/>
        <v>14672.880695243572</v>
      </c>
      <c r="O196" s="373">
        <v>18568914.270613644</v>
      </c>
      <c r="P196" s="371">
        <f>O196*(('04 Emissions Factors'!$I$18)+('04 Emissions Factors'!$I$19))/1000</f>
        <v>8343.384560072122</v>
      </c>
      <c r="Q196" s="372">
        <v>0</v>
      </c>
      <c r="R196" s="371">
        <f>Q196*(('04 Emissions Factors'!$I$18)+('04 Emissions Factors'!$I$19))/1000</f>
        <v>0</v>
      </c>
      <c r="S196" s="372">
        <v>3006083.660681764</v>
      </c>
      <c r="T196" s="371">
        <f>S196*(('04 Emissions Factors'!$I$18)+('04 Emissions Factors'!$I$19))/1000</f>
        <v>1350.6935104175302</v>
      </c>
      <c r="U196" s="456"/>
      <c r="V196" s="456"/>
      <c r="W196" s="207">
        <f t="shared" si="31"/>
        <v>21574997.93129541</v>
      </c>
      <c r="X196" s="207">
        <f t="shared" si="32"/>
        <v>9694.078070489652</v>
      </c>
      <c r="Y196" s="518">
        <f t="shared" si="23"/>
        <v>2691945.4624903454</v>
      </c>
      <c r="Z196" s="516">
        <f t="shared" si="24"/>
        <v>743.8109756223126</v>
      </c>
      <c r="AA196" s="516">
        <f t="shared" si="25"/>
        <v>52575331.145087935</v>
      </c>
      <c r="AB196" s="516">
        <f t="shared" si="26"/>
        <v>23623.14779011091</v>
      </c>
      <c r="AC196" s="209">
        <f t="shared" si="33"/>
        <v>55267276.60757828</v>
      </c>
      <c r="AD196" s="519">
        <f t="shared" si="34"/>
        <v>24366.958765733223</v>
      </c>
    </row>
    <row r="197" spans="2:30" ht="12.75">
      <c r="B197" s="432" t="s">
        <v>70</v>
      </c>
      <c r="C197" s="350" t="s">
        <v>140</v>
      </c>
      <c r="D197" s="348"/>
      <c r="E197" s="539">
        <v>2463918.7686642082</v>
      </c>
      <c r="F197" s="371">
        <f>(E197*'04 Emissions Factors'!$I$17)/1000</f>
        <v>680.8049600970788</v>
      </c>
      <c r="G197" s="373">
        <v>30042117.20246724</v>
      </c>
      <c r="H197" s="600">
        <f>G197*(('04 Emissions Factors'!$I$18)+('04 Emissions Factors'!$I$19))/1000</f>
        <v>13498.52410141258</v>
      </c>
      <c r="I197" s="375">
        <f t="shared" si="27"/>
        <v>32506035.971131448</v>
      </c>
      <c r="J197" s="374">
        <f t="shared" si="28"/>
        <v>14179.32906150966</v>
      </c>
      <c r="K197" s="539">
        <v>6498690.718020129</v>
      </c>
      <c r="L197" s="371">
        <f>(K197*'04 Emissions Factors'!$I$17)/1000</f>
        <v>1795.6520853013217</v>
      </c>
      <c r="M197" s="371">
        <f t="shared" si="29"/>
        <v>39004726.68915158</v>
      </c>
      <c r="N197" s="371">
        <f t="shared" si="30"/>
        <v>15974.98114681098</v>
      </c>
      <c r="O197" s="373">
        <v>45375054.425861426</v>
      </c>
      <c r="P197" s="371">
        <f>O197*(('04 Emissions Factors'!$I$18)+('04 Emissions Factors'!$I$19))/1000</f>
        <v>20387.919454628052</v>
      </c>
      <c r="Q197" s="372">
        <v>26014803.038863905</v>
      </c>
      <c r="R197" s="371">
        <f>Q197*(('04 Emissions Factors'!$I$18)+('04 Emissions Factors'!$I$19))/1000</f>
        <v>11688.971301422329</v>
      </c>
      <c r="S197" s="372">
        <v>0</v>
      </c>
      <c r="T197" s="371">
        <f>S197*(('04 Emissions Factors'!$I$18)+('04 Emissions Factors'!$I$19))/1000</f>
        <v>0</v>
      </c>
      <c r="U197" s="456"/>
      <c r="V197" s="456"/>
      <c r="W197" s="207">
        <f t="shared" si="31"/>
        <v>71389857.46472533</v>
      </c>
      <c r="X197" s="207">
        <f t="shared" si="32"/>
        <v>32076.89075605038</v>
      </c>
      <c r="Y197" s="518">
        <f t="shared" si="23"/>
        <v>8962609.486684337</v>
      </c>
      <c r="Z197" s="516">
        <f t="shared" si="24"/>
        <v>2476.4570453984006</v>
      </c>
      <c r="AA197" s="516">
        <f t="shared" si="25"/>
        <v>101431974.66719258</v>
      </c>
      <c r="AB197" s="516">
        <f t="shared" si="26"/>
        <v>45575.41485746296</v>
      </c>
      <c r="AC197" s="209">
        <f t="shared" si="33"/>
        <v>110394584.15387692</v>
      </c>
      <c r="AD197" s="519">
        <f t="shared" si="34"/>
        <v>48051.871902861356</v>
      </c>
    </row>
    <row r="198" spans="2:30" ht="12.75">
      <c r="B198" s="432" t="s">
        <v>71</v>
      </c>
      <c r="C198" s="350" t="s">
        <v>141</v>
      </c>
      <c r="D198" s="348"/>
      <c r="E198" s="539">
        <v>0</v>
      </c>
      <c r="F198" s="371">
        <f>(E198*'04 Emissions Factors'!$I$17)/1000</f>
        <v>0</v>
      </c>
      <c r="G198" s="373">
        <v>12606520.984603321</v>
      </c>
      <c r="H198" s="600">
        <f>G198*(('04 Emissions Factors'!$I$18)+('04 Emissions Factors'!$I$19))/1000</f>
        <v>5664.362008801964</v>
      </c>
      <c r="I198" s="375">
        <f t="shared" si="27"/>
        <v>12606520.984603321</v>
      </c>
      <c r="J198" s="374">
        <f t="shared" si="28"/>
        <v>5664.362008801964</v>
      </c>
      <c r="K198" s="539">
        <v>2661824.828111813</v>
      </c>
      <c r="L198" s="371">
        <f>(K198*'04 Emissions Factors'!$I$17)/1000</f>
        <v>735.4883484533606</v>
      </c>
      <c r="M198" s="371">
        <f t="shared" si="29"/>
        <v>15268345.812715134</v>
      </c>
      <c r="N198" s="371">
        <f t="shared" si="30"/>
        <v>6399.8503572553245</v>
      </c>
      <c r="O198" s="373">
        <v>31724254.732163887</v>
      </c>
      <c r="P198" s="371">
        <f>O198*(('04 Emissions Factors'!$I$18)+('04 Emissions Factors'!$I$19))/1000</f>
        <v>14254.342136255877</v>
      </c>
      <c r="Q198" s="372">
        <v>0</v>
      </c>
      <c r="R198" s="371">
        <f>Q198*(('04 Emissions Factors'!$I$18)+('04 Emissions Factors'!$I$19))/1000</f>
        <v>0</v>
      </c>
      <c r="S198" s="372">
        <v>0</v>
      </c>
      <c r="T198" s="371">
        <f>S198*(('04 Emissions Factors'!$I$18)+('04 Emissions Factors'!$I$19))/1000</f>
        <v>0</v>
      </c>
      <c r="U198" s="456"/>
      <c r="V198" s="456"/>
      <c r="W198" s="207">
        <f t="shared" si="31"/>
        <v>31724254.732163887</v>
      </c>
      <c r="X198" s="207">
        <f t="shared" si="32"/>
        <v>14254.342136255877</v>
      </c>
      <c r="Y198" s="518">
        <f t="shared" si="23"/>
        <v>2661824.828111813</v>
      </c>
      <c r="Z198" s="516">
        <f t="shared" si="24"/>
        <v>735.4883484533606</v>
      </c>
      <c r="AA198" s="516">
        <f t="shared" si="25"/>
        <v>44330775.71676721</v>
      </c>
      <c r="AB198" s="516">
        <f t="shared" si="26"/>
        <v>19918.70414505784</v>
      </c>
      <c r="AC198" s="209">
        <f t="shared" si="33"/>
        <v>46992600.54487902</v>
      </c>
      <c r="AD198" s="519">
        <f t="shared" si="34"/>
        <v>20654.1924935112</v>
      </c>
    </row>
    <row r="199" spans="2:30" ht="12.75">
      <c r="B199" s="432" t="s">
        <v>72</v>
      </c>
      <c r="C199" s="350" t="s">
        <v>142</v>
      </c>
      <c r="D199" s="348"/>
      <c r="E199" s="539">
        <v>0</v>
      </c>
      <c r="F199" s="371">
        <f>(E199*'04 Emissions Factors'!$I$17)/1000</f>
        <v>0</v>
      </c>
      <c r="G199" s="373">
        <v>18405187.00554801</v>
      </c>
      <c r="H199" s="600">
        <f>G199*(('04 Emissions Factors'!$I$18)+('04 Emissions Factors'!$I$19))/1000</f>
        <v>8269.818625332833</v>
      </c>
      <c r="I199" s="375">
        <f t="shared" si="27"/>
        <v>18405187.00554801</v>
      </c>
      <c r="J199" s="374">
        <f t="shared" si="28"/>
        <v>8269.818625332833</v>
      </c>
      <c r="K199" s="539">
        <v>494840.7162451181</v>
      </c>
      <c r="L199" s="371">
        <f>(K199*'04 Emissions Factors'!$I$17)/1000</f>
        <v>136.72935096813663</v>
      </c>
      <c r="M199" s="371">
        <f t="shared" si="29"/>
        <v>18900027.72179313</v>
      </c>
      <c r="N199" s="371">
        <f t="shared" si="30"/>
        <v>8406.54797630097</v>
      </c>
      <c r="O199" s="373">
        <v>4007001.7680691364</v>
      </c>
      <c r="P199" s="371">
        <f>O199*(('04 Emissions Factors'!$I$18)+('04 Emissions Factors'!$I$19))/1000</f>
        <v>1800.4260344288246</v>
      </c>
      <c r="Q199" s="372">
        <v>0</v>
      </c>
      <c r="R199" s="371">
        <f>Q199*(('04 Emissions Factors'!$I$18)+('04 Emissions Factors'!$I$19))/1000</f>
        <v>0</v>
      </c>
      <c r="S199" s="372">
        <v>0</v>
      </c>
      <c r="T199" s="371">
        <f>S199*(('04 Emissions Factors'!$I$18)+('04 Emissions Factors'!$I$19))/1000</f>
        <v>0</v>
      </c>
      <c r="U199" s="456"/>
      <c r="V199" s="456"/>
      <c r="W199" s="207">
        <f t="shared" si="31"/>
        <v>4007001.7680691364</v>
      </c>
      <c r="X199" s="207">
        <f t="shared" si="32"/>
        <v>1800.4260344288246</v>
      </c>
      <c r="Y199" s="518">
        <f t="shared" si="23"/>
        <v>494840.7162451181</v>
      </c>
      <c r="Z199" s="516">
        <f t="shared" si="24"/>
        <v>136.72935096813663</v>
      </c>
      <c r="AA199" s="516">
        <f t="shared" si="25"/>
        <v>22412188.77361715</v>
      </c>
      <c r="AB199" s="516">
        <f t="shared" si="26"/>
        <v>10070.244659761658</v>
      </c>
      <c r="AC199" s="209">
        <f t="shared" si="33"/>
        <v>22907029.489862267</v>
      </c>
      <c r="AD199" s="519">
        <f t="shared" si="34"/>
        <v>10206.974010729795</v>
      </c>
    </row>
    <row r="200" spans="2:30" ht="12.75">
      <c r="B200" s="432" t="s">
        <v>74</v>
      </c>
      <c r="C200" s="350" t="s">
        <v>143</v>
      </c>
      <c r="D200" s="348"/>
      <c r="E200" s="539">
        <v>938972.712448653</v>
      </c>
      <c r="F200" s="371">
        <f>(E200*'04 Emissions Factors'!$I$17)/1000</f>
        <v>259.4473844514845</v>
      </c>
      <c r="G200" s="373">
        <v>40112850.6081513</v>
      </c>
      <c r="H200" s="600">
        <f>G200*(('04 Emissions Factors'!$I$18)+('04 Emissions Factors'!$I$19))/1000</f>
        <v>18023.50603525454</v>
      </c>
      <c r="I200" s="375">
        <f t="shared" si="27"/>
        <v>41051823.32059996</v>
      </c>
      <c r="J200" s="374">
        <f t="shared" si="28"/>
        <v>18282.953419706024</v>
      </c>
      <c r="K200" s="539">
        <v>1627726.5084831929</v>
      </c>
      <c r="L200" s="371">
        <f>(K200*'04 Emissions Factors'!$I$17)/1000</f>
        <v>449.7568242712965</v>
      </c>
      <c r="M200" s="371">
        <f t="shared" si="29"/>
        <v>42679549.82908315</v>
      </c>
      <c r="N200" s="371">
        <f t="shared" si="30"/>
        <v>18732.71024397732</v>
      </c>
      <c r="O200" s="373">
        <v>27996444.50741983</v>
      </c>
      <c r="P200" s="371">
        <f>O200*(('04 Emissions Factors'!$I$18)+('04 Emissions Factors'!$I$19))/1000</f>
        <v>12579.362446073877</v>
      </c>
      <c r="Q200" s="372">
        <v>0</v>
      </c>
      <c r="R200" s="371">
        <f>Q200*(('04 Emissions Factors'!$I$18)+('04 Emissions Factors'!$I$19))/1000</f>
        <v>0</v>
      </c>
      <c r="S200" s="372">
        <v>0</v>
      </c>
      <c r="T200" s="371">
        <f>S200*(('04 Emissions Factors'!$I$18)+('04 Emissions Factors'!$I$19))/1000</f>
        <v>0</v>
      </c>
      <c r="U200" s="456"/>
      <c r="V200" s="456"/>
      <c r="W200" s="207">
        <f t="shared" si="31"/>
        <v>27996444.50741983</v>
      </c>
      <c r="X200" s="207">
        <f t="shared" si="32"/>
        <v>12579.362446073877</v>
      </c>
      <c r="Y200" s="518">
        <f t="shared" si="23"/>
        <v>2566699.2209318457</v>
      </c>
      <c r="Z200" s="516">
        <f t="shared" si="24"/>
        <v>709.204208722781</v>
      </c>
      <c r="AA200" s="516">
        <f t="shared" si="25"/>
        <v>68109295.11557113</v>
      </c>
      <c r="AB200" s="516">
        <f t="shared" si="26"/>
        <v>30602.86848132842</v>
      </c>
      <c r="AC200" s="209">
        <f t="shared" si="33"/>
        <v>70675994.33650297</v>
      </c>
      <c r="AD200" s="519">
        <f t="shared" si="34"/>
        <v>31312.0726900512</v>
      </c>
    </row>
    <row r="201" spans="2:30" ht="12.75">
      <c r="B201" s="432" t="s">
        <v>75</v>
      </c>
      <c r="C201" s="350" t="s">
        <v>144</v>
      </c>
      <c r="D201" s="348"/>
      <c r="E201" s="539">
        <v>0</v>
      </c>
      <c r="F201" s="371">
        <f>(E201*'04 Emissions Factors'!$I$17)/1000</f>
        <v>0</v>
      </c>
      <c r="G201" s="373">
        <v>9443132.036555255</v>
      </c>
      <c r="H201" s="600">
        <f>G201*(('04 Emissions Factors'!$I$18)+('04 Emissions Factors'!$I$19))/1000</f>
        <v>4242.988086665007</v>
      </c>
      <c r="I201" s="375">
        <f t="shared" si="27"/>
        <v>9443132.036555255</v>
      </c>
      <c r="J201" s="374">
        <f t="shared" si="28"/>
        <v>4242.988086665007</v>
      </c>
      <c r="K201" s="539">
        <v>0</v>
      </c>
      <c r="L201" s="371">
        <f>(K201*'04 Emissions Factors'!$I$17)/1000</f>
        <v>0</v>
      </c>
      <c r="M201" s="371">
        <f t="shared" si="29"/>
        <v>9443132.036555255</v>
      </c>
      <c r="N201" s="371">
        <f t="shared" si="30"/>
        <v>4242.988086665007</v>
      </c>
      <c r="O201" s="373">
        <v>0</v>
      </c>
      <c r="P201" s="371">
        <f>O201*(('04 Emissions Factors'!$I$18)+('04 Emissions Factors'!$I$19))/1000</f>
        <v>0</v>
      </c>
      <c r="Q201" s="372">
        <v>0</v>
      </c>
      <c r="R201" s="371">
        <f>Q201*(('04 Emissions Factors'!$I$18)+('04 Emissions Factors'!$I$19))/1000</f>
        <v>0</v>
      </c>
      <c r="S201" s="372">
        <v>718430.9973254706</v>
      </c>
      <c r="T201" s="371">
        <f>S201*(('04 Emissions Factors'!$I$18)+('04 Emissions Factors'!$I$19))/1000</f>
        <v>322.8054157182804</v>
      </c>
      <c r="U201" s="456"/>
      <c r="V201" s="456"/>
      <c r="W201" s="207">
        <f t="shared" si="31"/>
        <v>718430.9973254706</v>
      </c>
      <c r="X201" s="207">
        <f t="shared" si="32"/>
        <v>322.8054157182804</v>
      </c>
      <c r="Y201" s="518">
        <f t="shared" si="23"/>
        <v>0</v>
      </c>
      <c r="Z201" s="516">
        <f t="shared" si="24"/>
        <v>0</v>
      </c>
      <c r="AA201" s="516">
        <f t="shared" si="25"/>
        <v>10161563.033880726</v>
      </c>
      <c r="AB201" s="516">
        <f t="shared" si="26"/>
        <v>4565.793502383288</v>
      </c>
      <c r="AC201" s="209">
        <f t="shared" si="33"/>
        <v>10161563.033880726</v>
      </c>
      <c r="AD201" s="519">
        <f t="shared" si="34"/>
        <v>4565.793502383288</v>
      </c>
    </row>
    <row r="202" spans="2:30" ht="12.75">
      <c r="B202" s="432" t="s">
        <v>76</v>
      </c>
      <c r="C202" s="350" t="s">
        <v>145</v>
      </c>
      <c r="D202" s="348"/>
      <c r="E202" s="539">
        <v>0</v>
      </c>
      <c r="F202" s="371">
        <f>(E202*'04 Emissions Factors'!$I$17)/1000</f>
        <v>0</v>
      </c>
      <c r="G202" s="373">
        <v>23018018.77324978</v>
      </c>
      <c r="H202" s="600">
        <f>G202*(('04 Emissions Factors'!$I$18)+('04 Emissions Factors'!$I$19))/1000</f>
        <v>10342.456195196592</v>
      </c>
      <c r="I202" s="375">
        <f t="shared" si="27"/>
        <v>23018018.77324978</v>
      </c>
      <c r="J202" s="374">
        <f t="shared" si="28"/>
        <v>10342.456195196592</v>
      </c>
      <c r="K202" s="539">
        <v>6945.587226546943</v>
      </c>
      <c r="L202" s="371">
        <f>(K202*'04 Emissions Factors'!$I$17)/1000</f>
        <v>1.9191339806967886</v>
      </c>
      <c r="M202" s="371">
        <f t="shared" si="29"/>
        <v>23024964.360476326</v>
      </c>
      <c r="N202" s="371">
        <f t="shared" si="30"/>
        <v>10344.375329177288</v>
      </c>
      <c r="O202" s="373">
        <v>47132970.75878074</v>
      </c>
      <c r="P202" s="371">
        <f>O202*(('04 Emissions Factors'!$I$18)+('04 Emissions Factors'!$I$19))/1000</f>
        <v>21177.78642133536</v>
      </c>
      <c r="Q202" s="372">
        <v>24991624.022718176</v>
      </c>
      <c r="R202" s="371">
        <f>Q202*(('04 Emissions Factors'!$I$18)+('04 Emissions Factors'!$I$19))/1000</f>
        <v>11229.23650588773</v>
      </c>
      <c r="S202" s="372">
        <v>0</v>
      </c>
      <c r="T202" s="371">
        <f>S202*(('04 Emissions Factors'!$I$18)+('04 Emissions Factors'!$I$19))/1000</f>
        <v>0</v>
      </c>
      <c r="U202" s="456"/>
      <c r="V202" s="456"/>
      <c r="W202" s="207">
        <f t="shared" si="31"/>
        <v>72124594.78149891</v>
      </c>
      <c r="X202" s="207">
        <f t="shared" si="32"/>
        <v>32407.02292722309</v>
      </c>
      <c r="Y202" s="518">
        <f t="shared" si="23"/>
        <v>6945.587226546943</v>
      </c>
      <c r="Z202" s="516">
        <f t="shared" si="24"/>
        <v>1.9191339806967886</v>
      </c>
      <c r="AA202" s="516">
        <f t="shared" si="25"/>
        <v>95142613.55474868</v>
      </c>
      <c r="AB202" s="516">
        <f t="shared" si="26"/>
        <v>42749.47912241968</v>
      </c>
      <c r="AC202" s="209">
        <f t="shared" si="33"/>
        <v>95149559.14197522</v>
      </c>
      <c r="AD202" s="519">
        <f t="shared" si="34"/>
        <v>42751.39825640038</v>
      </c>
    </row>
    <row r="203" spans="2:30" ht="12.75">
      <c r="B203" s="432" t="s">
        <v>77</v>
      </c>
      <c r="C203" s="350" t="s">
        <v>146</v>
      </c>
      <c r="D203" s="348"/>
      <c r="E203" s="539">
        <v>4600071.996091266</v>
      </c>
      <c r="F203" s="371">
        <f>(E203*'04 Emissions Factors'!$I$17)/1000</f>
        <v>1271.0450813443235</v>
      </c>
      <c r="G203" s="373">
        <v>8826331.124396447</v>
      </c>
      <c r="H203" s="600">
        <f>G203*(('04 Emissions Factors'!$I$18)+('04 Emissions Factors'!$I$19))/1000</f>
        <v>3965.8471008138117</v>
      </c>
      <c r="I203" s="375">
        <f t="shared" si="27"/>
        <v>13426403.120487712</v>
      </c>
      <c r="J203" s="374">
        <f t="shared" si="28"/>
        <v>5236.892182158135</v>
      </c>
      <c r="K203" s="539">
        <v>3004241.5944787343</v>
      </c>
      <c r="L203" s="371">
        <f>(K203*'04 Emissions Factors'!$I$17)/1000</f>
        <v>830.1014647329148</v>
      </c>
      <c r="M203" s="371">
        <f t="shared" si="29"/>
        <v>16430644.714966446</v>
      </c>
      <c r="N203" s="371">
        <f t="shared" si="30"/>
        <v>6066.99364689105</v>
      </c>
      <c r="O203" s="373">
        <v>22341741.59353223</v>
      </c>
      <c r="P203" s="371">
        <f>O203*(('04 Emissions Factors'!$I$18)+('04 Emissions Factors'!$I$19))/1000</f>
        <v>10038.591332805901</v>
      </c>
      <c r="Q203" s="372">
        <v>0</v>
      </c>
      <c r="R203" s="371">
        <f>Q203*(('04 Emissions Factors'!$I$18)+('04 Emissions Factors'!$I$19))/1000</f>
        <v>0</v>
      </c>
      <c r="S203" s="372">
        <v>0</v>
      </c>
      <c r="T203" s="371">
        <f>S203*(('04 Emissions Factors'!$I$18)+('04 Emissions Factors'!$I$19))/1000</f>
        <v>0</v>
      </c>
      <c r="U203" s="456"/>
      <c r="V203" s="456"/>
      <c r="W203" s="207">
        <f t="shared" si="31"/>
        <v>22341741.59353223</v>
      </c>
      <c r="X203" s="207">
        <f t="shared" si="32"/>
        <v>10038.591332805901</v>
      </c>
      <c r="Y203" s="518">
        <f t="shared" si="23"/>
        <v>7604313.590570001</v>
      </c>
      <c r="Z203" s="516">
        <f t="shared" si="24"/>
        <v>2101.1465460772383</v>
      </c>
      <c r="AA203" s="516">
        <f t="shared" si="25"/>
        <v>31168072.717928678</v>
      </c>
      <c r="AB203" s="516">
        <f t="shared" si="26"/>
        <v>14004.438433619713</v>
      </c>
      <c r="AC203" s="209">
        <f t="shared" si="33"/>
        <v>38772386.30849868</v>
      </c>
      <c r="AD203" s="519">
        <f t="shared" si="34"/>
        <v>16105.58497969695</v>
      </c>
    </row>
    <row r="204" spans="2:30" ht="12.75">
      <c r="B204" s="432" t="s">
        <v>78</v>
      </c>
      <c r="C204" s="350" t="s">
        <v>147</v>
      </c>
      <c r="D204" s="348"/>
      <c r="E204" s="539">
        <v>2502765.4492197908</v>
      </c>
      <c r="F204" s="371">
        <f>(E204*'04 Emissions Factors'!$I$17)/1000</f>
        <v>691.5386795450967</v>
      </c>
      <c r="G204" s="373">
        <v>73949544.06798616</v>
      </c>
      <c r="H204" s="600">
        <f>G204*(('04 Emissions Factors'!$I$18)+('04 Emissions Factors'!$I$19))/1000</f>
        <v>33227.00914062754</v>
      </c>
      <c r="I204" s="375">
        <f t="shared" si="27"/>
        <v>76452309.51720595</v>
      </c>
      <c r="J204" s="374">
        <f t="shared" si="28"/>
        <v>33918.54782017264</v>
      </c>
      <c r="K204" s="539">
        <v>2767556.4868410644</v>
      </c>
      <c r="L204" s="371">
        <f>(K204*'04 Emissions Factors'!$I$17)/1000</f>
        <v>764.7030444155943</v>
      </c>
      <c r="M204" s="371">
        <f t="shared" si="29"/>
        <v>79219866.00404702</v>
      </c>
      <c r="N204" s="371">
        <f t="shared" si="30"/>
        <v>34683.25086458823</v>
      </c>
      <c r="O204" s="373">
        <v>22394309.240068957</v>
      </c>
      <c r="P204" s="371">
        <f>O204*(('04 Emissions Factors'!$I$18)+('04 Emissions Factors'!$I$19))/1000</f>
        <v>10062.211027747784</v>
      </c>
      <c r="Q204" s="372">
        <v>0</v>
      </c>
      <c r="R204" s="371">
        <f>Q204*(('04 Emissions Factors'!$I$18)+('04 Emissions Factors'!$I$19))/1000</f>
        <v>0</v>
      </c>
      <c r="S204" s="372">
        <v>0</v>
      </c>
      <c r="T204" s="371">
        <f>S204*(('04 Emissions Factors'!$I$18)+('04 Emissions Factors'!$I$19))/1000</f>
        <v>0</v>
      </c>
      <c r="U204" s="456"/>
      <c r="V204" s="456"/>
      <c r="W204" s="207">
        <f t="shared" si="31"/>
        <v>22394309.240068957</v>
      </c>
      <c r="X204" s="207">
        <f t="shared" si="32"/>
        <v>10062.211027747784</v>
      </c>
      <c r="Y204" s="518">
        <f t="shared" si="23"/>
        <v>5270321.936060855</v>
      </c>
      <c r="Z204" s="516">
        <f t="shared" si="24"/>
        <v>1456.241723960691</v>
      </c>
      <c r="AA204" s="516">
        <f t="shared" si="25"/>
        <v>96343853.30805512</v>
      </c>
      <c r="AB204" s="516">
        <f t="shared" si="26"/>
        <v>43289.22016837532</v>
      </c>
      <c r="AC204" s="209">
        <f t="shared" si="33"/>
        <v>101614175.24411598</v>
      </c>
      <c r="AD204" s="519">
        <f t="shared" si="34"/>
        <v>44745.46189233601</v>
      </c>
    </row>
    <row r="205" spans="2:30" ht="12.75">
      <c r="B205" s="432" t="s">
        <v>79</v>
      </c>
      <c r="C205" s="350" t="s">
        <v>148</v>
      </c>
      <c r="D205" s="348"/>
      <c r="E205" s="539">
        <v>10763868.286580348</v>
      </c>
      <c r="F205" s="371">
        <f>(E205*'04 Emissions Factors'!$I$17)/1000</f>
        <v>2974.162546482167</v>
      </c>
      <c r="G205" s="373">
        <v>7887740.592733599</v>
      </c>
      <c r="H205" s="600">
        <f>G205*(('04 Emissions Factors'!$I$18)+('04 Emissions Factors'!$I$19))/1000</f>
        <v>3544.119603127061</v>
      </c>
      <c r="I205" s="375">
        <f t="shared" si="27"/>
        <v>18651608.879313946</v>
      </c>
      <c r="J205" s="374">
        <f t="shared" si="28"/>
        <v>6518.282149609227</v>
      </c>
      <c r="K205" s="539">
        <v>0</v>
      </c>
      <c r="L205" s="371">
        <f>(K205*'04 Emissions Factors'!$I$17)/1000</f>
        <v>0</v>
      </c>
      <c r="M205" s="371">
        <f t="shared" si="29"/>
        <v>18651608.879313946</v>
      </c>
      <c r="N205" s="371">
        <f t="shared" si="30"/>
        <v>6518.282149609227</v>
      </c>
      <c r="O205" s="373">
        <v>145714386.17966124</v>
      </c>
      <c r="P205" s="371">
        <f>O205*(('04 Emissions Factors'!$I$18)+('04 Emissions Factors'!$I$19))/1000</f>
        <v>65472.38799824539</v>
      </c>
      <c r="Q205" s="372">
        <v>0</v>
      </c>
      <c r="R205" s="371">
        <f>Q205*(('04 Emissions Factors'!$I$18)+('04 Emissions Factors'!$I$19))/1000</f>
        <v>0</v>
      </c>
      <c r="S205" s="372">
        <v>0</v>
      </c>
      <c r="T205" s="371">
        <f>S205*(('04 Emissions Factors'!$I$18)+('04 Emissions Factors'!$I$19))/1000</f>
        <v>0</v>
      </c>
      <c r="U205" s="456"/>
      <c r="V205" s="456"/>
      <c r="W205" s="207">
        <f t="shared" si="31"/>
        <v>145714386.17966124</v>
      </c>
      <c r="X205" s="207">
        <f t="shared" si="32"/>
        <v>65472.38799824539</v>
      </c>
      <c r="Y205" s="518">
        <f t="shared" si="23"/>
        <v>10763868.286580348</v>
      </c>
      <c r="Z205" s="516">
        <f t="shared" si="24"/>
        <v>2974.162546482167</v>
      </c>
      <c r="AA205" s="516">
        <f t="shared" si="25"/>
        <v>153602126.77239484</v>
      </c>
      <c r="AB205" s="516">
        <f t="shared" si="26"/>
        <v>69016.50760137245</v>
      </c>
      <c r="AC205" s="209">
        <f t="shared" si="33"/>
        <v>164365995.0589752</v>
      </c>
      <c r="AD205" s="519">
        <f t="shared" si="34"/>
        <v>71990.67014785462</v>
      </c>
    </row>
    <row r="206" spans="2:30" ht="13.5" thickBot="1">
      <c r="B206" s="432" t="s">
        <v>321</v>
      </c>
      <c r="C206" s="515"/>
      <c r="D206" s="417"/>
      <c r="E206" s="451"/>
      <c r="F206" s="455"/>
      <c r="G206" s="452"/>
      <c r="H206" s="457"/>
      <c r="I206" s="451"/>
      <c r="J206" s="453"/>
      <c r="K206" s="454"/>
      <c r="L206" s="455"/>
      <c r="M206" s="456"/>
      <c r="N206" s="455"/>
      <c r="O206" s="457"/>
      <c r="P206" s="456"/>
      <c r="Q206" s="251"/>
      <c r="R206" s="456"/>
      <c r="S206" s="251"/>
      <c r="T206" s="456"/>
      <c r="U206" s="362">
        <v>52551435</v>
      </c>
      <c r="V206" s="362">
        <f>U206*((EF_ELEC_GEN)+(EF_ELEC_TD))/1000</f>
        <v>47027.228152799995</v>
      </c>
      <c r="W206" s="207">
        <f t="shared" si="31"/>
        <v>52551435</v>
      </c>
      <c r="X206" s="207">
        <f t="shared" si="32"/>
        <v>47027.228152799995</v>
      </c>
      <c r="Y206" s="520"/>
      <c r="Z206" s="517"/>
      <c r="AA206" s="516">
        <f t="shared" si="25"/>
        <v>52551435</v>
      </c>
      <c r="AB206" s="516">
        <f t="shared" si="26"/>
        <v>47027.228152799995</v>
      </c>
      <c r="AC206" s="209">
        <f t="shared" si="33"/>
        <v>52551435</v>
      </c>
      <c r="AD206" s="519">
        <f t="shared" si="34"/>
        <v>47027.228152799995</v>
      </c>
    </row>
    <row r="207" spans="2:30" ht="13.5" thickBot="1">
      <c r="B207" s="428" t="s">
        <v>166</v>
      </c>
      <c r="C207" s="732"/>
      <c r="D207" s="745"/>
      <c r="E207" s="345">
        <f aca="true" t="shared" si="35" ref="E207:T207">SUM(E173:E205)</f>
        <v>204328969.7018309</v>
      </c>
      <c r="F207" s="370">
        <f t="shared" si="35"/>
        <v>56458.10155500722</v>
      </c>
      <c r="G207" s="369">
        <f t="shared" si="35"/>
        <v>747030807.0272452</v>
      </c>
      <c r="H207" s="368">
        <f t="shared" si="35"/>
        <v>335655.8822134818</v>
      </c>
      <c r="I207" s="368">
        <f t="shared" si="35"/>
        <v>951359776.7290761</v>
      </c>
      <c r="J207" s="370">
        <f t="shared" si="35"/>
        <v>392113.9837684891</v>
      </c>
      <c r="K207" s="369">
        <f t="shared" si="35"/>
        <v>99495943.66086099</v>
      </c>
      <c r="L207" s="370">
        <f t="shared" si="35"/>
        <v>27491.706632267287</v>
      </c>
      <c r="M207" s="368">
        <f t="shared" si="35"/>
        <v>1050855720.3899375</v>
      </c>
      <c r="N207" s="368">
        <f t="shared" si="35"/>
        <v>419605.6904007565</v>
      </c>
      <c r="O207" s="369">
        <f t="shared" si="35"/>
        <v>1093290202.8971074</v>
      </c>
      <c r="P207" s="368">
        <f t="shared" si="35"/>
        <v>491237.1539657281</v>
      </c>
      <c r="Q207" s="369">
        <f t="shared" si="35"/>
        <v>61879683</v>
      </c>
      <c r="R207" s="368">
        <f t="shared" si="35"/>
        <v>27803.779165559998</v>
      </c>
      <c r="S207" s="369">
        <f t="shared" si="35"/>
        <v>14615868.000000002</v>
      </c>
      <c r="T207" s="368">
        <f t="shared" si="35"/>
        <v>6567.20180976</v>
      </c>
      <c r="U207" s="368">
        <f>SUM(U173:U206)</f>
        <v>52551435</v>
      </c>
      <c r="V207" s="368">
        <f>SUM(V173:V206)</f>
        <v>47027.228152799995</v>
      </c>
      <c r="W207" s="368">
        <f>SUM(W173:W206)</f>
        <v>1222337188.8971074</v>
      </c>
      <c r="X207" s="368">
        <f>SUM(X173:X206)</f>
        <v>572635.3630938481</v>
      </c>
      <c r="Y207" s="514">
        <f>SUM(Y173:Y205)</f>
        <v>303824913.3626918</v>
      </c>
      <c r="Z207" s="367">
        <f>SUM(Z173:Z205)</f>
        <v>83949.8081872745</v>
      </c>
      <c r="AA207" s="368">
        <f>SUM(AA173:AA206)</f>
        <v>1969367995.9243531</v>
      </c>
      <c r="AB207" s="367">
        <f>SUM(AB173:AB206)</f>
        <v>908291.24530733</v>
      </c>
      <c r="AC207" s="368">
        <f>SUM(AC173:AC206)</f>
        <v>2273192909.2870445</v>
      </c>
      <c r="AD207" s="367">
        <f>SUM(AD173:AD206)</f>
        <v>992241.0534946047</v>
      </c>
    </row>
    <row r="208" spans="2:33" ht="12.75">
      <c r="B208" s="268"/>
      <c r="C208" s="268"/>
      <c r="D208" s="268"/>
      <c r="G208" s="343"/>
      <c r="J208" s="343"/>
      <c r="L208" s="366"/>
      <c r="M208" s="343"/>
      <c r="P208" s="343"/>
      <c r="Q208" s="343"/>
      <c r="S208" s="343"/>
      <c r="AC208" s="343"/>
      <c r="AE208" s="343"/>
      <c r="AG208" s="343"/>
    </row>
    <row r="209" spans="2:20" ht="21">
      <c r="B209" s="267" t="s">
        <v>322</v>
      </c>
      <c r="C209" s="267" t="s">
        <v>402</v>
      </c>
      <c r="D209" s="268"/>
      <c r="E209" s="449"/>
      <c r="F209" s="449"/>
      <c r="G209" s="449"/>
      <c r="H209" s="449"/>
      <c r="I209" s="450"/>
      <c r="J209" s="450"/>
      <c r="K209" s="449"/>
      <c r="L209" s="449"/>
      <c r="M209" s="450"/>
      <c r="N209" s="450"/>
      <c r="T209" s="343"/>
    </row>
    <row r="210" spans="2:4" ht="13.5" thickBot="1">
      <c r="B210" s="268"/>
      <c r="C210" s="268"/>
      <c r="D210" s="268"/>
    </row>
    <row r="211" spans="2:12" ht="13.5" thickBot="1">
      <c r="B211" s="761" t="s">
        <v>111</v>
      </c>
      <c r="C211" s="764" t="s">
        <v>112</v>
      </c>
      <c r="D211" s="764" t="s">
        <v>113</v>
      </c>
      <c r="E211" s="758" t="s">
        <v>283</v>
      </c>
      <c r="F211" s="759"/>
      <c r="G211" s="759"/>
      <c r="H211" s="759"/>
      <c r="I211" s="759"/>
      <c r="J211" s="759"/>
      <c r="K211" s="759"/>
      <c r="L211" s="433" t="s">
        <v>89</v>
      </c>
    </row>
    <row r="212" spans="2:12" ht="12.75">
      <c r="B212" s="762"/>
      <c r="C212" s="765"/>
      <c r="D212" s="765"/>
      <c r="E212" s="430" t="s">
        <v>262</v>
      </c>
      <c r="F212" s="430" t="s">
        <v>264</v>
      </c>
      <c r="G212" s="430" t="s">
        <v>263</v>
      </c>
      <c r="H212" s="430" t="s">
        <v>318</v>
      </c>
      <c r="I212" s="430" t="s">
        <v>317</v>
      </c>
      <c r="J212" s="430" t="s">
        <v>265</v>
      </c>
      <c r="K212" s="430" t="s">
        <v>266</v>
      </c>
      <c r="L212" s="364"/>
    </row>
    <row r="213" spans="2:12" ht="13.5" thickBot="1">
      <c r="B213" s="763"/>
      <c r="C213" s="766"/>
      <c r="D213" s="766"/>
      <c r="E213" s="353" t="s">
        <v>284</v>
      </c>
      <c r="F213" s="353" t="s">
        <v>284</v>
      </c>
      <c r="G213" s="353" t="s">
        <v>284</v>
      </c>
      <c r="H213" s="353" t="s">
        <v>284</v>
      </c>
      <c r="I213" s="353" t="s">
        <v>284</v>
      </c>
      <c r="J213" s="353" t="s">
        <v>284</v>
      </c>
      <c r="K213" s="353" t="s">
        <v>284</v>
      </c>
      <c r="L213" s="351" t="s">
        <v>284</v>
      </c>
    </row>
    <row r="214" spans="2:12" ht="12.75">
      <c r="B214" s="432" t="s">
        <v>46</v>
      </c>
      <c r="C214" s="350" t="s">
        <v>114</v>
      </c>
      <c r="D214" s="348"/>
      <c r="E214" s="376">
        <v>768.6551274685958</v>
      </c>
      <c r="F214" s="347">
        <v>1321.3633688487687</v>
      </c>
      <c r="G214" s="376">
        <v>80565.74986165465</v>
      </c>
      <c r="H214" s="376">
        <v>13638.17749041709</v>
      </c>
      <c r="I214" s="376">
        <v>12433.553959376117</v>
      </c>
      <c r="J214" s="347">
        <v>15825.778065216015</v>
      </c>
      <c r="K214" s="376">
        <v>8791.21884698272</v>
      </c>
      <c r="L214" s="427">
        <f>SUM(E214:K214)</f>
        <v>133344.49671996397</v>
      </c>
    </row>
    <row r="215" spans="2:12" ht="12.75">
      <c r="B215" s="432" t="s">
        <v>47</v>
      </c>
      <c r="C215" s="350" t="s">
        <v>115</v>
      </c>
      <c r="D215" s="348"/>
      <c r="E215" s="376">
        <v>2905.2428575136605</v>
      </c>
      <c r="F215" s="347">
        <v>9846.240042255855</v>
      </c>
      <c r="G215" s="376">
        <v>250764.75003491231</v>
      </c>
      <c r="H215" s="376">
        <v>40582.96896679029</v>
      </c>
      <c r="I215" s="376">
        <v>43310.88245423288</v>
      </c>
      <c r="J215" s="347">
        <v>31575.74861373512</v>
      </c>
      <c r="K215" s="376">
        <v>15141.433381136902</v>
      </c>
      <c r="L215" s="427">
        <f aca="true" t="shared" si="36" ref="L215:L246">SUM(E215:K215)</f>
        <v>394127.26635057706</v>
      </c>
    </row>
    <row r="216" spans="2:12" ht="12.75">
      <c r="B216" s="432" t="s">
        <v>48</v>
      </c>
      <c r="C216" s="350" t="s">
        <v>118</v>
      </c>
      <c r="D216" s="348"/>
      <c r="E216" s="376">
        <v>1374.550663879233</v>
      </c>
      <c r="F216" s="347">
        <v>1932.1600167463835</v>
      </c>
      <c r="G216" s="376">
        <v>123755.92500476897</v>
      </c>
      <c r="H216" s="376">
        <v>20789.082160502105</v>
      </c>
      <c r="I216" s="376">
        <v>22077.993135687186</v>
      </c>
      <c r="J216" s="347">
        <v>15029.434541351153</v>
      </c>
      <c r="K216" s="376">
        <v>8152.04491900672</v>
      </c>
      <c r="L216" s="427">
        <f t="shared" si="36"/>
        <v>193111.19044194178</v>
      </c>
    </row>
    <row r="217" spans="2:12" ht="12.75">
      <c r="B217" s="432" t="s">
        <v>49</v>
      </c>
      <c r="C217" s="350" t="s">
        <v>119</v>
      </c>
      <c r="D217" s="348"/>
      <c r="E217" s="376">
        <v>1623.2723700097688</v>
      </c>
      <c r="F217" s="347">
        <v>7321.835154354337</v>
      </c>
      <c r="G217" s="376">
        <v>127276.44425631037</v>
      </c>
      <c r="H217" s="376">
        <v>19556.069960175457</v>
      </c>
      <c r="I217" s="376">
        <v>28101.389126357764</v>
      </c>
      <c r="J217" s="347">
        <v>19061.81206096479</v>
      </c>
      <c r="K217" s="376">
        <v>7383.272268243573</v>
      </c>
      <c r="L217" s="427">
        <f t="shared" si="36"/>
        <v>210324.09519641605</v>
      </c>
    </row>
    <row r="218" spans="2:12" ht="12.75">
      <c r="B218" s="432" t="s">
        <v>50</v>
      </c>
      <c r="C218" s="350" t="s">
        <v>120</v>
      </c>
      <c r="D218" s="348"/>
      <c r="E218" s="376">
        <v>1938.6103056378397</v>
      </c>
      <c r="F218" s="347">
        <v>2653.897262383578</v>
      </c>
      <c r="G218" s="376">
        <v>175145.11745402552</v>
      </c>
      <c r="H218" s="376">
        <v>26245.377509930968</v>
      </c>
      <c r="I218" s="376">
        <v>26622.58760909022</v>
      </c>
      <c r="J218" s="347">
        <v>17791.255328692987</v>
      </c>
      <c r="K218" s="376">
        <v>5664.985093015379</v>
      </c>
      <c r="L218" s="427">
        <f t="shared" si="36"/>
        <v>256061.8305627765</v>
      </c>
    </row>
    <row r="219" spans="2:12" ht="12.75">
      <c r="B219" s="432" t="s">
        <v>51</v>
      </c>
      <c r="C219" s="350" t="s">
        <v>121</v>
      </c>
      <c r="D219" s="348"/>
      <c r="E219" s="376">
        <v>3017.3787214578942</v>
      </c>
      <c r="F219" s="347">
        <v>12850.105445853404</v>
      </c>
      <c r="G219" s="376">
        <v>77316.76317277263</v>
      </c>
      <c r="H219" s="376">
        <v>14916.901464569111</v>
      </c>
      <c r="I219" s="376">
        <v>31708.810096778503</v>
      </c>
      <c r="J219" s="347">
        <v>14786.53003767757</v>
      </c>
      <c r="K219" s="376">
        <v>3690.2571437661586</v>
      </c>
      <c r="L219" s="427">
        <f t="shared" si="36"/>
        <v>158286.74608287524</v>
      </c>
    </row>
    <row r="220" spans="2:12" ht="12.75">
      <c r="B220" s="432" t="s">
        <v>52</v>
      </c>
      <c r="C220" s="350" t="s">
        <v>122</v>
      </c>
      <c r="D220" s="348"/>
      <c r="E220" s="376">
        <v>1653.5643210197697</v>
      </c>
      <c r="F220" s="347">
        <v>9178.76620049213</v>
      </c>
      <c r="G220" s="376">
        <v>14951.803736671234</v>
      </c>
      <c r="H220" s="376">
        <v>5307.143739534439</v>
      </c>
      <c r="I220" s="376">
        <v>16055.802496882625</v>
      </c>
      <c r="J220" s="347">
        <v>5650.72013510918</v>
      </c>
      <c r="K220" s="376">
        <v>979.0704977967814</v>
      </c>
      <c r="L220" s="427">
        <f t="shared" si="36"/>
        <v>53776.871127506165</v>
      </c>
    </row>
    <row r="221" spans="2:12" ht="12.75">
      <c r="B221" s="432" t="s">
        <v>53</v>
      </c>
      <c r="C221" s="350" t="s">
        <v>123</v>
      </c>
      <c r="D221" s="348"/>
      <c r="E221" s="376">
        <v>1781.1422788481607</v>
      </c>
      <c r="F221" s="347">
        <v>2497.1351621128515</v>
      </c>
      <c r="G221" s="376">
        <v>156517.9783009754</v>
      </c>
      <c r="H221" s="376">
        <v>22927.60802991078</v>
      </c>
      <c r="I221" s="376">
        <v>30130.93982879007</v>
      </c>
      <c r="J221" s="347">
        <v>19916.2409369419</v>
      </c>
      <c r="K221" s="376">
        <v>6722.689163077512</v>
      </c>
      <c r="L221" s="427">
        <f t="shared" si="36"/>
        <v>240493.73370065665</v>
      </c>
    </row>
    <row r="222" spans="2:12" ht="12.75">
      <c r="B222" s="432" t="s">
        <v>54</v>
      </c>
      <c r="C222" s="350" t="s">
        <v>124</v>
      </c>
      <c r="D222" s="348"/>
      <c r="E222" s="376">
        <v>2463.384049744132</v>
      </c>
      <c r="F222" s="347">
        <v>6291.462253688035</v>
      </c>
      <c r="G222" s="376">
        <v>176717.60074584343</v>
      </c>
      <c r="H222" s="376">
        <v>29028.199274708302</v>
      </c>
      <c r="I222" s="376">
        <v>34961.00684186473</v>
      </c>
      <c r="J222" s="347">
        <v>26920.882085265945</v>
      </c>
      <c r="K222" s="376">
        <v>11856.482338116079</v>
      </c>
      <c r="L222" s="427">
        <f t="shared" si="36"/>
        <v>288239.0175892307</v>
      </c>
    </row>
    <row r="223" spans="2:12" ht="12.75">
      <c r="B223" s="432" t="s">
        <v>55</v>
      </c>
      <c r="C223" s="350" t="s">
        <v>125</v>
      </c>
      <c r="D223" s="348"/>
      <c r="E223" s="376">
        <v>1779.4125228523478</v>
      </c>
      <c r="F223" s="347">
        <v>6890.848769184589</v>
      </c>
      <c r="G223" s="376">
        <v>210355.7714215006</v>
      </c>
      <c r="H223" s="376">
        <v>34443.43338638047</v>
      </c>
      <c r="I223" s="376">
        <v>26346.374511675225</v>
      </c>
      <c r="J223" s="347">
        <v>33775.2727160629</v>
      </c>
      <c r="K223" s="376">
        <v>52381.20492948245</v>
      </c>
      <c r="L223" s="427">
        <f t="shared" si="36"/>
        <v>365972.31825713854</v>
      </c>
    </row>
    <row r="224" spans="2:12" ht="12.75">
      <c r="B224" s="432" t="s">
        <v>56</v>
      </c>
      <c r="C224" s="350" t="s">
        <v>126</v>
      </c>
      <c r="D224" s="348"/>
      <c r="E224" s="376">
        <v>2335.057356567731</v>
      </c>
      <c r="F224" s="347">
        <v>8446.411059915024</v>
      </c>
      <c r="G224" s="376">
        <v>127022.38579953108</v>
      </c>
      <c r="H224" s="376">
        <v>23366.186225409954</v>
      </c>
      <c r="I224" s="376">
        <v>32510.33352556762</v>
      </c>
      <c r="J224" s="347">
        <v>20118.72485401211</v>
      </c>
      <c r="K224" s="376">
        <v>7555.903328893024</v>
      </c>
      <c r="L224" s="427">
        <f t="shared" si="36"/>
        <v>221355.00214989652</v>
      </c>
    </row>
    <row r="225" spans="2:12" ht="12.75">
      <c r="B225" s="432" t="s">
        <v>57</v>
      </c>
      <c r="C225" s="350" t="s">
        <v>127</v>
      </c>
      <c r="D225" s="348"/>
      <c r="E225" s="376">
        <v>1774.3557879821954</v>
      </c>
      <c r="F225" s="347">
        <v>6180.4931725433835</v>
      </c>
      <c r="G225" s="376">
        <v>60916.86940225031</v>
      </c>
      <c r="H225" s="376">
        <v>12505.485577174024</v>
      </c>
      <c r="I225" s="376">
        <v>27067.16184973786</v>
      </c>
      <c r="J225" s="347">
        <v>12728.725807025781</v>
      </c>
      <c r="K225" s="376">
        <v>3126.645822907627</v>
      </c>
      <c r="L225" s="427">
        <f t="shared" si="36"/>
        <v>124299.73741962119</v>
      </c>
    </row>
    <row r="226" spans="2:12" ht="12.75">
      <c r="B226" s="432" t="s">
        <v>58</v>
      </c>
      <c r="C226" s="350" t="s">
        <v>128</v>
      </c>
      <c r="D226" s="348"/>
      <c r="E226" s="376">
        <v>2225.3460272217594</v>
      </c>
      <c r="F226" s="347">
        <v>7130.434826345216</v>
      </c>
      <c r="G226" s="376">
        <v>60274.20767394015</v>
      </c>
      <c r="H226" s="376">
        <v>12122.372163824604</v>
      </c>
      <c r="I226" s="376">
        <v>21926.3342962563</v>
      </c>
      <c r="J226" s="347">
        <v>9838.091499427055</v>
      </c>
      <c r="K226" s="376">
        <v>2011.0962328887438</v>
      </c>
      <c r="L226" s="427">
        <f t="shared" si="36"/>
        <v>115527.88271990384</v>
      </c>
    </row>
    <row r="227" spans="2:12" ht="12.75">
      <c r="B227" s="432" t="s">
        <v>59</v>
      </c>
      <c r="C227" s="350" t="s">
        <v>129</v>
      </c>
      <c r="D227" s="348"/>
      <c r="E227" s="376">
        <v>1379.6742884305718</v>
      </c>
      <c r="F227" s="347">
        <v>6494.888464903452</v>
      </c>
      <c r="G227" s="376">
        <v>77353.86154058308</v>
      </c>
      <c r="H227" s="376">
        <v>13195.130343678911</v>
      </c>
      <c r="I227" s="376">
        <v>23401.353438133083</v>
      </c>
      <c r="J227" s="347">
        <v>11789.174014120263</v>
      </c>
      <c r="K227" s="376">
        <v>3379.308075468048</v>
      </c>
      <c r="L227" s="427">
        <f t="shared" si="36"/>
        <v>136993.39016531743</v>
      </c>
    </row>
    <row r="228" spans="2:12" ht="12.75">
      <c r="B228" s="432" t="s">
        <v>60</v>
      </c>
      <c r="C228" s="350" t="s">
        <v>130</v>
      </c>
      <c r="D228" s="348"/>
      <c r="E228" s="376">
        <v>830.7611834217806</v>
      </c>
      <c r="F228" s="347">
        <v>1477.1484998267354</v>
      </c>
      <c r="G228" s="376">
        <v>100257.99588226553</v>
      </c>
      <c r="H228" s="376">
        <v>12297.649200236798</v>
      </c>
      <c r="I228" s="376">
        <v>15077.162185800784</v>
      </c>
      <c r="J228" s="347">
        <v>8907.352412517073</v>
      </c>
      <c r="K228" s="376">
        <v>3232.670889578199</v>
      </c>
      <c r="L228" s="427">
        <f t="shared" si="36"/>
        <v>142080.74025364692</v>
      </c>
    </row>
    <row r="229" spans="2:12" ht="12.75">
      <c r="B229" s="432" t="s">
        <v>61</v>
      </c>
      <c r="C229" s="350" t="s">
        <v>131</v>
      </c>
      <c r="D229" s="348"/>
      <c r="E229" s="376">
        <v>1640.6779784928115</v>
      </c>
      <c r="F229" s="347">
        <v>3386.1763569632485</v>
      </c>
      <c r="G229" s="376">
        <v>194209.87928333116</v>
      </c>
      <c r="H229" s="376">
        <v>34688.37883148051</v>
      </c>
      <c r="I229" s="376">
        <v>27032.45753403613</v>
      </c>
      <c r="J229" s="347">
        <v>31959.14224960552</v>
      </c>
      <c r="K229" s="376">
        <v>61233.22350546975</v>
      </c>
      <c r="L229" s="427">
        <f t="shared" si="36"/>
        <v>354149.93573937914</v>
      </c>
    </row>
    <row r="230" spans="2:12" ht="12.75">
      <c r="B230" s="432" t="s">
        <v>62</v>
      </c>
      <c r="C230" s="350" t="s">
        <v>132</v>
      </c>
      <c r="D230" s="348"/>
      <c r="E230" s="376">
        <v>2308.320812211792</v>
      </c>
      <c r="F230" s="347">
        <v>7674.765649657616</v>
      </c>
      <c r="G230" s="376">
        <v>268791.68714201165</v>
      </c>
      <c r="H230" s="376">
        <v>37255.82306102317</v>
      </c>
      <c r="I230" s="376">
        <v>51375.80570992752</v>
      </c>
      <c r="J230" s="347">
        <v>35379.152899624234</v>
      </c>
      <c r="K230" s="376">
        <v>20204.974546238478</v>
      </c>
      <c r="L230" s="427">
        <f t="shared" si="36"/>
        <v>422990.52982069453</v>
      </c>
    </row>
    <row r="231" spans="2:12" ht="12.75">
      <c r="B231" s="432" t="s">
        <v>63</v>
      </c>
      <c r="C231" s="350" t="s">
        <v>133</v>
      </c>
      <c r="D231" s="348"/>
      <c r="E231" s="376">
        <v>2636.3691644630394</v>
      </c>
      <c r="F231" s="347">
        <v>10161.046326458136</v>
      </c>
      <c r="G231" s="376">
        <v>191196.71002879302</v>
      </c>
      <c r="H231" s="376">
        <v>28823.624441117692</v>
      </c>
      <c r="I231" s="376">
        <v>33472.25144275866</v>
      </c>
      <c r="J231" s="347">
        <v>23087.28494171986</v>
      </c>
      <c r="K231" s="376">
        <v>8091.363628983972</v>
      </c>
      <c r="L231" s="427">
        <f t="shared" si="36"/>
        <v>297468.64997429436</v>
      </c>
    </row>
    <row r="232" spans="2:12" ht="12.75">
      <c r="B232" s="432" t="s">
        <v>64</v>
      </c>
      <c r="C232" s="350" t="s">
        <v>134</v>
      </c>
      <c r="D232" s="348"/>
      <c r="E232" s="376">
        <v>2151.406887397416</v>
      </c>
      <c r="F232" s="347">
        <v>7042.07168007487</v>
      </c>
      <c r="G232" s="376">
        <v>47102.361757951134</v>
      </c>
      <c r="H232" s="376">
        <v>10786.511078098554</v>
      </c>
      <c r="I232" s="376">
        <v>22227.380200100575</v>
      </c>
      <c r="J232" s="347">
        <v>10416.730024250102</v>
      </c>
      <c r="K232" s="376">
        <v>2556.3535366015867</v>
      </c>
      <c r="L232" s="427">
        <f t="shared" si="36"/>
        <v>102282.81516447425</v>
      </c>
    </row>
    <row r="233" spans="2:12" ht="12.75">
      <c r="B233" s="432" t="s">
        <v>65</v>
      </c>
      <c r="C233" s="350" t="s">
        <v>135</v>
      </c>
      <c r="D233" s="348"/>
      <c r="E233" s="376">
        <v>2470.2433316187703</v>
      </c>
      <c r="F233" s="347">
        <v>17193.118392229993</v>
      </c>
      <c r="G233" s="376">
        <v>52412.65019909815</v>
      </c>
      <c r="H233" s="376">
        <v>12442.164544444946</v>
      </c>
      <c r="I233" s="376">
        <v>24533.729001547195</v>
      </c>
      <c r="J233" s="347">
        <v>10305.85805309809</v>
      </c>
      <c r="K233" s="376">
        <v>1818.1732378913077</v>
      </c>
      <c r="L233" s="427">
        <f t="shared" si="36"/>
        <v>121175.93675992847</v>
      </c>
    </row>
    <row r="234" spans="2:12" ht="12.75">
      <c r="B234" s="432" t="s">
        <v>66</v>
      </c>
      <c r="C234" s="350" t="s">
        <v>136</v>
      </c>
      <c r="D234" s="348"/>
      <c r="E234" s="376">
        <v>1599.4688859203445</v>
      </c>
      <c r="F234" s="347">
        <v>1869.114671038791</v>
      </c>
      <c r="G234" s="376">
        <v>111390.02779593639</v>
      </c>
      <c r="H234" s="376">
        <v>16396.14143342691</v>
      </c>
      <c r="I234" s="376">
        <v>16930.249591576354</v>
      </c>
      <c r="J234" s="347">
        <v>11332.977903431849</v>
      </c>
      <c r="K234" s="376">
        <v>3357.3317589559815</v>
      </c>
      <c r="L234" s="427">
        <f t="shared" si="36"/>
        <v>162875.31204028663</v>
      </c>
    </row>
    <row r="235" spans="2:12" ht="12.75">
      <c r="B235" s="432" t="s">
        <v>67</v>
      </c>
      <c r="C235" s="350" t="s">
        <v>137</v>
      </c>
      <c r="D235" s="348"/>
      <c r="E235" s="376">
        <v>3522.876943188307</v>
      </c>
      <c r="F235" s="347">
        <v>8554.213923592342</v>
      </c>
      <c r="G235" s="376">
        <v>82263.23918386798</v>
      </c>
      <c r="H235" s="376">
        <v>17391.78902850233</v>
      </c>
      <c r="I235" s="376">
        <v>37802.27173481278</v>
      </c>
      <c r="J235" s="347">
        <v>15391.04576705799</v>
      </c>
      <c r="K235" s="376">
        <v>3518.865322983369</v>
      </c>
      <c r="L235" s="427">
        <f t="shared" si="36"/>
        <v>168444.30190400506</v>
      </c>
    </row>
    <row r="236" spans="2:12" ht="12.75">
      <c r="B236" s="432" t="s">
        <v>68</v>
      </c>
      <c r="C236" s="350" t="s">
        <v>138</v>
      </c>
      <c r="D236" s="348"/>
      <c r="E236" s="376">
        <v>2076.610511190055</v>
      </c>
      <c r="F236" s="347">
        <v>5345.750220182023</v>
      </c>
      <c r="G236" s="376">
        <v>89090.1926242348</v>
      </c>
      <c r="H236" s="376">
        <v>15488.826953624271</v>
      </c>
      <c r="I236" s="376">
        <v>25771.770729622163</v>
      </c>
      <c r="J236" s="347">
        <v>14173.15534009944</v>
      </c>
      <c r="K236" s="376">
        <v>4669.483291163662</v>
      </c>
      <c r="L236" s="427">
        <f t="shared" si="36"/>
        <v>156615.78967011644</v>
      </c>
    </row>
    <row r="237" spans="2:12" ht="12.75">
      <c r="B237" s="432" t="s">
        <v>69</v>
      </c>
      <c r="C237" s="350" t="s">
        <v>139</v>
      </c>
      <c r="D237" s="348"/>
      <c r="E237" s="376">
        <v>1343.2682563891046</v>
      </c>
      <c r="F237" s="347">
        <v>1490.6732072055347</v>
      </c>
      <c r="G237" s="376">
        <v>86526.82774374279</v>
      </c>
      <c r="H237" s="376">
        <v>13480.91570820327</v>
      </c>
      <c r="I237" s="376">
        <v>16349.45192142059</v>
      </c>
      <c r="J237" s="347">
        <v>11474.91894146326</v>
      </c>
      <c r="K237" s="376">
        <v>3244.5410199805447</v>
      </c>
      <c r="L237" s="427">
        <f t="shared" si="36"/>
        <v>133910.5967984051</v>
      </c>
    </row>
    <row r="238" spans="2:12" ht="12.75">
      <c r="B238" s="432" t="s">
        <v>70</v>
      </c>
      <c r="C238" s="350" t="s">
        <v>140</v>
      </c>
      <c r="D238" s="348"/>
      <c r="E238" s="376">
        <v>1593.5708139338146</v>
      </c>
      <c r="F238" s="347">
        <v>11630.687995070988</v>
      </c>
      <c r="G238" s="376">
        <v>96681.18984225097</v>
      </c>
      <c r="H238" s="376">
        <v>16999.709235989278</v>
      </c>
      <c r="I238" s="376">
        <v>26578.86131972221</v>
      </c>
      <c r="J238" s="347">
        <v>20080.31966970112</v>
      </c>
      <c r="K238" s="376">
        <v>8517.721226273785</v>
      </c>
      <c r="L238" s="427">
        <f t="shared" si="36"/>
        <v>182082.06010294217</v>
      </c>
    </row>
    <row r="239" spans="2:12" ht="12.75">
      <c r="B239" s="432" t="s">
        <v>71</v>
      </c>
      <c r="C239" s="350" t="s">
        <v>141</v>
      </c>
      <c r="D239" s="348"/>
      <c r="E239" s="376">
        <v>1637.837690864149</v>
      </c>
      <c r="F239" s="347">
        <v>9702.567054688121</v>
      </c>
      <c r="G239" s="376">
        <v>163906.66775828632</v>
      </c>
      <c r="H239" s="376">
        <v>27442.37026109404</v>
      </c>
      <c r="I239" s="376">
        <v>23081.612452792393</v>
      </c>
      <c r="J239" s="347">
        <v>21958.310680452618</v>
      </c>
      <c r="K239" s="376">
        <v>11805.72136397406</v>
      </c>
      <c r="L239" s="427">
        <f t="shared" si="36"/>
        <v>259535.0872621517</v>
      </c>
    </row>
    <row r="240" spans="2:12" ht="12.75">
      <c r="B240" s="432" t="s">
        <v>72</v>
      </c>
      <c r="C240" s="350" t="s">
        <v>142</v>
      </c>
      <c r="D240" s="348"/>
      <c r="E240" s="376">
        <v>1765.9211600615333</v>
      </c>
      <c r="F240" s="347">
        <v>2702.699008564539</v>
      </c>
      <c r="G240" s="376">
        <v>114504.02210727229</v>
      </c>
      <c r="H240" s="376">
        <v>14597.866911549985</v>
      </c>
      <c r="I240" s="376">
        <v>19821.029270104824</v>
      </c>
      <c r="J240" s="347">
        <v>11749.978230191318</v>
      </c>
      <c r="K240" s="376">
        <v>2937.5750351539327</v>
      </c>
      <c r="L240" s="427">
        <f t="shared" si="36"/>
        <v>168079.09172289845</v>
      </c>
    </row>
    <row r="241" spans="2:12" ht="12.75">
      <c r="B241" s="432" t="s">
        <v>74</v>
      </c>
      <c r="C241" s="350" t="s">
        <v>143</v>
      </c>
      <c r="D241" s="348"/>
      <c r="E241" s="376">
        <v>3295.590116070622</v>
      </c>
      <c r="F241" s="347">
        <v>9047.874286215048</v>
      </c>
      <c r="G241" s="376">
        <v>77281.96413015839</v>
      </c>
      <c r="H241" s="376">
        <v>17046.83576861748</v>
      </c>
      <c r="I241" s="376">
        <v>37835.79054986195</v>
      </c>
      <c r="J241" s="347">
        <v>16581.387294813558</v>
      </c>
      <c r="K241" s="376">
        <v>3947.9814193074676</v>
      </c>
      <c r="L241" s="427">
        <f t="shared" si="36"/>
        <v>165037.4235650445</v>
      </c>
    </row>
    <row r="242" spans="2:12" ht="12.75">
      <c r="B242" s="432" t="s">
        <v>75</v>
      </c>
      <c r="C242" s="350" t="s">
        <v>144</v>
      </c>
      <c r="D242" s="348"/>
      <c r="E242" s="376">
        <v>764.4398222291026</v>
      </c>
      <c r="F242" s="347">
        <v>1284.8568653994928</v>
      </c>
      <c r="G242" s="376">
        <v>78324.31994593391</v>
      </c>
      <c r="H242" s="376">
        <v>10912.212351178161</v>
      </c>
      <c r="I242" s="376">
        <v>12980.441926344942</v>
      </c>
      <c r="J242" s="347">
        <v>8284.79849475704</v>
      </c>
      <c r="K242" s="376">
        <v>2360.4101168997186</v>
      </c>
      <c r="L242" s="427">
        <f t="shared" si="36"/>
        <v>114911.47952274235</v>
      </c>
    </row>
    <row r="243" spans="2:12" ht="12.75">
      <c r="B243" s="432" t="s">
        <v>76</v>
      </c>
      <c r="C243" s="350" t="s">
        <v>145</v>
      </c>
      <c r="D243" s="348"/>
      <c r="E243" s="376">
        <v>2851.7743625443854</v>
      </c>
      <c r="F243" s="347">
        <v>10126.776819591581</v>
      </c>
      <c r="G243" s="376">
        <v>80465.67998129434</v>
      </c>
      <c r="H243" s="376">
        <v>18949.325192879838</v>
      </c>
      <c r="I243" s="376">
        <v>21761.311131720708</v>
      </c>
      <c r="J243" s="347">
        <v>21616.238096694895</v>
      </c>
      <c r="K243" s="376">
        <v>5529.384068880589</v>
      </c>
      <c r="L243" s="427">
        <f t="shared" si="36"/>
        <v>161300.48965360635</v>
      </c>
    </row>
    <row r="244" spans="2:12" ht="12.75">
      <c r="B244" s="432" t="s">
        <v>77</v>
      </c>
      <c r="C244" s="350" t="s">
        <v>146</v>
      </c>
      <c r="D244" s="348"/>
      <c r="E244" s="376">
        <v>1332.7783797374902</v>
      </c>
      <c r="F244" s="347">
        <v>9783.955905026669</v>
      </c>
      <c r="G244" s="376">
        <v>107647.5829298546</v>
      </c>
      <c r="H244" s="376">
        <v>18892.625156028964</v>
      </c>
      <c r="I244" s="376">
        <v>21064.304346245026</v>
      </c>
      <c r="J244" s="347">
        <v>16201.338766514877</v>
      </c>
      <c r="K244" s="376">
        <v>6176.6948418176935</v>
      </c>
      <c r="L244" s="427">
        <f t="shared" si="36"/>
        <v>181099.2803252253</v>
      </c>
    </row>
    <row r="245" spans="2:12" ht="12.75">
      <c r="B245" s="432" t="s">
        <v>78</v>
      </c>
      <c r="C245" s="350" t="s">
        <v>147</v>
      </c>
      <c r="D245" s="348"/>
      <c r="E245" s="376">
        <v>3310.876865558084</v>
      </c>
      <c r="F245" s="347">
        <v>5696.976084655894</v>
      </c>
      <c r="G245" s="376">
        <v>99222.1598089088</v>
      </c>
      <c r="H245" s="376">
        <v>18674.4801077084</v>
      </c>
      <c r="I245" s="376">
        <v>26161.52137404246</v>
      </c>
      <c r="J245" s="347">
        <v>15689.783464979164</v>
      </c>
      <c r="K245" s="376">
        <v>3867.9202643671674</v>
      </c>
      <c r="L245" s="427">
        <f t="shared" si="36"/>
        <v>172623.71797021996</v>
      </c>
    </row>
    <row r="246" spans="2:12" ht="13.5" thickBot="1">
      <c r="B246" s="432" t="s">
        <v>79</v>
      </c>
      <c r="C246" s="350" t="s">
        <v>148</v>
      </c>
      <c r="D246" s="348"/>
      <c r="E246" s="376">
        <v>5442.8271719477925</v>
      </c>
      <c r="F246" s="347">
        <v>41123.171112659045</v>
      </c>
      <c r="G246" s="376">
        <v>97347.93287006485</v>
      </c>
      <c r="H246" s="376">
        <v>24352.825952502903</v>
      </c>
      <c r="I246" s="376">
        <v>68170.23543697322</v>
      </c>
      <c r="J246" s="347">
        <v>20616.401215535665</v>
      </c>
      <c r="K246" s="376">
        <v>4588.614320606239</v>
      </c>
      <c r="L246" s="427">
        <f t="shared" si="36"/>
        <v>261642.0080802897</v>
      </c>
    </row>
    <row r="247" spans="2:12" ht="13.5" thickBot="1">
      <c r="B247" s="428" t="s">
        <v>166</v>
      </c>
      <c r="C247" s="732"/>
      <c r="D247" s="745"/>
      <c r="E247" s="346">
        <f aca="true" t="shared" si="37" ref="E247:L247">SUM(E214:E246)</f>
        <v>69595.26701587405</v>
      </c>
      <c r="F247" s="346">
        <f t="shared" si="37"/>
        <v>254329.68525872772</v>
      </c>
      <c r="G247" s="346">
        <f t="shared" si="37"/>
        <v>3857558.319420997</v>
      </c>
      <c r="H247" s="345">
        <f t="shared" si="37"/>
        <v>655544.2115107139</v>
      </c>
      <c r="I247" s="346">
        <f t="shared" si="37"/>
        <v>904682.1610298408</v>
      </c>
      <c r="J247" s="429">
        <f t="shared" si="37"/>
        <v>580014.5651421106</v>
      </c>
      <c r="K247" s="346">
        <f t="shared" si="37"/>
        <v>298494.61543590925</v>
      </c>
      <c r="L247" s="344">
        <f t="shared" si="37"/>
        <v>6620218.824814172</v>
      </c>
    </row>
    <row r="248" spans="2:19" ht="12.75">
      <c r="B248" s="268"/>
      <c r="C248" s="268"/>
      <c r="R248" s="425"/>
      <c r="S248" s="425"/>
    </row>
    <row r="249" spans="2:20" ht="21">
      <c r="B249" s="267" t="s">
        <v>323</v>
      </c>
      <c r="C249" s="267" t="s">
        <v>379</v>
      </c>
      <c r="E249" s="449"/>
      <c r="F249" s="449"/>
      <c r="G249" s="449"/>
      <c r="H249" s="449"/>
      <c r="I249" s="450"/>
      <c r="J249" s="450"/>
      <c r="K249" s="449"/>
      <c r="L249" s="449"/>
      <c r="M249" s="450"/>
      <c r="N249" s="450"/>
      <c r="T249" s="343"/>
    </row>
    <row r="250" spans="2:19" ht="21.75" thickBot="1">
      <c r="B250" s="267"/>
      <c r="C250" s="267"/>
      <c r="E250" s="449"/>
      <c r="F250" s="449"/>
      <c r="G250" s="449"/>
      <c r="H250" s="449"/>
      <c r="I250" s="450"/>
      <c r="J250" s="450"/>
      <c r="K250" s="449"/>
      <c r="L250" s="449"/>
      <c r="M250" s="450"/>
      <c r="N250" s="450"/>
      <c r="S250" s="343"/>
    </row>
    <row r="251" spans="2:18" ht="12.75">
      <c r="B251" s="434" t="s">
        <v>111</v>
      </c>
      <c r="C251" s="360" t="s">
        <v>112</v>
      </c>
      <c r="D251" s="359" t="s">
        <v>113</v>
      </c>
      <c r="E251" s="701" t="s">
        <v>283</v>
      </c>
      <c r="F251" s="702"/>
      <c r="G251" s="702"/>
      <c r="H251" s="702"/>
      <c r="I251" s="702"/>
      <c r="J251" s="702"/>
      <c r="K251" s="702"/>
      <c r="L251" s="702"/>
      <c r="M251" s="702"/>
      <c r="N251" s="702"/>
      <c r="O251" s="767" t="s">
        <v>89</v>
      </c>
      <c r="P251" s="768"/>
      <c r="Q251" s="768"/>
      <c r="R251" s="769"/>
    </row>
    <row r="252" spans="2:18" ht="25.5">
      <c r="B252" s="435"/>
      <c r="C252" s="358"/>
      <c r="D252" s="357"/>
      <c r="E252" s="474" t="s">
        <v>325</v>
      </c>
      <c r="F252" s="356" t="s">
        <v>324</v>
      </c>
      <c r="G252" s="356" t="s">
        <v>326</v>
      </c>
      <c r="H252" s="356" t="s">
        <v>327</v>
      </c>
      <c r="I252" s="356" t="s">
        <v>329</v>
      </c>
      <c r="J252" s="356" t="s">
        <v>328</v>
      </c>
      <c r="K252" s="356" t="s">
        <v>330</v>
      </c>
      <c r="L252" s="356" t="s">
        <v>331</v>
      </c>
      <c r="M252" s="356" t="s">
        <v>332</v>
      </c>
      <c r="N252" s="421" t="s">
        <v>333</v>
      </c>
      <c r="O252" s="770"/>
      <c r="P252" s="771"/>
      <c r="Q252" s="771"/>
      <c r="R252" s="772"/>
    </row>
    <row r="253" spans="2:18" ht="13.5" thickBot="1">
      <c r="B253" s="431"/>
      <c r="C253" s="355"/>
      <c r="D253" s="354"/>
      <c r="E253" s="353" t="s">
        <v>282</v>
      </c>
      <c r="F253" s="353" t="s">
        <v>282</v>
      </c>
      <c r="G253" s="353" t="s">
        <v>282</v>
      </c>
      <c r="H253" s="353" t="s">
        <v>282</v>
      </c>
      <c r="I253" s="353" t="s">
        <v>282</v>
      </c>
      <c r="J253" s="353" t="s">
        <v>282</v>
      </c>
      <c r="K253" s="353" t="s">
        <v>282</v>
      </c>
      <c r="L253" s="353" t="s">
        <v>282</v>
      </c>
      <c r="M253" s="353" t="s">
        <v>282</v>
      </c>
      <c r="N253" s="352" t="s">
        <v>282</v>
      </c>
      <c r="O253" s="378" t="s">
        <v>334</v>
      </c>
      <c r="P253" s="377" t="s">
        <v>335</v>
      </c>
      <c r="Q253" s="521" t="s">
        <v>360</v>
      </c>
      <c r="R253" s="521" t="s">
        <v>3</v>
      </c>
    </row>
    <row r="254" spans="2:18" ht="12.75">
      <c r="B254" s="432" t="s">
        <v>46</v>
      </c>
      <c r="C254" s="350" t="s">
        <v>114</v>
      </c>
      <c r="D254" s="348"/>
      <c r="E254" s="448">
        <v>324368.7733407143</v>
      </c>
      <c r="F254" s="448">
        <v>495731.9999420723</v>
      </c>
      <c r="G254" s="448">
        <v>22750699.987863023</v>
      </c>
      <c r="H254" s="448">
        <v>10768401.0220624</v>
      </c>
      <c r="I254" s="448">
        <v>128545.45015658322</v>
      </c>
      <c r="J254" s="448">
        <v>5379848.1723650135</v>
      </c>
      <c r="K254" s="448">
        <v>3625734.0031745504</v>
      </c>
      <c r="L254" s="448">
        <v>860377.2852051166</v>
      </c>
      <c r="M254" s="448">
        <v>6637862.0039625345</v>
      </c>
      <c r="N254" s="347">
        <v>3314736.6108964244</v>
      </c>
      <c r="O254" s="522">
        <f>K254+M254+N254+F254+H254+J254+L254</f>
        <v>31082691.097608116</v>
      </c>
      <c r="P254" s="444">
        <f>E254+G254+I254</f>
        <v>23203614.21136032</v>
      </c>
      <c r="Q254" s="477">
        <f aca="true" t="shared" si="38" ref="Q254:Q286">SUM(E254:N254)</f>
        <v>54286305.308968425</v>
      </c>
      <c r="R254" s="427">
        <f aca="true" t="shared" si="39" ref="R254:R286">((E254+G254+I254)*$C$290)+((F254+H254+J254+K254+L254+M254+N254)*$C$291)</f>
        <v>547590499.221433</v>
      </c>
    </row>
    <row r="255" spans="2:18" ht="12.75">
      <c r="B255" s="432" t="s">
        <v>47</v>
      </c>
      <c r="C255" s="350" t="s">
        <v>115</v>
      </c>
      <c r="D255" s="348"/>
      <c r="E255" s="376">
        <v>1227882.006035659</v>
      </c>
      <c r="F255" s="376">
        <v>3762448.3322981973</v>
      </c>
      <c r="G255" s="376">
        <v>71036180.21634819</v>
      </c>
      <c r="H255" s="376">
        <v>33475284.039344523</v>
      </c>
      <c r="I255" s="376">
        <v>372826.40611516335</v>
      </c>
      <c r="J255" s="376">
        <v>16199961.004617035</v>
      </c>
      <c r="K255" s="376">
        <v>10469949.85280318</v>
      </c>
      <c r="L255" s="376">
        <v>3974116.9188400703</v>
      </c>
      <c r="M255" s="376">
        <v>12314356.696880274</v>
      </c>
      <c r="N255" s="347">
        <v>5560890.0921299225</v>
      </c>
      <c r="O255" s="522">
        <f aca="true" t="shared" si="40" ref="O255:O286">K255+M255+N255+F255+H255+J255+L255</f>
        <v>85757006.93691319</v>
      </c>
      <c r="P255" s="444">
        <f aca="true" t="shared" si="41" ref="P255:P286">E255+G255+I255</f>
        <v>72636888.628499</v>
      </c>
      <c r="Q255" s="361">
        <f t="shared" si="38"/>
        <v>158393895.56541222</v>
      </c>
      <c r="R255" s="427">
        <f t="shared" si="39"/>
        <v>1591811026.6391704</v>
      </c>
    </row>
    <row r="256" spans="2:18" ht="12.75">
      <c r="B256" s="432" t="s">
        <v>48</v>
      </c>
      <c r="C256" s="350" t="s">
        <v>118</v>
      </c>
      <c r="D256" s="348"/>
      <c r="E256" s="376">
        <v>570891.6829407794</v>
      </c>
      <c r="F256" s="376">
        <v>722608.4062773356</v>
      </c>
      <c r="G256" s="376">
        <v>34632958.39049009</v>
      </c>
      <c r="H256" s="376">
        <v>16357549.838350872</v>
      </c>
      <c r="I256" s="376">
        <v>189580.33954915794</v>
      </c>
      <c r="J256" s="376">
        <v>8094050.576609407</v>
      </c>
      <c r="K256" s="376">
        <v>5104590.11720126</v>
      </c>
      <c r="L256" s="376">
        <v>1987171.9386275532</v>
      </c>
      <c r="M256" s="376">
        <v>5818963.727230042</v>
      </c>
      <c r="N256" s="347">
        <v>2958393.3920960114</v>
      </c>
      <c r="O256" s="522">
        <f t="shared" si="40"/>
        <v>41043327.99639249</v>
      </c>
      <c r="P256" s="444">
        <f t="shared" si="41"/>
        <v>35393430.412980035</v>
      </c>
      <c r="Q256" s="361">
        <f t="shared" si="38"/>
        <v>76436758.40937251</v>
      </c>
      <c r="R256" s="427">
        <f t="shared" si="39"/>
        <v>767757522.6437726</v>
      </c>
    </row>
    <row r="257" spans="2:18" ht="12.75">
      <c r="B257" s="432" t="s">
        <v>49</v>
      </c>
      <c r="C257" s="350" t="s">
        <v>119</v>
      </c>
      <c r="D257" s="348"/>
      <c r="E257" s="376">
        <v>681003.0795091828</v>
      </c>
      <c r="F257" s="376">
        <v>2778583.168560755</v>
      </c>
      <c r="G257" s="376">
        <v>35821576.391841695</v>
      </c>
      <c r="H257" s="376">
        <v>16922548.18682091</v>
      </c>
      <c r="I257" s="376">
        <v>188267.22697193705</v>
      </c>
      <c r="J257" s="376">
        <v>7649029.576879092</v>
      </c>
      <c r="K257" s="376">
        <v>8765288.50042538</v>
      </c>
      <c r="L257" s="376">
        <v>1674960.239088274</v>
      </c>
      <c r="M257" s="376">
        <v>7061269.069221028</v>
      </c>
      <c r="N257" s="347">
        <v>2692339.3138116067</v>
      </c>
      <c r="O257" s="522">
        <f t="shared" si="40"/>
        <v>47544018.054807045</v>
      </c>
      <c r="P257" s="444">
        <f t="shared" si="41"/>
        <v>36690846.69832282</v>
      </c>
      <c r="Q257" s="361">
        <f t="shared" si="38"/>
        <v>84234864.75312985</v>
      </c>
      <c r="R257" s="427">
        <f t="shared" si="39"/>
        <v>848860550.3451891</v>
      </c>
    </row>
    <row r="258" spans="2:18" ht="12.75">
      <c r="B258" s="432" t="s">
        <v>50</v>
      </c>
      <c r="C258" s="350" t="s">
        <v>120</v>
      </c>
      <c r="D258" s="348"/>
      <c r="E258" s="376">
        <v>814657.0145100898</v>
      </c>
      <c r="F258" s="376">
        <v>991133.5984891712</v>
      </c>
      <c r="G258" s="376">
        <v>49351090.772154614</v>
      </c>
      <c r="H258" s="376">
        <v>23626990.194889937</v>
      </c>
      <c r="I258" s="376">
        <v>248106.96675421827</v>
      </c>
      <c r="J258" s="376">
        <v>10209959.017830051</v>
      </c>
      <c r="K258" s="376">
        <v>7066173.984348047</v>
      </c>
      <c r="L258" s="376">
        <v>2203443.181959948</v>
      </c>
      <c r="M258" s="376">
        <v>6599023.01459886</v>
      </c>
      <c r="N258" s="347">
        <v>2034059.0356918564</v>
      </c>
      <c r="O258" s="522">
        <f t="shared" si="40"/>
        <v>52730782.02780787</v>
      </c>
      <c r="P258" s="444">
        <f t="shared" si="41"/>
        <v>50413854.75341892</v>
      </c>
      <c r="Q258" s="361">
        <f t="shared" si="38"/>
        <v>103144636.78122677</v>
      </c>
      <c r="R258" s="427">
        <f t="shared" si="39"/>
        <v>1032836524.1769013</v>
      </c>
    </row>
    <row r="259" spans="2:18" ht="12.75">
      <c r="B259" s="432" t="s">
        <v>51</v>
      </c>
      <c r="C259" s="350" t="s">
        <v>121</v>
      </c>
      <c r="D259" s="348"/>
      <c r="E259" s="376">
        <v>1271698.0957405372</v>
      </c>
      <c r="F259" s="376">
        <v>4892288.447034937</v>
      </c>
      <c r="G259" s="376">
        <v>22217630.728628926</v>
      </c>
      <c r="H259" s="376">
        <v>10207755.955001842</v>
      </c>
      <c r="I259" s="376">
        <v>150621.73338937116</v>
      </c>
      <c r="J259" s="376">
        <v>5980542.271570773</v>
      </c>
      <c r="K259" s="376">
        <v>10415927.040516885</v>
      </c>
      <c r="L259" s="376">
        <v>1685310.7729552838</v>
      </c>
      <c r="M259" s="376">
        <v>5370921.711701072</v>
      </c>
      <c r="N259" s="347">
        <v>1314221.7684534837</v>
      </c>
      <c r="O259" s="522">
        <f t="shared" si="40"/>
        <v>39866967.967234276</v>
      </c>
      <c r="P259" s="444">
        <f t="shared" si="41"/>
        <v>23639950.557758834</v>
      </c>
      <c r="Q259" s="361">
        <f t="shared" si="38"/>
        <v>63506918.524993114</v>
      </c>
      <c r="R259" s="427">
        <f t="shared" si="39"/>
        <v>644805395.6956164</v>
      </c>
    </row>
    <row r="260" spans="2:18" ht="12.75">
      <c r="B260" s="432" t="s">
        <v>52</v>
      </c>
      <c r="C260" s="350" t="s">
        <v>122</v>
      </c>
      <c r="D260" s="348"/>
      <c r="E260" s="376">
        <v>698552.4686081822</v>
      </c>
      <c r="F260" s="376">
        <v>3512796.216526754</v>
      </c>
      <c r="G260" s="376">
        <v>4353353.735566312</v>
      </c>
      <c r="H260" s="376">
        <v>1947336.84850426</v>
      </c>
      <c r="I260" s="376">
        <v>54461.715559831064</v>
      </c>
      <c r="J260" s="376">
        <v>2160193.002584698</v>
      </c>
      <c r="K260" s="376">
        <v>4631470.524622525</v>
      </c>
      <c r="L260" s="376">
        <v>1240041.3616353848</v>
      </c>
      <c r="M260" s="376">
        <v>2144635.394562692</v>
      </c>
      <c r="N260" s="347">
        <v>348199.89947224595</v>
      </c>
      <c r="O260" s="522">
        <f t="shared" si="40"/>
        <v>15984673.24790856</v>
      </c>
      <c r="P260" s="444">
        <f t="shared" si="41"/>
        <v>5106367.919734325</v>
      </c>
      <c r="Q260" s="361">
        <f t="shared" si="38"/>
        <v>21091041.167642884</v>
      </c>
      <c r="R260" s="427">
        <f t="shared" si="39"/>
        <v>217437394.8733334</v>
      </c>
    </row>
    <row r="261" spans="2:18" ht="12.75">
      <c r="B261" s="432" t="s">
        <v>53</v>
      </c>
      <c r="C261" s="350" t="s">
        <v>123</v>
      </c>
      <c r="D261" s="348"/>
      <c r="E261" s="376">
        <v>745849.7327356753</v>
      </c>
      <c r="F261" s="376">
        <v>925099.4164212329</v>
      </c>
      <c r="G261" s="376">
        <v>43972608.08492724</v>
      </c>
      <c r="H261" s="376">
        <v>20956231.97175406</v>
      </c>
      <c r="I261" s="376">
        <v>220114.48886277803</v>
      </c>
      <c r="J261" s="376">
        <v>8865612.73260118</v>
      </c>
      <c r="K261" s="376">
        <v>8753084.304645875</v>
      </c>
      <c r="L261" s="376">
        <v>2262358.885949324</v>
      </c>
      <c r="M261" s="376">
        <v>7401154.446500008</v>
      </c>
      <c r="N261" s="347">
        <v>2397201.188513884</v>
      </c>
      <c r="O261" s="522">
        <f t="shared" si="40"/>
        <v>51560742.94638556</v>
      </c>
      <c r="P261" s="444">
        <f t="shared" si="41"/>
        <v>44938572.30652569</v>
      </c>
      <c r="Q261" s="361">
        <f t="shared" si="38"/>
        <v>96499315.25291125</v>
      </c>
      <c r="R261" s="427">
        <f t="shared" si="39"/>
        <v>968966454.9130285</v>
      </c>
    </row>
    <row r="262" spans="2:18" ht="12.75">
      <c r="B262" s="432" t="s">
        <v>54</v>
      </c>
      <c r="C262" s="350" t="s">
        <v>124</v>
      </c>
      <c r="D262" s="348"/>
      <c r="E262" s="376">
        <v>1033983.86911838</v>
      </c>
      <c r="F262" s="376">
        <v>2401182.684130734</v>
      </c>
      <c r="G262" s="376">
        <v>49894088.214643985</v>
      </c>
      <c r="H262" s="376">
        <v>23472247.3936458</v>
      </c>
      <c r="I262" s="376">
        <v>276395.0217833216</v>
      </c>
      <c r="J262" s="376">
        <v>11411537.405356096</v>
      </c>
      <c r="K262" s="376">
        <v>8881448.317780213</v>
      </c>
      <c r="L262" s="376">
        <v>2817451.5174239445</v>
      </c>
      <c r="M262" s="376">
        <v>10274828.916061152</v>
      </c>
      <c r="N262" s="347">
        <v>4334028.00792805</v>
      </c>
      <c r="O262" s="522">
        <f t="shared" si="40"/>
        <v>63592724.24232599</v>
      </c>
      <c r="P262" s="444">
        <f t="shared" si="41"/>
        <v>51204467.105545685</v>
      </c>
      <c r="Q262" s="361">
        <f t="shared" si="38"/>
        <v>114797191.34787166</v>
      </c>
      <c r="R262" s="427">
        <f t="shared" si="39"/>
        <v>1155404867.7607849</v>
      </c>
    </row>
    <row r="263" spans="2:18" ht="12.75">
      <c r="B263" s="432" t="s">
        <v>55</v>
      </c>
      <c r="C263" s="350" t="s">
        <v>125</v>
      </c>
      <c r="D263" s="348"/>
      <c r="E263" s="376">
        <v>749510.091857826</v>
      </c>
      <c r="F263" s="376">
        <v>2618326.925550593</v>
      </c>
      <c r="G263" s="376">
        <v>56018640.47536991</v>
      </c>
      <c r="H263" s="376">
        <v>30884902.681108665</v>
      </c>
      <c r="I263" s="376">
        <v>370905.7277835113</v>
      </c>
      <c r="J263" s="376">
        <v>13725398.453913303</v>
      </c>
      <c r="K263" s="376">
        <v>7257045.328842988</v>
      </c>
      <c r="L263" s="376">
        <v>2651396.950256315</v>
      </c>
      <c r="M263" s="376">
        <v>12834148.210193507</v>
      </c>
      <c r="N263" s="347">
        <v>19165489.984843478</v>
      </c>
      <c r="O263" s="522">
        <f t="shared" si="40"/>
        <v>89136708.53470886</v>
      </c>
      <c r="P263" s="444">
        <f t="shared" si="41"/>
        <v>57139056.295011245</v>
      </c>
      <c r="Q263" s="361">
        <f t="shared" si="38"/>
        <v>146275764.82972008</v>
      </c>
      <c r="R263" s="427">
        <f t="shared" si="39"/>
        <v>1481956239.6410193</v>
      </c>
    </row>
    <row r="264" spans="2:18" ht="12.75">
      <c r="B264" s="432" t="s">
        <v>56</v>
      </c>
      <c r="C264" s="350" t="s">
        <v>126</v>
      </c>
      <c r="D264" s="348"/>
      <c r="E264" s="376">
        <v>993585.1172065617</v>
      </c>
      <c r="F264" s="376">
        <v>3228402.6050519827</v>
      </c>
      <c r="G264" s="376">
        <v>35981268.205165096</v>
      </c>
      <c r="H264" s="376">
        <v>17009874.03053823</v>
      </c>
      <c r="I264" s="376">
        <v>223993.6846726912</v>
      </c>
      <c r="J264" s="376">
        <v>9306473.45375946</v>
      </c>
      <c r="K264" s="376">
        <v>8624089.683488984</v>
      </c>
      <c r="L264" s="376">
        <v>2424220.955804687</v>
      </c>
      <c r="M264" s="376">
        <v>8000732.895952856</v>
      </c>
      <c r="N264" s="347">
        <v>2790431.0955875376</v>
      </c>
      <c r="O264" s="522">
        <f t="shared" si="40"/>
        <v>51384224.720183745</v>
      </c>
      <c r="P264" s="444">
        <f t="shared" si="41"/>
        <v>37198847.007044345</v>
      </c>
      <c r="Q264" s="361">
        <f t="shared" si="38"/>
        <v>88583071.72722809</v>
      </c>
      <c r="R264" s="427">
        <f t="shared" si="39"/>
        <v>894341943.9001644</v>
      </c>
    </row>
    <row r="265" spans="2:18" ht="12.75">
      <c r="B265" s="432" t="s">
        <v>57</v>
      </c>
      <c r="C265" s="350" t="s">
        <v>127</v>
      </c>
      <c r="D265" s="348"/>
      <c r="E265" s="376">
        <v>741568.9355641674</v>
      </c>
      <c r="F265" s="376">
        <v>2325753.3912654016</v>
      </c>
      <c r="G265" s="376">
        <v>17244650.512934532</v>
      </c>
      <c r="H265" s="376">
        <v>8050001.042721029</v>
      </c>
      <c r="I265" s="376">
        <v>121513.34597685903</v>
      </c>
      <c r="J265" s="376">
        <v>4896477.999691505</v>
      </c>
      <c r="K265" s="376">
        <v>9147319.144620927</v>
      </c>
      <c r="L265" s="376">
        <v>1031118.1373582464</v>
      </c>
      <c r="M265" s="376">
        <v>4636213.097316328</v>
      </c>
      <c r="N265" s="347">
        <v>1112298.9507490753</v>
      </c>
      <c r="O265" s="522">
        <f t="shared" si="40"/>
        <v>31199181.763722517</v>
      </c>
      <c r="P265" s="444">
        <f t="shared" si="41"/>
        <v>18107732.79447556</v>
      </c>
      <c r="Q265" s="361">
        <f t="shared" si="38"/>
        <v>49306914.55819807</v>
      </c>
      <c r="R265" s="427">
        <f t="shared" si="39"/>
        <v>500924014.9635289</v>
      </c>
    </row>
    <row r="266" spans="2:18" ht="12.75">
      <c r="B266" s="432" t="s">
        <v>58</v>
      </c>
      <c r="C266" s="350" t="s">
        <v>128</v>
      </c>
      <c r="D266" s="348"/>
      <c r="E266" s="376">
        <v>944796.964484887</v>
      </c>
      <c r="F266" s="376">
        <v>2717735.313372046</v>
      </c>
      <c r="G266" s="376">
        <v>17238091.614041083</v>
      </c>
      <c r="H266" s="376">
        <v>8057458.4715093495</v>
      </c>
      <c r="I266" s="376">
        <v>120344.56272679291</v>
      </c>
      <c r="J266" s="376">
        <v>4846808.692147891</v>
      </c>
      <c r="K266" s="376">
        <v>6215531.2225438785</v>
      </c>
      <c r="L266" s="376">
        <v>1407731.7561455867</v>
      </c>
      <c r="M266" s="376">
        <v>3584223.895440171</v>
      </c>
      <c r="N266" s="347">
        <v>718958.5655080013</v>
      </c>
      <c r="O266" s="522">
        <f t="shared" si="40"/>
        <v>27548447.91666692</v>
      </c>
      <c r="P266" s="444">
        <f t="shared" si="41"/>
        <v>18303233.14125276</v>
      </c>
      <c r="Q266" s="361">
        <f t="shared" si="38"/>
        <v>45851681.05791968</v>
      </c>
      <c r="R266" s="427">
        <f t="shared" si="39"/>
        <v>464063939.4444453</v>
      </c>
    </row>
    <row r="267" spans="2:18" ht="12.75">
      <c r="B267" s="432" t="s">
        <v>59</v>
      </c>
      <c r="C267" s="350" t="s">
        <v>129</v>
      </c>
      <c r="D267" s="348"/>
      <c r="E267" s="376">
        <v>579118.5797425362</v>
      </c>
      <c r="F267" s="376">
        <v>2450196.525658792</v>
      </c>
      <c r="G267" s="376">
        <v>21842330.204331726</v>
      </c>
      <c r="H267" s="376">
        <v>10336241.824922765</v>
      </c>
      <c r="I267" s="376">
        <v>128705.7646001471</v>
      </c>
      <c r="J267" s="376">
        <v>5151919.005056524</v>
      </c>
      <c r="K267" s="376">
        <v>8145394.116428664</v>
      </c>
      <c r="L267" s="376">
        <v>911547.8278389483</v>
      </c>
      <c r="M267" s="376">
        <v>4244305.930900832</v>
      </c>
      <c r="N267" s="347">
        <v>1200203.4235309076</v>
      </c>
      <c r="O267" s="522">
        <f t="shared" si="40"/>
        <v>32439808.654337436</v>
      </c>
      <c r="P267" s="444">
        <f t="shared" si="41"/>
        <v>22550154.54867441</v>
      </c>
      <c r="Q267" s="361">
        <f t="shared" si="38"/>
        <v>54989963.20301185</v>
      </c>
      <c r="R267" s="427">
        <f t="shared" si="39"/>
        <v>555833424.4935162</v>
      </c>
    </row>
    <row r="268" spans="2:18" ht="12.75">
      <c r="B268" s="432" t="s">
        <v>60</v>
      </c>
      <c r="C268" s="350" t="s">
        <v>130</v>
      </c>
      <c r="D268" s="348"/>
      <c r="E268" s="376">
        <v>344264.67950988526</v>
      </c>
      <c r="F268" s="376">
        <v>545267.318095536</v>
      </c>
      <c r="G268" s="376">
        <v>27879646.628081642</v>
      </c>
      <c r="H268" s="376">
        <v>13336984.566949314</v>
      </c>
      <c r="I268" s="376">
        <v>114095.09994090503</v>
      </c>
      <c r="J268" s="376">
        <v>4711346.616480043</v>
      </c>
      <c r="K268" s="376">
        <v>4310411.916097911</v>
      </c>
      <c r="L268" s="376">
        <v>1123287.021561848</v>
      </c>
      <c r="M268" s="376">
        <v>3271742.9030733337</v>
      </c>
      <c r="N268" s="347">
        <v>1148280.546798937</v>
      </c>
      <c r="O268" s="522">
        <f t="shared" si="40"/>
        <v>28447320.88905692</v>
      </c>
      <c r="P268" s="444">
        <f t="shared" si="41"/>
        <v>28338006.40753243</v>
      </c>
      <c r="Q268" s="361">
        <f t="shared" si="38"/>
        <v>56785327.29658935</v>
      </c>
      <c r="R268" s="427">
        <f t="shared" si="39"/>
        <v>567918861.6548083</v>
      </c>
    </row>
    <row r="269" spans="2:18" ht="12.75">
      <c r="B269" s="432" t="s">
        <v>61</v>
      </c>
      <c r="C269" s="350" t="s">
        <v>131</v>
      </c>
      <c r="D269" s="348"/>
      <c r="E269" s="376">
        <v>688531.482408432</v>
      </c>
      <c r="F269" s="376">
        <v>1282002.8040292724</v>
      </c>
      <c r="G269" s="376">
        <v>51308340.53678959</v>
      </c>
      <c r="H269" s="376">
        <v>28774325.262436833</v>
      </c>
      <c r="I269" s="376">
        <v>353981.19973945763</v>
      </c>
      <c r="J269" s="376">
        <v>14078698.198657602</v>
      </c>
      <c r="K269" s="376">
        <v>6173574.472874131</v>
      </c>
      <c r="L269" s="376">
        <v>2911027.8216031566</v>
      </c>
      <c r="M269" s="376">
        <v>12360323.779415654</v>
      </c>
      <c r="N269" s="347">
        <v>22346425.828042656</v>
      </c>
      <c r="O269" s="522">
        <f t="shared" si="40"/>
        <v>87926378.1670593</v>
      </c>
      <c r="P269" s="444">
        <f t="shared" si="41"/>
        <v>52350853.21893748</v>
      </c>
      <c r="Q269" s="361">
        <f t="shared" si="38"/>
        <v>140277231.38599676</v>
      </c>
      <c r="R269" s="427">
        <f t="shared" si="39"/>
        <v>1424117628.8288407</v>
      </c>
    </row>
    <row r="270" spans="2:18" ht="12.75">
      <c r="B270" s="432" t="s">
        <v>62</v>
      </c>
      <c r="C270" s="350" t="s">
        <v>132</v>
      </c>
      <c r="D270" s="348"/>
      <c r="E270" s="376">
        <v>974149.7411256586</v>
      </c>
      <c r="F270" s="376">
        <v>2899679.651588285</v>
      </c>
      <c r="G270" s="376">
        <v>74074571.0379069</v>
      </c>
      <c r="H270" s="376">
        <v>37446412.903462976</v>
      </c>
      <c r="I270" s="376">
        <v>356786.7215214102</v>
      </c>
      <c r="J270" s="376">
        <v>14857963.053755859</v>
      </c>
      <c r="K270" s="376">
        <v>6934024.845766164</v>
      </c>
      <c r="L270" s="376">
        <v>7518685.703347677</v>
      </c>
      <c r="M270" s="376">
        <v>13525546.843523819</v>
      </c>
      <c r="N270" s="347">
        <v>7430248.347600523</v>
      </c>
      <c r="O270" s="522">
        <f t="shared" si="40"/>
        <v>90612561.34904532</v>
      </c>
      <c r="P270" s="444">
        <f t="shared" si="41"/>
        <v>75405507.50055397</v>
      </c>
      <c r="Q270" s="361">
        <f t="shared" si="38"/>
        <v>166018068.8495993</v>
      </c>
      <c r="R270" s="427">
        <f t="shared" si="39"/>
        <v>1669304920.8050873</v>
      </c>
    </row>
    <row r="271" spans="2:18" ht="12.75">
      <c r="B271" s="432" t="s">
        <v>63</v>
      </c>
      <c r="C271" s="350" t="s">
        <v>133</v>
      </c>
      <c r="D271" s="348"/>
      <c r="E271" s="376">
        <v>1106659.7997408395</v>
      </c>
      <c r="F271" s="376">
        <v>3842079.4560440355</v>
      </c>
      <c r="G271" s="376">
        <v>53784000.818022</v>
      </c>
      <c r="H271" s="376">
        <v>25363807.307626627</v>
      </c>
      <c r="I271" s="376">
        <v>266175.7556519081</v>
      </c>
      <c r="J271" s="376">
        <v>11338734.516435774</v>
      </c>
      <c r="K271" s="376">
        <v>6471094.212641571</v>
      </c>
      <c r="L271" s="376">
        <v>3334349.6864179247</v>
      </c>
      <c r="M271" s="376">
        <v>8608578.317804087</v>
      </c>
      <c r="N271" s="347">
        <v>2924102.359760666</v>
      </c>
      <c r="O271" s="522">
        <f t="shared" si="40"/>
        <v>61882745.856730685</v>
      </c>
      <c r="P271" s="444">
        <f t="shared" si="41"/>
        <v>55156836.37341474</v>
      </c>
      <c r="Q271" s="361">
        <f t="shared" si="38"/>
        <v>117039582.23014542</v>
      </c>
      <c r="R271" s="427">
        <f t="shared" si="39"/>
        <v>1174431367.9914436</v>
      </c>
    </row>
    <row r="272" spans="2:18" ht="12.75">
      <c r="B272" s="432" t="s">
        <v>64</v>
      </c>
      <c r="C272" s="350" t="s">
        <v>134</v>
      </c>
      <c r="D272" s="348"/>
      <c r="E272" s="376">
        <v>901998.5305142789</v>
      </c>
      <c r="F272" s="376">
        <v>2640228.0652151033</v>
      </c>
      <c r="G272" s="376">
        <v>13279286.96061692</v>
      </c>
      <c r="H272" s="376">
        <v>6205893.024936047</v>
      </c>
      <c r="I272" s="376">
        <v>106576.50311584616</v>
      </c>
      <c r="J272" s="376">
        <v>4236159.6441314425</v>
      </c>
      <c r="K272" s="376">
        <v>7787499.781593533</v>
      </c>
      <c r="L272" s="376">
        <v>669583.6297249966</v>
      </c>
      <c r="M272" s="376">
        <v>3739196.8892643023</v>
      </c>
      <c r="N272" s="347">
        <v>905998.4794642583</v>
      </c>
      <c r="O272" s="522">
        <f t="shared" si="40"/>
        <v>26184559.514329683</v>
      </c>
      <c r="P272" s="444">
        <f t="shared" si="41"/>
        <v>14287861.994247045</v>
      </c>
      <c r="Q272" s="361">
        <f t="shared" si="38"/>
        <v>40472421.50857672</v>
      </c>
      <c r="R272" s="427">
        <f t="shared" si="39"/>
        <v>411862233.5978168</v>
      </c>
    </row>
    <row r="273" spans="2:18" ht="12.75">
      <c r="B273" s="432" t="s">
        <v>65</v>
      </c>
      <c r="C273" s="350" t="s">
        <v>135</v>
      </c>
      <c r="D273" s="348"/>
      <c r="E273" s="376">
        <v>1041844.8061111642</v>
      </c>
      <c r="F273" s="376">
        <v>6576146.690637453</v>
      </c>
      <c r="G273" s="376">
        <v>14990744.364418812</v>
      </c>
      <c r="H273" s="376">
        <v>6889638.5587611785</v>
      </c>
      <c r="I273" s="376">
        <v>124360.98176888883</v>
      </c>
      <c r="J273" s="376">
        <v>4965553.813932734</v>
      </c>
      <c r="K273" s="376">
        <v>6867489.285058009</v>
      </c>
      <c r="L273" s="376">
        <v>1984778.7964041128</v>
      </c>
      <c r="M273" s="376">
        <v>3681493.493546147</v>
      </c>
      <c r="N273" s="347">
        <v>645375.6593649375</v>
      </c>
      <c r="O273" s="522">
        <f t="shared" si="40"/>
        <v>31610476.297704574</v>
      </c>
      <c r="P273" s="444">
        <f t="shared" si="41"/>
        <v>16156950.152298866</v>
      </c>
      <c r="Q273" s="361">
        <f t="shared" si="38"/>
        <v>47767426.450003445</v>
      </c>
      <c r="R273" s="427">
        <f t="shared" si="39"/>
        <v>486946380.1872778</v>
      </c>
    </row>
    <row r="274" spans="2:18" ht="12.75">
      <c r="B274" s="432" t="s">
        <v>66</v>
      </c>
      <c r="C274" s="350" t="s">
        <v>136</v>
      </c>
      <c r="D274" s="348"/>
      <c r="E274" s="376">
        <v>664655.7332288065</v>
      </c>
      <c r="F274" s="376">
        <v>695065.8548599503</v>
      </c>
      <c r="G274" s="376">
        <v>31167387.227788594</v>
      </c>
      <c r="H274" s="376">
        <v>14647139.819704695</v>
      </c>
      <c r="I274" s="376">
        <v>150665.34399298838</v>
      </c>
      <c r="J274" s="376">
        <v>6387653.643281584</v>
      </c>
      <c r="K274" s="376">
        <v>4126160.4990286133</v>
      </c>
      <c r="L274" s="376">
        <v>1447926.2518696066</v>
      </c>
      <c r="M274" s="376">
        <v>4135889.0714897197</v>
      </c>
      <c r="N274" s="347">
        <v>1204573.6897154313</v>
      </c>
      <c r="O274" s="522">
        <f t="shared" si="40"/>
        <v>32644408.829949602</v>
      </c>
      <c r="P274" s="444">
        <f t="shared" si="41"/>
        <v>31982708.30501039</v>
      </c>
      <c r="Q274" s="361">
        <f t="shared" si="38"/>
        <v>64627117.13495999</v>
      </c>
      <c r="R274" s="427">
        <f t="shared" si="39"/>
        <v>646668191.6645634</v>
      </c>
    </row>
    <row r="275" spans="2:18" ht="12.75">
      <c r="B275" s="432" t="s">
        <v>67</v>
      </c>
      <c r="C275" s="350" t="s">
        <v>137</v>
      </c>
      <c r="D275" s="348"/>
      <c r="E275" s="376">
        <v>1477390.2714191503</v>
      </c>
      <c r="F275" s="376">
        <v>3198046.578034517</v>
      </c>
      <c r="G275" s="376">
        <v>23135037.682835076</v>
      </c>
      <c r="H275" s="376">
        <v>10880507.941604473</v>
      </c>
      <c r="I275" s="376">
        <v>169693.26032782078</v>
      </c>
      <c r="J275" s="376">
        <v>6762794.0912753185</v>
      </c>
      <c r="K275" s="376">
        <v>12888206.885806007</v>
      </c>
      <c r="L275" s="376">
        <v>1848634.9319372734</v>
      </c>
      <c r="M275" s="376">
        <v>5500043.519904765</v>
      </c>
      <c r="N275" s="347">
        <v>1240008.0627071194</v>
      </c>
      <c r="O275" s="522">
        <f t="shared" si="40"/>
        <v>42318242.01126947</v>
      </c>
      <c r="P275" s="444">
        <f t="shared" si="41"/>
        <v>24782121.214582045</v>
      </c>
      <c r="Q275" s="361">
        <f t="shared" si="38"/>
        <v>67100363.22585152</v>
      </c>
      <c r="R275" s="427">
        <f t="shared" si="39"/>
        <v>681525304.7365276</v>
      </c>
    </row>
    <row r="276" spans="2:18" ht="12.75">
      <c r="B276" s="432" t="s">
        <v>68</v>
      </c>
      <c r="C276" s="350" t="s">
        <v>138</v>
      </c>
      <c r="D276" s="348"/>
      <c r="E276" s="376">
        <v>874166.449960302</v>
      </c>
      <c r="F276" s="376">
        <v>2031885.200411725</v>
      </c>
      <c r="G276" s="376">
        <v>25155340.794776168</v>
      </c>
      <c r="H276" s="376">
        <v>11894220.85243189</v>
      </c>
      <c r="I276" s="376">
        <v>152285.9258635245</v>
      </c>
      <c r="J276" s="376">
        <v>6075363.865689113</v>
      </c>
      <c r="K276" s="376">
        <v>8006235.284243821</v>
      </c>
      <c r="L276" s="376">
        <v>1461739.0896527169</v>
      </c>
      <c r="M276" s="376">
        <v>5256300.523966129</v>
      </c>
      <c r="N276" s="347">
        <v>1675973.4407485514</v>
      </c>
      <c r="O276" s="522">
        <f t="shared" si="40"/>
        <v>36401718.257143945</v>
      </c>
      <c r="P276" s="444">
        <f t="shared" si="41"/>
        <v>26181793.170599993</v>
      </c>
      <c r="Q276" s="361">
        <f t="shared" si="38"/>
        <v>62583511.42774394</v>
      </c>
      <c r="R276" s="427">
        <f t="shared" si="39"/>
        <v>631967069.3293657</v>
      </c>
    </row>
    <row r="277" spans="2:18" ht="12.75">
      <c r="B277" s="432" t="s">
        <v>69</v>
      </c>
      <c r="C277" s="350" t="s">
        <v>139</v>
      </c>
      <c r="D277" s="348"/>
      <c r="E277" s="376">
        <v>565879.9058557233</v>
      </c>
      <c r="F277" s="376">
        <v>554281.6030325835</v>
      </c>
      <c r="G277" s="376">
        <v>24528871.51005559</v>
      </c>
      <c r="H277" s="376">
        <v>11591296.909446625</v>
      </c>
      <c r="I277" s="376">
        <v>130694.58211937414</v>
      </c>
      <c r="J277" s="376">
        <v>5289474.47820843</v>
      </c>
      <c r="K277" s="376">
        <v>4484808.342635373</v>
      </c>
      <c r="L277" s="376">
        <v>1422222.5404876394</v>
      </c>
      <c r="M277" s="376">
        <v>4144206.5213015378</v>
      </c>
      <c r="N277" s="347">
        <v>1154513.0012995051</v>
      </c>
      <c r="O277" s="522">
        <f t="shared" si="40"/>
        <v>28640803.396411695</v>
      </c>
      <c r="P277" s="444">
        <f t="shared" si="41"/>
        <v>25225445.99803069</v>
      </c>
      <c r="Q277" s="361">
        <f t="shared" si="38"/>
        <v>53866249.39444239</v>
      </c>
      <c r="R277" s="427">
        <f t="shared" si="39"/>
        <v>540711708.3834524</v>
      </c>
    </row>
    <row r="278" spans="2:18" ht="12.75">
      <c r="B278" s="432" t="s">
        <v>70</v>
      </c>
      <c r="C278" s="350" t="s">
        <v>140</v>
      </c>
      <c r="D278" s="348"/>
      <c r="E278" s="376">
        <v>673480.7125463282</v>
      </c>
      <c r="F278" s="376">
        <v>4406447.5073128585</v>
      </c>
      <c r="G278" s="376">
        <v>27372886.837322</v>
      </c>
      <c r="H278" s="376">
        <v>12869221.303222606</v>
      </c>
      <c r="I278" s="376">
        <v>158854.30579843264</v>
      </c>
      <c r="J278" s="376">
        <v>6683103.717419854</v>
      </c>
      <c r="K278" s="376">
        <v>8475470.114254607</v>
      </c>
      <c r="L278" s="376">
        <v>1386353.7388951727</v>
      </c>
      <c r="M278" s="376">
        <v>8056975.177957088</v>
      </c>
      <c r="N278" s="347">
        <v>3161550.4699956817</v>
      </c>
      <c r="O278" s="522">
        <f t="shared" si="40"/>
        <v>45039122.02905787</v>
      </c>
      <c r="P278" s="444">
        <f t="shared" si="41"/>
        <v>28205221.855666764</v>
      </c>
      <c r="Q278" s="361">
        <f t="shared" si="38"/>
        <v>73244343.88472462</v>
      </c>
      <c r="R278" s="427">
        <f t="shared" si="39"/>
        <v>742543778.951281</v>
      </c>
    </row>
    <row r="279" spans="2:18" ht="12.75">
      <c r="B279" s="432" t="s">
        <v>71</v>
      </c>
      <c r="C279" s="350" t="s">
        <v>141</v>
      </c>
      <c r="D279" s="348"/>
      <c r="E279" s="376">
        <v>683362.9423147093</v>
      </c>
      <c r="F279" s="376">
        <v>3637388.5517796427</v>
      </c>
      <c r="G279" s="376">
        <v>45876294.86697973</v>
      </c>
      <c r="H279" s="376">
        <v>21583955.407548342</v>
      </c>
      <c r="I279" s="376">
        <v>248819.48576330527</v>
      </c>
      <c r="J279" s="376">
        <v>10727135.92194572</v>
      </c>
      <c r="K279" s="376">
        <v>5095474.662867741</v>
      </c>
      <c r="L279" s="376">
        <v>2194964.3337512184</v>
      </c>
      <c r="M279" s="376">
        <v>8295612.307951987</v>
      </c>
      <c r="N279" s="347">
        <v>4296397.366547653</v>
      </c>
      <c r="O279" s="522">
        <f t="shared" si="40"/>
        <v>55830928.552392304</v>
      </c>
      <c r="P279" s="444">
        <f t="shared" si="41"/>
        <v>46808477.295057744</v>
      </c>
      <c r="Q279" s="361">
        <f t="shared" si="38"/>
        <v>102639405.84745006</v>
      </c>
      <c r="R279" s="427">
        <f t="shared" si="39"/>
        <v>1031807529.2289011</v>
      </c>
    </row>
    <row r="280" spans="2:18" ht="12.75">
      <c r="B280" s="432" t="s">
        <v>72</v>
      </c>
      <c r="C280" s="350" t="s">
        <v>142</v>
      </c>
      <c r="D280" s="348"/>
      <c r="E280" s="376">
        <v>744360.6008336813</v>
      </c>
      <c r="F280" s="376">
        <v>1008859.1626656383</v>
      </c>
      <c r="G280" s="376">
        <v>32259813.583337955</v>
      </c>
      <c r="H280" s="376">
        <v>15173331.387193771</v>
      </c>
      <c r="I280" s="376">
        <v>141231.04410832268</v>
      </c>
      <c r="J280" s="376">
        <v>5675916.326486612</v>
      </c>
      <c r="K280" s="376">
        <v>4908572.390513619</v>
      </c>
      <c r="L280" s="376">
        <v>1533701.4444615936</v>
      </c>
      <c r="M280" s="376">
        <v>4223685.583439713</v>
      </c>
      <c r="N280" s="347">
        <v>1047305.3232281758</v>
      </c>
      <c r="O280" s="522">
        <f t="shared" si="40"/>
        <v>33571371.61798912</v>
      </c>
      <c r="P280" s="444">
        <f t="shared" si="41"/>
        <v>33145405.22827996</v>
      </c>
      <c r="Q280" s="361">
        <f t="shared" si="38"/>
        <v>66716776.84626908</v>
      </c>
      <c r="R280" s="427">
        <f t="shared" si="39"/>
        <v>667423348.2965164</v>
      </c>
    </row>
    <row r="281" spans="2:18" ht="12.75">
      <c r="B281" s="432" t="s">
        <v>74</v>
      </c>
      <c r="C281" s="350" t="s">
        <v>143</v>
      </c>
      <c r="D281" s="348"/>
      <c r="E281" s="376">
        <v>1386796.0392321518</v>
      </c>
      <c r="F281" s="376">
        <v>3411148.9940032577</v>
      </c>
      <c r="G281" s="376">
        <v>21787004.295193955</v>
      </c>
      <c r="H281" s="376">
        <v>10229441.976883281</v>
      </c>
      <c r="I281" s="376">
        <v>167877.74346359284</v>
      </c>
      <c r="J281" s="376">
        <v>6684635.74047582</v>
      </c>
      <c r="K281" s="376">
        <v>12550596.026548363</v>
      </c>
      <c r="L281" s="376">
        <v>1896345.4145333648</v>
      </c>
      <c r="M281" s="376">
        <v>6004744.257331043</v>
      </c>
      <c r="N281" s="347">
        <v>1392660.6167601694</v>
      </c>
      <c r="O281" s="522">
        <f t="shared" si="40"/>
        <v>42169573.026535295</v>
      </c>
      <c r="P281" s="444">
        <f t="shared" si="41"/>
        <v>23341678.077889703</v>
      </c>
      <c r="Q281" s="361">
        <f t="shared" si="38"/>
        <v>65511251.104425</v>
      </c>
      <c r="R281" s="427">
        <f t="shared" si="39"/>
        <v>666409248.0134374</v>
      </c>
    </row>
    <row r="282" spans="2:18" ht="12.75">
      <c r="B282" s="432" t="s">
        <v>75</v>
      </c>
      <c r="C282" s="350" t="s">
        <v>144</v>
      </c>
      <c r="D282" s="348"/>
      <c r="E282" s="376">
        <v>321160.7611798272</v>
      </c>
      <c r="F282" s="376">
        <v>477930.8005386971</v>
      </c>
      <c r="G282" s="376">
        <v>22046456.907909095</v>
      </c>
      <c r="H282" s="376">
        <v>10570438.762331372</v>
      </c>
      <c r="I282" s="376">
        <v>104464.30707050492</v>
      </c>
      <c r="J282" s="376">
        <v>4218988.7411671225</v>
      </c>
      <c r="K282" s="376">
        <v>3329152.3936762908</v>
      </c>
      <c r="L282" s="376">
        <v>1044937.9029388855</v>
      </c>
      <c r="M282" s="376">
        <v>3027848.933806875</v>
      </c>
      <c r="N282" s="347">
        <v>837513.212513084</v>
      </c>
      <c r="O282" s="522">
        <f t="shared" si="40"/>
        <v>23506810.746972326</v>
      </c>
      <c r="P282" s="444">
        <f t="shared" si="41"/>
        <v>22472081.976159427</v>
      </c>
      <c r="Q282" s="361">
        <f t="shared" si="38"/>
        <v>45978892.72313175</v>
      </c>
      <c r="R282" s="427">
        <f t="shared" si="39"/>
        <v>460409764.4938053</v>
      </c>
    </row>
    <row r="283" spans="2:18" ht="12.75">
      <c r="B283" s="432" t="s">
        <v>76</v>
      </c>
      <c r="C283" s="350" t="s">
        <v>145</v>
      </c>
      <c r="D283" s="348"/>
      <c r="E283" s="376">
        <v>1203599.3038781616</v>
      </c>
      <c r="F283" s="376">
        <v>3846886.532216694</v>
      </c>
      <c r="G283" s="376">
        <v>22821223.361634385</v>
      </c>
      <c r="H283" s="376">
        <v>10676982.242132163</v>
      </c>
      <c r="I283" s="376">
        <v>184583.6538728644</v>
      </c>
      <c r="J283" s="376">
        <v>7488712.064421826</v>
      </c>
      <c r="K283" s="376">
        <v>6170625.586332058</v>
      </c>
      <c r="L283" s="376">
        <v>1333918.7202522827</v>
      </c>
      <c r="M283" s="376">
        <v>8393878.450442486</v>
      </c>
      <c r="N283" s="347">
        <v>1991481.85181706</v>
      </c>
      <c r="O283" s="522">
        <f t="shared" si="40"/>
        <v>39902485.447614565</v>
      </c>
      <c r="P283" s="444">
        <f t="shared" si="41"/>
        <v>24209406.319385413</v>
      </c>
      <c r="Q283" s="361">
        <f t="shared" si="38"/>
        <v>64111891.766999975</v>
      </c>
      <c r="R283" s="427">
        <f t="shared" si="39"/>
        <v>650534765.1469373</v>
      </c>
    </row>
    <row r="284" spans="2:18" ht="12.75">
      <c r="B284" s="432" t="s">
        <v>77</v>
      </c>
      <c r="C284" s="350" t="s">
        <v>146</v>
      </c>
      <c r="D284" s="348"/>
      <c r="E284" s="376">
        <v>555794.9541023509</v>
      </c>
      <c r="F284" s="376">
        <v>3684159.4739596797</v>
      </c>
      <c r="G284" s="376">
        <v>30197009.511573277</v>
      </c>
      <c r="H284" s="376">
        <v>14263973.236505479</v>
      </c>
      <c r="I284" s="376">
        <v>174176.6724674161</v>
      </c>
      <c r="J284" s="376">
        <v>7371714.277714473</v>
      </c>
      <c r="K284" s="376">
        <v>6334831.161154313</v>
      </c>
      <c r="L284" s="376">
        <v>1175481.175803533</v>
      </c>
      <c r="M284" s="376">
        <v>5986133.547188902</v>
      </c>
      <c r="N284" s="347">
        <v>2252084.6373591744</v>
      </c>
      <c r="O284" s="522">
        <f t="shared" si="40"/>
        <v>41068377.50968555</v>
      </c>
      <c r="P284" s="444">
        <f t="shared" si="41"/>
        <v>30926981.138143044</v>
      </c>
      <c r="Q284" s="361">
        <f t="shared" si="38"/>
        <v>71995358.64782861</v>
      </c>
      <c r="R284" s="427">
        <f t="shared" si="39"/>
        <v>726038424.3012115</v>
      </c>
    </row>
    <row r="285" spans="2:18" ht="12.75">
      <c r="B285" s="432" t="s">
        <v>78</v>
      </c>
      <c r="C285" s="350" t="s">
        <v>147</v>
      </c>
      <c r="D285" s="348"/>
      <c r="E285" s="376">
        <v>1396809.967233543</v>
      </c>
      <c r="F285" s="376">
        <v>2141993.895495378</v>
      </c>
      <c r="G285" s="376">
        <v>28048078.08315959</v>
      </c>
      <c r="H285" s="376">
        <v>13198627.510871029</v>
      </c>
      <c r="I285" s="376">
        <v>182803.37307702095</v>
      </c>
      <c r="J285" s="376">
        <v>7323267.15143278</v>
      </c>
      <c r="K285" s="376">
        <v>8595380.093965136</v>
      </c>
      <c r="L285" s="376">
        <v>1357295.7720431888</v>
      </c>
      <c r="M285" s="376">
        <v>5696249.467745411</v>
      </c>
      <c r="N285" s="347">
        <v>1377055.6274359387</v>
      </c>
      <c r="O285" s="522">
        <f t="shared" si="40"/>
        <v>39689869.51898887</v>
      </c>
      <c r="P285" s="444">
        <f t="shared" si="41"/>
        <v>29627691.42347015</v>
      </c>
      <c r="Q285" s="361">
        <f t="shared" si="38"/>
        <v>69317560.94245902</v>
      </c>
      <c r="R285" s="427">
        <f t="shared" si="39"/>
        <v>699212916.2819012</v>
      </c>
    </row>
    <row r="286" spans="2:18" ht="13.5" thickBot="1">
      <c r="B286" s="432" t="s">
        <v>79</v>
      </c>
      <c r="C286" s="349" t="s">
        <v>148</v>
      </c>
      <c r="D286" s="348"/>
      <c r="E286" s="466">
        <v>2279846.710202671</v>
      </c>
      <c r="F286" s="466">
        <v>15582789.463544974</v>
      </c>
      <c r="G286" s="466">
        <v>27827520.05806677</v>
      </c>
      <c r="H286" s="466">
        <v>12706267.928765494</v>
      </c>
      <c r="I286" s="466">
        <v>243772.1054241392</v>
      </c>
      <c r="J286" s="466">
        <v>9703550.348334389</v>
      </c>
      <c r="K286" s="466">
        <v>19467834.502767824</v>
      </c>
      <c r="L286" s="466">
        <v>6252208.131114449</v>
      </c>
      <c r="M286" s="466">
        <v>7410091.808456017</v>
      </c>
      <c r="N286" s="347">
        <v>1628482.4723283309</v>
      </c>
      <c r="O286" s="522">
        <f t="shared" si="40"/>
        <v>72751224.65531148</v>
      </c>
      <c r="P286" s="444">
        <f t="shared" si="41"/>
        <v>30351138.87369358</v>
      </c>
      <c r="Q286" s="479">
        <f t="shared" si="38"/>
        <v>103102363.52900507</v>
      </c>
      <c r="R286" s="427">
        <f t="shared" si="39"/>
        <v>1056463686.7590213</v>
      </c>
    </row>
    <row r="287" spans="2:18" ht="13.5" thickBot="1">
      <c r="B287" s="436" t="s">
        <v>166</v>
      </c>
      <c r="C287" s="731"/>
      <c r="D287" s="745"/>
      <c r="E287" s="346">
        <f aca="true" t="shared" si="42" ref="E287:R287">SUM(E254:E286)</f>
        <v>29262219.80279285</v>
      </c>
      <c r="F287" s="346">
        <f t="shared" si="42"/>
        <v>96284574.6340453</v>
      </c>
      <c r="G287" s="346">
        <f t="shared" si="42"/>
        <v>1079894682.6007745</v>
      </c>
      <c r="H287" s="346">
        <f t="shared" si="42"/>
        <v>520375290.4039888</v>
      </c>
      <c r="I287" s="346">
        <f t="shared" si="42"/>
        <v>6326280.499990087</v>
      </c>
      <c r="J287" s="346">
        <f t="shared" si="42"/>
        <v>258458577.57622856</v>
      </c>
      <c r="K287" s="346">
        <f t="shared" si="42"/>
        <v>250080488.5992684</v>
      </c>
      <c r="L287" s="346">
        <f t="shared" si="42"/>
        <v>69028689.83588931</v>
      </c>
      <c r="M287" s="346">
        <f t="shared" si="42"/>
        <v>218241180.4081304</v>
      </c>
      <c r="N287" s="345">
        <f t="shared" si="42"/>
        <v>108601482.32270035</v>
      </c>
      <c r="O287" s="523">
        <f t="shared" si="42"/>
        <v>1521070283.780251</v>
      </c>
      <c r="P287" s="467">
        <f t="shared" si="42"/>
        <v>1115483182.9035573</v>
      </c>
      <c r="Q287" s="429">
        <f t="shared" si="42"/>
        <v>2636553466.6838083</v>
      </c>
      <c r="R287" s="344">
        <f t="shared" si="42"/>
        <v>26608886927.364105</v>
      </c>
    </row>
    <row r="288" spans="15:18" ht="13.5" thickBot="1">
      <c r="O288" s="343"/>
      <c r="P288" s="343"/>
      <c r="R288" s="343"/>
    </row>
    <row r="289" spans="1:39" s="330" customFormat="1" ht="13.5" thickBot="1">
      <c r="A289" s="331"/>
      <c r="B289" s="528" t="s">
        <v>170</v>
      </c>
      <c r="C289" s="342" t="s">
        <v>281</v>
      </c>
      <c r="D289" s="743" t="s">
        <v>12</v>
      </c>
      <c r="E289" s="743"/>
      <c r="F289" s="743"/>
      <c r="G289" s="743"/>
      <c r="H289" s="744"/>
      <c r="J289" s="331"/>
      <c r="K289" s="333"/>
      <c r="L289" s="331"/>
      <c r="M289" s="331"/>
      <c r="N289" s="331"/>
      <c r="O289" s="331"/>
      <c r="P289" s="331"/>
      <c r="Q289" s="331"/>
      <c r="R289" s="331"/>
      <c r="S289" s="331"/>
      <c r="T289" s="331"/>
      <c r="U289" s="331"/>
      <c r="V289" s="332"/>
      <c r="W289" s="332"/>
      <c r="X289" s="332"/>
      <c r="Y289" s="332"/>
      <c r="Z289" s="332"/>
      <c r="AA289" s="331"/>
      <c r="AB289" s="331"/>
      <c r="AC289" s="331"/>
      <c r="AD289" s="331"/>
      <c r="AE289" s="331"/>
      <c r="AF289" s="331"/>
      <c r="AG289" s="331"/>
      <c r="AH289" s="331"/>
      <c r="AI289" s="331"/>
      <c r="AJ289" s="331"/>
      <c r="AK289" s="331"/>
      <c r="AL289" s="331"/>
      <c r="AM289" s="331"/>
    </row>
    <row r="290" spans="1:39" s="330" customFormat="1" ht="12.75" customHeight="1">
      <c r="A290" s="331"/>
      <c r="B290" s="432" t="s">
        <v>226</v>
      </c>
      <c r="C290" s="524">
        <v>9.4</v>
      </c>
      <c r="D290" s="738" t="s">
        <v>377</v>
      </c>
      <c r="E290" s="739"/>
      <c r="F290" s="739"/>
      <c r="G290" s="739"/>
      <c r="H290" s="740"/>
      <c r="J290" s="331"/>
      <c r="K290" s="333"/>
      <c r="L290" s="331"/>
      <c r="M290" s="331"/>
      <c r="N290" s="331"/>
      <c r="O290" s="331"/>
      <c r="P290" s="331"/>
      <c r="Q290" s="331"/>
      <c r="R290" s="331"/>
      <c r="S290" s="331"/>
      <c r="T290" s="331"/>
      <c r="U290" s="331"/>
      <c r="V290" s="332"/>
      <c r="W290" s="332"/>
      <c r="X290" s="332"/>
      <c r="Y290" s="332"/>
      <c r="Z290" s="332"/>
      <c r="AA290" s="331"/>
      <c r="AB290" s="331"/>
      <c r="AC290" s="331"/>
      <c r="AD290" s="331"/>
      <c r="AE290" s="331"/>
      <c r="AF290" s="331"/>
      <c r="AG290" s="331"/>
      <c r="AH290" s="331"/>
      <c r="AI290" s="331"/>
      <c r="AJ290" s="331"/>
      <c r="AK290" s="331"/>
      <c r="AL290" s="331"/>
      <c r="AM290" s="331"/>
    </row>
    <row r="291" spans="1:39" s="330" customFormat="1" ht="12.75">
      <c r="A291" s="331"/>
      <c r="B291" s="529" t="s">
        <v>171</v>
      </c>
      <c r="C291" s="525">
        <v>10.6</v>
      </c>
      <c r="D291" s="741"/>
      <c r="E291" s="741"/>
      <c r="F291" s="741"/>
      <c r="G291" s="741"/>
      <c r="H291" s="742"/>
      <c r="J291" s="331"/>
      <c r="K291" s="333"/>
      <c r="L291" s="331"/>
      <c r="M291" s="331"/>
      <c r="N291" s="331"/>
      <c r="O291" s="331"/>
      <c r="P291" s="331"/>
      <c r="Q291" s="331"/>
      <c r="R291" s="331"/>
      <c r="S291" s="331"/>
      <c r="T291" s="331"/>
      <c r="U291" s="331"/>
      <c r="V291" s="332"/>
      <c r="W291" s="332"/>
      <c r="X291" s="332"/>
      <c r="Y291" s="332"/>
      <c r="Z291" s="332"/>
      <c r="AA291" s="331"/>
      <c r="AB291" s="331"/>
      <c r="AC291" s="331"/>
      <c r="AD291" s="331"/>
      <c r="AE291" s="331"/>
      <c r="AF291" s="331"/>
      <c r="AG291" s="331"/>
      <c r="AH291" s="331"/>
      <c r="AI291" s="331"/>
      <c r="AJ291" s="331"/>
      <c r="AK291" s="331"/>
      <c r="AL291" s="331"/>
      <c r="AM291" s="331"/>
    </row>
    <row r="292" spans="1:39" s="330" customFormat="1" ht="12.75">
      <c r="A292" s="331"/>
      <c r="B292" s="529" t="s">
        <v>398</v>
      </c>
      <c r="C292" s="525">
        <v>10.7</v>
      </c>
      <c r="D292" s="621" t="s">
        <v>377</v>
      </c>
      <c r="E292" s="470"/>
      <c r="F292" s="470"/>
      <c r="G292" s="470"/>
      <c r="H292" s="471"/>
      <c r="J292" s="331"/>
      <c r="K292" s="333"/>
      <c r="L292" s="331"/>
      <c r="M292" s="331"/>
      <c r="N292" s="331"/>
      <c r="O292" s="331"/>
      <c r="P292" s="331"/>
      <c r="Q292" s="331"/>
      <c r="R292" s="331"/>
      <c r="S292" s="331"/>
      <c r="T292" s="331"/>
      <c r="U292" s="331"/>
      <c r="V292" s="332"/>
      <c r="W292" s="332"/>
      <c r="X292" s="332"/>
      <c r="Y292" s="332"/>
      <c r="Z292" s="332"/>
      <c r="AA292" s="331"/>
      <c r="AB292" s="331"/>
      <c r="AC292" s="331"/>
      <c r="AD292" s="331"/>
      <c r="AE292" s="331"/>
      <c r="AF292" s="331"/>
      <c r="AG292" s="331"/>
      <c r="AH292" s="331"/>
      <c r="AI292" s="331"/>
      <c r="AJ292" s="331"/>
      <c r="AK292" s="331"/>
      <c r="AL292" s="331"/>
      <c r="AM292" s="331"/>
    </row>
    <row r="293" spans="1:39" s="330" customFormat="1" ht="12.75">
      <c r="A293" s="331"/>
      <c r="B293" s="530"/>
      <c r="C293" s="526" t="s">
        <v>280</v>
      </c>
      <c r="D293" s="341"/>
      <c r="E293" s="341"/>
      <c r="F293" s="341"/>
      <c r="G293" s="341"/>
      <c r="H293" s="340"/>
      <c r="J293" s="331"/>
      <c r="K293" s="333"/>
      <c r="L293" s="331"/>
      <c r="M293" s="331"/>
      <c r="N293" s="331"/>
      <c r="O293" s="331"/>
      <c r="P293" s="331"/>
      <c r="Q293" s="331"/>
      <c r="R293" s="331"/>
      <c r="S293" s="331"/>
      <c r="T293" s="331"/>
      <c r="U293" s="331"/>
      <c r="V293" s="332"/>
      <c r="W293" s="332"/>
      <c r="X293" s="332"/>
      <c r="Y293" s="332"/>
      <c r="Z293" s="332"/>
      <c r="AA293" s="331"/>
      <c r="AB293" s="331"/>
      <c r="AC293" s="331"/>
      <c r="AD293" s="331"/>
      <c r="AE293" s="331"/>
      <c r="AF293" s="331"/>
      <c r="AG293" s="331"/>
      <c r="AH293" s="331"/>
      <c r="AI293" s="331"/>
      <c r="AJ293" s="331"/>
      <c r="AK293" s="331"/>
      <c r="AL293" s="331"/>
      <c r="AM293" s="331"/>
    </row>
    <row r="294" spans="1:39" s="330" customFormat="1" ht="12.75">
      <c r="A294" s="331"/>
      <c r="B294" s="432" t="s">
        <v>226</v>
      </c>
      <c r="C294" s="527">
        <v>12835</v>
      </c>
      <c r="D294" s="734" t="s">
        <v>377</v>
      </c>
      <c r="E294" s="734"/>
      <c r="F294" s="734"/>
      <c r="G294" s="734"/>
      <c r="H294" s="735"/>
      <c r="J294" s="331"/>
      <c r="K294" s="333"/>
      <c r="L294" s="331"/>
      <c r="M294" s="331"/>
      <c r="N294" s="331"/>
      <c r="O294" s="331"/>
      <c r="P294" s="331"/>
      <c r="Q294" s="331"/>
      <c r="R294" s="331"/>
      <c r="S294" s="331"/>
      <c r="T294" s="331"/>
      <c r="U294" s="331"/>
      <c r="V294" s="332"/>
      <c r="W294" s="332"/>
      <c r="X294" s="332"/>
      <c r="Y294" s="332"/>
      <c r="Z294" s="332"/>
      <c r="AA294" s="331"/>
      <c r="AB294" s="331"/>
      <c r="AC294" s="331"/>
      <c r="AD294" s="331"/>
      <c r="AE294" s="331"/>
      <c r="AF294" s="331"/>
      <c r="AG294" s="331"/>
      <c r="AH294" s="331"/>
      <c r="AI294" s="331"/>
      <c r="AJ294" s="331"/>
      <c r="AK294" s="331"/>
      <c r="AL294" s="331"/>
      <c r="AM294" s="331"/>
    </row>
    <row r="295" spans="1:39" s="330" customFormat="1" ht="12.75">
      <c r="A295" s="331"/>
      <c r="B295" s="432" t="s">
        <v>171</v>
      </c>
      <c r="C295" s="527">
        <v>12641</v>
      </c>
      <c r="D295" s="736"/>
      <c r="E295" s="736"/>
      <c r="F295" s="736"/>
      <c r="G295" s="736"/>
      <c r="H295" s="737"/>
      <c r="J295" s="331"/>
      <c r="K295" s="333"/>
      <c r="L295" s="331"/>
      <c r="M295" s="331"/>
      <c r="N295" s="331"/>
      <c r="O295" s="331"/>
      <c r="P295" s="331"/>
      <c r="Q295" s="331"/>
      <c r="R295" s="331"/>
      <c r="S295" s="331"/>
      <c r="T295" s="331"/>
      <c r="U295" s="331"/>
      <c r="V295" s="332"/>
      <c r="W295" s="332"/>
      <c r="X295" s="332"/>
      <c r="Y295" s="332"/>
      <c r="Z295" s="332"/>
      <c r="AA295" s="331"/>
      <c r="AB295" s="331"/>
      <c r="AC295" s="331"/>
      <c r="AD295" s="331"/>
      <c r="AE295" s="331"/>
      <c r="AF295" s="331"/>
      <c r="AG295" s="331"/>
      <c r="AH295" s="331"/>
      <c r="AI295" s="331"/>
      <c r="AJ295" s="331"/>
      <c r="AK295" s="331"/>
      <c r="AL295" s="331"/>
      <c r="AM295" s="331"/>
    </row>
    <row r="296" spans="1:39" s="330" customFormat="1" ht="12.75">
      <c r="A296" s="331"/>
      <c r="B296" s="432" t="s">
        <v>279</v>
      </c>
      <c r="C296" s="527">
        <v>12579</v>
      </c>
      <c r="D296" s="339"/>
      <c r="E296" s="339"/>
      <c r="F296" s="339"/>
      <c r="G296" s="339"/>
      <c r="H296" s="338"/>
      <c r="J296" s="331"/>
      <c r="K296" s="333"/>
      <c r="L296" s="331"/>
      <c r="M296" s="331"/>
      <c r="N296" s="331"/>
      <c r="O296" s="331"/>
      <c r="P296" s="331"/>
      <c r="Q296" s="331"/>
      <c r="R296" s="331"/>
      <c r="S296" s="331"/>
      <c r="T296" s="331"/>
      <c r="U296" s="331"/>
      <c r="V296" s="332"/>
      <c r="W296" s="332"/>
      <c r="X296" s="332"/>
      <c r="Y296" s="332"/>
      <c r="Z296" s="332"/>
      <c r="AA296" s="331"/>
      <c r="AB296" s="331"/>
      <c r="AC296" s="331"/>
      <c r="AD296" s="331"/>
      <c r="AE296" s="331"/>
      <c r="AF296" s="331"/>
      <c r="AG296" s="331"/>
      <c r="AH296" s="331"/>
      <c r="AI296" s="331"/>
      <c r="AJ296" s="331"/>
      <c r="AK296" s="331"/>
      <c r="AL296" s="331"/>
      <c r="AM296" s="331"/>
    </row>
    <row r="297" spans="1:39" s="330" customFormat="1" ht="12.75">
      <c r="A297" s="331"/>
      <c r="B297" s="432" t="s">
        <v>229</v>
      </c>
      <c r="C297" s="527">
        <f>13709</f>
        <v>13709</v>
      </c>
      <c r="D297" s="337"/>
      <c r="E297" s="337"/>
      <c r="F297" s="337"/>
      <c r="G297" s="337"/>
      <c r="H297" s="336"/>
      <c r="J297" s="331"/>
      <c r="K297" s="333"/>
      <c r="L297" s="331"/>
      <c r="M297" s="331"/>
      <c r="N297" s="331"/>
      <c r="O297" s="331"/>
      <c r="P297" s="331"/>
      <c r="Q297" s="331"/>
      <c r="R297" s="331"/>
      <c r="S297" s="331"/>
      <c r="T297" s="331"/>
      <c r="U297" s="331"/>
      <c r="V297" s="332"/>
      <c r="W297" s="332"/>
      <c r="X297" s="332"/>
      <c r="Y297" s="332"/>
      <c r="Z297" s="332"/>
      <c r="AA297" s="331"/>
      <c r="AB297" s="331"/>
      <c r="AC297" s="331"/>
      <c r="AD297" s="331"/>
      <c r="AE297" s="331"/>
      <c r="AF297" s="331"/>
      <c r="AG297" s="331"/>
      <c r="AH297" s="331"/>
      <c r="AI297" s="331"/>
      <c r="AJ297" s="331"/>
      <c r="AK297" s="331"/>
      <c r="AL297" s="331"/>
      <c r="AM297" s="331"/>
    </row>
    <row r="298" spans="1:39" s="330" customFormat="1" ht="13.5" thickBot="1">
      <c r="A298" s="331"/>
      <c r="B298" s="531" t="s">
        <v>278</v>
      </c>
      <c r="C298" s="532">
        <v>12852</v>
      </c>
      <c r="D298" s="335"/>
      <c r="E298" s="335"/>
      <c r="F298" s="335"/>
      <c r="G298" s="335"/>
      <c r="H298" s="334"/>
      <c r="J298" s="331"/>
      <c r="K298" s="333"/>
      <c r="L298" s="331"/>
      <c r="M298" s="331"/>
      <c r="N298" s="331"/>
      <c r="O298" s="331"/>
      <c r="P298" s="331"/>
      <c r="Q298" s="331"/>
      <c r="R298" s="331"/>
      <c r="S298" s="331"/>
      <c r="T298" s="331"/>
      <c r="U298" s="331"/>
      <c r="V298" s="332"/>
      <c r="W298" s="332"/>
      <c r="X298" s="332"/>
      <c r="Y298" s="332"/>
      <c r="Z298" s="332"/>
      <c r="AA298" s="331"/>
      <c r="AB298" s="331"/>
      <c r="AC298" s="331"/>
      <c r="AD298" s="331"/>
      <c r="AE298" s="331"/>
      <c r="AF298" s="331"/>
      <c r="AG298" s="331"/>
      <c r="AH298" s="331"/>
      <c r="AI298" s="331"/>
      <c r="AJ298" s="331"/>
      <c r="AK298" s="331"/>
      <c r="AL298" s="331"/>
      <c r="AM298" s="331"/>
    </row>
  </sheetData>
  <sheetProtection/>
  <mergeCells count="78">
    <mergeCell ref="M47:P47"/>
    <mergeCell ref="O251:R251"/>
    <mergeCell ref="O252:R252"/>
    <mergeCell ref="O171:P171"/>
    <mergeCell ref="O170:X170"/>
    <mergeCell ref="E89:AM89"/>
    <mergeCell ref="N90:V90"/>
    <mergeCell ref="I171:J171"/>
    <mergeCell ref="S171:T171"/>
    <mergeCell ref="W171:X171"/>
    <mergeCell ref="B211:B213"/>
    <mergeCell ref="C211:C213"/>
    <mergeCell ref="D211:D213"/>
    <mergeCell ref="C166:D166"/>
    <mergeCell ref="D89:D92"/>
    <mergeCell ref="C126:D126"/>
    <mergeCell ref="C207:D207"/>
    <mergeCell ref="B89:B92"/>
    <mergeCell ref="K91:L91"/>
    <mergeCell ref="P91:S91"/>
    <mergeCell ref="T91:U91"/>
    <mergeCell ref="E251:N251"/>
    <mergeCell ref="G91:J91"/>
    <mergeCell ref="E211:K211"/>
    <mergeCell ref="E171:F171"/>
    <mergeCell ref="E170:N170"/>
    <mergeCell ref="Q171:R171"/>
    <mergeCell ref="M171:N171"/>
    <mergeCell ref="AL46:AM46"/>
    <mergeCell ref="K130:L131"/>
    <mergeCell ref="AB46:AC46"/>
    <mergeCell ref="AF46:AG46"/>
    <mergeCell ref="AH46:AI46"/>
    <mergeCell ref="K171:L171"/>
    <mergeCell ref="Q46:AA46"/>
    <mergeCell ref="E90:M90"/>
    <mergeCell ref="Y171:Z171"/>
    <mergeCell ref="W47:X47"/>
    <mergeCell ref="AD46:AE46"/>
    <mergeCell ref="D294:H295"/>
    <mergeCell ref="D290:H291"/>
    <mergeCell ref="D289:H289"/>
    <mergeCell ref="G131:J131"/>
    <mergeCell ref="C287:D287"/>
    <mergeCell ref="C247:D247"/>
    <mergeCell ref="G171:H171"/>
    <mergeCell ref="K47:L47"/>
    <mergeCell ref="Y170:AD170"/>
    <mergeCell ref="C82:D82"/>
    <mergeCell ref="Q4:T4"/>
    <mergeCell ref="C89:C92"/>
    <mergeCell ref="K5:L5"/>
    <mergeCell ref="J4:N4"/>
    <mergeCell ref="S47:V47"/>
    <mergeCell ref="E4:I4"/>
    <mergeCell ref="F5:G5"/>
    <mergeCell ref="C41:D41"/>
    <mergeCell ref="E46:P46"/>
    <mergeCell ref="AC90:AD90"/>
    <mergeCell ref="AA90:AB90"/>
    <mergeCell ref="AA171:AB171"/>
    <mergeCell ref="AC171:AD171"/>
    <mergeCell ref="B45:B48"/>
    <mergeCell ref="C45:C48"/>
    <mergeCell ref="D45:D48"/>
    <mergeCell ref="E131:F131"/>
    <mergeCell ref="E130:J130"/>
    <mergeCell ref="G47:J47"/>
    <mergeCell ref="U171:V171"/>
    <mergeCell ref="Y90:Z90"/>
    <mergeCell ref="W90:X90"/>
    <mergeCell ref="E45:AM45"/>
    <mergeCell ref="AN45:AN47"/>
    <mergeCell ref="AI90:AM90"/>
    <mergeCell ref="AJ46:AK46"/>
    <mergeCell ref="Y47:AA47"/>
    <mergeCell ref="AG90:AH90"/>
    <mergeCell ref="AE90:AF90"/>
  </mergeCells>
  <hyperlinks>
    <hyperlink ref="D290" r:id="rId1" display="https://www.gov.uk/government/publications/greenhouse-gas-reporting-conversion-factors-2016"/>
    <hyperlink ref="D292" r:id="rId2" display="https://www.gov.uk/government/publications/greenhouse-gas-reporting-conversion-factors-2016"/>
  </hyperlinks>
  <printOptions/>
  <pageMargins left="0.25" right="0.25" top="0.75" bottom="0.75" header="0.3" footer="0.3"/>
  <pageSetup fitToHeight="0" fitToWidth="1" horizontalDpi="600" verticalDpi="600" orientation="landscape" paperSize="8" scale="40" r:id="rId3"/>
  <rowBreaks count="1" manualBreakCount="1">
    <brk id="166"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K32"/>
  <sheetViews>
    <sheetView view="pageBreakPreview" zoomScaleSheetLayoutView="100" zoomScalePageLayoutView="0" workbookViewId="0" topLeftCell="A1">
      <selection activeCell="B32" sqref="B32"/>
    </sheetView>
  </sheetViews>
  <sheetFormatPr defaultColWidth="9.140625" defaultRowHeight="12.75"/>
  <cols>
    <col min="1" max="1" width="2.7109375" style="115" customWidth="1"/>
    <col min="2" max="3" width="20.7109375" style="115" customWidth="1"/>
    <col min="4" max="4" width="25.00390625" style="115" customWidth="1"/>
    <col min="5" max="10" width="15.7109375" style="115" customWidth="1"/>
    <col min="11" max="11" width="81.28125" style="115" bestFit="1" customWidth="1"/>
    <col min="12" max="16384" width="9.140625" style="115" customWidth="1"/>
  </cols>
  <sheetData>
    <row r="1" spans="3:9" ht="12.75">
      <c r="C1" s="419"/>
      <c r="D1" s="512"/>
      <c r="E1" s="534"/>
      <c r="F1" s="534"/>
      <c r="G1" s="534"/>
      <c r="H1" s="534"/>
      <c r="I1" s="512"/>
    </row>
    <row r="2" spans="2:9" ht="21">
      <c r="B2" s="267" t="s">
        <v>252</v>
      </c>
      <c r="C2" s="267" t="s">
        <v>249</v>
      </c>
      <c r="D2" s="268"/>
      <c r="E2" s="269"/>
      <c r="F2" s="268"/>
      <c r="G2" s="268"/>
      <c r="H2" s="268"/>
      <c r="I2" s="607"/>
    </row>
    <row r="3" spans="3:5" ht="12.75" customHeight="1">
      <c r="C3" s="270"/>
      <c r="D3" s="270"/>
      <c r="E3" s="271"/>
    </row>
    <row r="4" spans="2:11" ht="12.75">
      <c r="B4" s="777" t="s">
        <v>11</v>
      </c>
      <c r="C4" s="777" t="s">
        <v>12</v>
      </c>
      <c r="D4" s="777" t="s">
        <v>218</v>
      </c>
      <c r="E4" s="777" t="s">
        <v>401</v>
      </c>
      <c r="F4" s="786" t="s">
        <v>351</v>
      </c>
      <c r="G4" s="786"/>
      <c r="H4" s="786"/>
      <c r="I4" s="786"/>
      <c r="J4" s="779" t="s">
        <v>12</v>
      </c>
      <c r="K4" s="780"/>
    </row>
    <row r="5" spans="2:11" ht="12.75">
      <c r="B5" s="778"/>
      <c r="C5" s="778"/>
      <c r="D5" s="778"/>
      <c r="E5" s="778"/>
      <c r="F5" s="402" t="s">
        <v>37</v>
      </c>
      <c r="G5" s="402" t="s">
        <v>38</v>
      </c>
      <c r="H5" s="402" t="s">
        <v>39</v>
      </c>
      <c r="I5" s="402" t="s">
        <v>217</v>
      </c>
      <c r="J5" s="781"/>
      <c r="K5" s="782"/>
    </row>
    <row r="6" spans="2:11" ht="12.75">
      <c r="B6" s="783" t="s">
        <v>14</v>
      </c>
      <c r="C6" s="783" t="s">
        <v>15</v>
      </c>
      <c r="D6" s="272" t="s">
        <v>219</v>
      </c>
      <c r="E6" s="273">
        <v>2016</v>
      </c>
      <c r="F6" s="613">
        <v>0.40957</v>
      </c>
      <c r="G6" s="613">
        <v>0.00039</v>
      </c>
      <c r="H6" s="613">
        <v>0.00209</v>
      </c>
      <c r="I6" s="595">
        <f>SUM(F6:H6)</f>
        <v>0.41204999999999997</v>
      </c>
      <c r="J6" s="608" t="s">
        <v>377</v>
      </c>
      <c r="K6" s="275"/>
    </row>
    <row r="7" spans="2:11" ht="12.75">
      <c r="B7" s="784"/>
      <c r="C7" s="785"/>
      <c r="D7" s="272" t="s">
        <v>220</v>
      </c>
      <c r="E7" s="273">
        <v>2016</v>
      </c>
      <c r="F7" s="613">
        <v>0.03705</v>
      </c>
      <c r="G7" s="613">
        <v>3E-05</v>
      </c>
      <c r="H7" s="613">
        <v>0.00019</v>
      </c>
      <c r="I7" s="481">
        <f>SUM(F7:H7)</f>
        <v>0.037270000000000005</v>
      </c>
      <c r="J7" s="608" t="s">
        <v>377</v>
      </c>
      <c r="K7" s="275"/>
    </row>
    <row r="8" spans="2:11" ht="12.75">
      <c r="B8" s="784"/>
      <c r="C8" s="185" t="s">
        <v>17</v>
      </c>
      <c r="D8" s="272" t="s">
        <v>383</v>
      </c>
      <c r="E8" s="273">
        <v>2016</v>
      </c>
      <c r="F8" s="617">
        <v>0.18364527438694028</v>
      </c>
      <c r="G8" s="617">
        <v>0.0002549917943351951</v>
      </c>
      <c r="H8" s="614">
        <v>9.655199999992272E-05</v>
      </c>
      <c r="I8" s="302">
        <f aca="true" t="shared" si="0" ref="I8:I17">SUM(F8:H8)</f>
        <v>0.1839968181812754</v>
      </c>
      <c r="J8" s="283" t="s">
        <v>377</v>
      </c>
      <c r="K8" s="275"/>
    </row>
    <row r="9" spans="2:11" ht="12.75">
      <c r="B9" s="784"/>
      <c r="C9" s="185" t="s">
        <v>18</v>
      </c>
      <c r="D9" s="272" t="s">
        <v>40</v>
      </c>
      <c r="E9" s="273">
        <v>2016</v>
      </c>
      <c r="F9" s="618">
        <v>0.31470198358641205</v>
      </c>
      <c r="G9" s="618">
        <v>0.022152061944893886</v>
      </c>
      <c r="H9" s="482">
        <v>0.004435743551697707</v>
      </c>
      <c r="I9" s="302">
        <f t="shared" si="0"/>
        <v>0.34128978908300367</v>
      </c>
      <c r="J9" s="608" t="s">
        <v>377</v>
      </c>
      <c r="K9" s="275"/>
    </row>
    <row r="10" spans="2:11" ht="12.75">
      <c r="B10" s="785"/>
      <c r="C10" s="276" t="s">
        <v>41</v>
      </c>
      <c r="D10" s="272" t="s">
        <v>42</v>
      </c>
      <c r="E10" s="273">
        <v>2016</v>
      </c>
      <c r="F10" s="613">
        <v>0.25358851279408506</v>
      </c>
      <c r="G10" s="613">
        <v>0.0002835268480410848</v>
      </c>
      <c r="H10" s="615">
        <v>0.022437783861581007</v>
      </c>
      <c r="I10" s="302">
        <f t="shared" si="0"/>
        <v>0.27630982350370714</v>
      </c>
      <c r="J10" s="283" t="s">
        <v>377</v>
      </c>
      <c r="K10" s="275"/>
    </row>
    <row r="11" spans="2:11" ht="12.75">
      <c r="B11" s="783" t="s">
        <v>254</v>
      </c>
      <c r="C11" s="783" t="s">
        <v>15</v>
      </c>
      <c r="D11" s="272" t="s">
        <v>219</v>
      </c>
      <c r="E11" s="273">
        <f>E6</f>
        <v>2016</v>
      </c>
      <c r="F11" s="619">
        <f aca="true" t="shared" si="1" ref="E11:H12">F6</f>
        <v>0.40957</v>
      </c>
      <c r="G11" s="619">
        <f t="shared" si="1"/>
        <v>0.00039</v>
      </c>
      <c r="H11" s="616">
        <f t="shared" si="1"/>
        <v>0.00209</v>
      </c>
      <c r="I11" s="302">
        <f t="shared" si="0"/>
        <v>0.41204999999999997</v>
      </c>
      <c r="J11" s="608" t="s">
        <v>377</v>
      </c>
      <c r="K11" s="275"/>
    </row>
    <row r="12" spans="2:11" ht="12.75">
      <c r="B12" s="784"/>
      <c r="C12" s="785"/>
      <c r="D12" s="272" t="s">
        <v>220</v>
      </c>
      <c r="E12" s="273">
        <f t="shared" si="1"/>
        <v>2016</v>
      </c>
      <c r="F12" s="618">
        <f t="shared" si="1"/>
        <v>0.03705</v>
      </c>
      <c r="G12" s="618">
        <f t="shared" si="1"/>
        <v>3E-05</v>
      </c>
      <c r="H12" s="482">
        <f t="shared" si="1"/>
        <v>0.00019</v>
      </c>
      <c r="I12" s="302">
        <f t="shared" si="0"/>
        <v>0.037270000000000005</v>
      </c>
      <c r="J12" s="283" t="s">
        <v>377</v>
      </c>
      <c r="K12" s="275"/>
    </row>
    <row r="13" spans="2:11" ht="12.75">
      <c r="B13" s="784"/>
      <c r="C13" s="185" t="s">
        <v>17</v>
      </c>
      <c r="D13" s="272" t="s">
        <v>383</v>
      </c>
      <c r="E13" s="273">
        <f>E8</f>
        <v>2016</v>
      </c>
      <c r="F13" s="618">
        <f>F8</f>
        <v>0.18364527438694028</v>
      </c>
      <c r="G13" s="482">
        <f>G8</f>
        <v>0.0002549917943351951</v>
      </c>
      <c r="H13" s="614">
        <f>H8</f>
        <v>9.655199999992272E-05</v>
      </c>
      <c r="I13" s="302">
        <f t="shared" si="0"/>
        <v>0.1839968181812754</v>
      </c>
      <c r="J13" s="608" t="s">
        <v>377</v>
      </c>
      <c r="K13" s="275"/>
    </row>
    <row r="14" spans="2:11" ht="12.75">
      <c r="B14" s="784"/>
      <c r="C14" s="185" t="s">
        <v>18</v>
      </c>
      <c r="D14" s="272" t="s">
        <v>43</v>
      </c>
      <c r="E14" s="273">
        <v>2016</v>
      </c>
      <c r="F14" s="482">
        <v>0.3194632502422806</v>
      </c>
      <c r="G14" s="615">
        <v>0.0008110444224967668</v>
      </c>
      <c r="H14" s="482">
        <v>0.0020717440506726995</v>
      </c>
      <c r="I14" s="302">
        <f t="shared" si="0"/>
        <v>0.32234603871545003</v>
      </c>
      <c r="J14" s="283" t="s">
        <v>377</v>
      </c>
      <c r="K14" s="275"/>
    </row>
    <row r="15" spans="2:11" ht="12.75">
      <c r="B15" s="784"/>
      <c r="C15" s="185" t="s">
        <v>20</v>
      </c>
      <c r="D15" s="272" t="s">
        <v>44</v>
      </c>
      <c r="E15" s="273">
        <v>2016</v>
      </c>
      <c r="F15" s="617">
        <v>0.2668683668498284</v>
      </c>
      <c r="G15" s="617">
        <v>0.0003511147802121244</v>
      </c>
      <c r="H15" s="614">
        <v>0.0006054884673912489</v>
      </c>
      <c r="I15" s="302">
        <f t="shared" si="0"/>
        <v>0.2678249700974317</v>
      </c>
      <c r="J15" s="608" t="s">
        <v>377</v>
      </c>
      <c r="K15" s="275"/>
    </row>
    <row r="16" spans="2:11" ht="12.75">
      <c r="B16" s="785"/>
      <c r="C16" s="185" t="s">
        <v>24</v>
      </c>
      <c r="D16" s="272" t="s">
        <v>24</v>
      </c>
      <c r="E16" s="273" t="s">
        <v>223</v>
      </c>
      <c r="F16" s="300">
        <v>0.1349149051551963</v>
      </c>
      <c r="G16" s="300">
        <v>0.0008471162968174997</v>
      </c>
      <c r="H16" s="301">
        <v>0.002949547548231569</v>
      </c>
      <c r="I16" s="302">
        <f t="shared" si="0"/>
        <v>0.13871156900024537</v>
      </c>
      <c r="J16" s="278" t="s">
        <v>214</v>
      </c>
      <c r="K16" s="279"/>
    </row>
    <row r="17" spans="2:11" ht="12.75">
      <c r="B17" s="783" t="s">
        <v>26</v>
      </c>
      <c r="C17" s="540" t="s">
        <v>347</v>
      </c>
      <c r="D17" s="282" t="s">
        <v>42</v>
      </c>
      <c r="E17" s="277">
        <f>E10</f>
        <v>2016</v>
      </c>
      <c r="F17" s="482">
        <f>EF_GAS_DOM</f>
        <v>0.25358851279408506</v>
      </c>
      <c r="G17" s="482">
        <f>G10</f>
        <v>0.0002835268480410848</v>
      </c>
      <c r="H17" s="482">
        <f>H10</f>
        <v>0.022437783861581007</v>
      </c>
      <c r="I17" s="302">
        <f t="shared" si="0"/>
        <v>0.27630982350370714</v>
      </c>
      <c r="J17" s="788" t="s">
        <v>377</v>
      </c>
      <c r="K17" s="789"/>
    </row>
    <row r="18" spans="2:11" ht="12.75">
      <c r="B18" s="784"/>
      <c r="C18" s="783" t="s">
        <v>15</v>
      </c>
      <c r="D18" s="272" t="s">
        <v>219</v>
      </c>
      <c r="E18" s="273">
        <f>E6</f>
        <v>2016</v>
      </c>
      <c r="F18" s="613">
        <f>EF_ELEC</f>
        <v>0.40957</v>
      </c>
      <c r="G18" s="613">
        <f>G6</f>
        <v>0.00039</v>
      </c>
      <c r="H18" s="613">
        <f>H6</f>
        <v>0.00209</v>
      </c>
      <c r="I18" s="595">
        <f>SUM(F18:H18)</f>
        <v>0.41204999999999997</v>
      </c>
      <c r="J18" s="790" t="s">
        <v>377</v>
      </c>
      <c r="K18" s="789"/>
    </row>
    <row r="19" spans="2:11" ht="12.75">
      <c r="B19" s="785"/>
      <c r="C19" s="785"/>
      <c r="D19" s="272" t="s">
        <v>220</v>
      </c>
      <c r="E19" s="273">
        <f>E7</f>
        <v>2016</v>
      </c>
      <c r="F19" s="613">
        <f>F7</f>
        <v>0.03705</v>
      </c>
      <c r="G19" s="613">
        <f>G7</f>
        <v>3E-05</v>
      </c>
      <c r="H19" s="613">
        <f>H7</f>
        <v>0.00019</v>
      </c>
      <c r="I19" s="481">
        <f>SUM(F19:H19)</f>
        <v>0.037270000000000005</v>
      </c>
      <c r="J19" s="790" t="s">
        <v>377</v>
      </c>
      <c r="K19" s="789"/>
    </row>
    <row r="20" spans="2:11" ht="12.75">
      <c r="B20" s="777" t="s">
        <v>11</v>
      </c>
      <c r="C20" s="777" t="s">
        <v>12</v>
      </c>
      <c r="D20" s="777" t="s">
        <v>218</v>
      </c>
      <c r="E20" s="777" t="s">
        <v>36</v>
      </c>
      <c r="F20" s="786" t="s">
        <v>352</v>
      </c>
      <c r="G20" s="786"/>
      <c r="H20" s="786"/>
      <c r="I20" s="786"/>
      <c r="J20" s="779" t="s">
        <v>12</v>
      </c>
      <c r="K20" s="780"/>
    </row>
    <row r="21" spans="2:11" ht="12.75">
      <c r="B21" s="787"/>
      <c r="C21" s="778"/>
      <c r="D21" s="778"/>
      <c r="E21" s="778"/>
      <c r="F21" s="402" t="s">
        <v>37</v>
      </c>
      <c r="G21" s="402" t="s">
        <v>38</v>
      </c>
      <c r="H21" s="402" t="s">
        <v>39</v>
      </c>
      <c r="I21" s="402" t="s">
        <v>217</v>
      </c>
      <c r="J21" s="781"/>
      <c r="K21" s="782"/>
    </row>
    <row r="22" spans="2:11" ht="12.75">
      <c r="B22" s="783" t="s">
        <v>350</v>
      </c>
      <c r="C22" s="281" t="s">
        <v>224</v>
      </c>
      <c r="D22" s="282" t="s">
        <v>225</v>
      </c>
      <c r="E22" s="277">
        <v>2016</v>
      </c>
      <c r="F22" s="303">
        <v>3149.666666666666</v>
      </c>
      <c r="G22" s="303">
        <v>1.7191959355163415</v>
      </c>
      <c r="H22" s="303">
        <v>29.799999999999997</v>
      </c>
      <c r="I22" s="303">
        <f>SUM(F22:H22)</f>
        <v>3181.1858626021826</v>
      </c>
      <c r="J22" s="274" t="str">
        <f>J11</f>
        <v>https://www.gov.uk/government/publications/greenhouse-gas-reporting-conversion-factors-2016</v>
      </c>
      <c r="K22" s="275"/>
    </row>
    <row r="23" spans="2:11" ht="12.75">
      <c r="B23" s="784"/>
      <c r="C23" s="281" t="s">
        <v>226</v>
      </c>
      <c r="D23" s="282" t="s">
        <v>227</v>
      </c>
      <c r="E23" s="277">
        <v>2016</v>
      </c>
      <c r="F23" s="303">
        <v>2978.762830090138</v>
      </c>
      <c r="G23" s="303">
        <v>9.426577682178888</v>
      </c>
      <c r="H23" s="303">
        <v>5.395377710046821</v>
      </c>
      <c r="I23" s="303">
        <f>SUM(F23:H23)</f>
        <v>2993.5847854823637</v>
      </c>
      <c r="J23" s="283" t="str">
        <f>J22</f>
        <v>https://www.gov.uk/government/publications/greenhouse-gas-reporting-conversion-factors-2016</v>
      </c>
      <c r="K23" s="275"/>
    </row>
    <row r="24" spans="2:11" ht="12.75">
      <c r="B24" s="784"/>
      <c r="C24" s="281" t="s">
        <v>171</v>
      </c>
      <c r="D24" s="283" t="s">
        <v>228</v>
      </c>
      <c r="E24" s="277">
        <v>2016</v>
      </c>
      <c r="F24" s="303">
        <v>3082.8222398664648</v>
      </c>
      <c r="G24" s="303">
        <v>0.7141508197122961</v>
      </c>
      <c r="H24" s="303">
        <v>24.983998562756607</v>
      </c>
      <c r="I24" s="303">
        <f>SUM(F24:H24)</f>
        <v>3108.520389248934</v>
      </c>
      <c r="J24" s="283" t="str">
        <f>J22</f>
        <v>https://www.gov.uk/government/publications/greenhouse-gas-reporting-conversion-factors-2016</v>
      </c>
      <c r="K24" s="275"/>
    </row>
    <row r="25" spans="2:11" ht="12.75">
      <c r="B25" s="784"/>
      <c r="C25" s="281" t="s">
        <v>376</v>
      </c>
      <c r="D25" s="284" t="s">
        <v>378</v>
      </c>
      <c r="E25" s="277">
        <v>2016</v>
      </c>
      <c r="F25" s="303"/>
      <c r="G25" s="303"/>
      <c r="H25" s="303"/>
      <c r="I25" s="303">
        <v>49.36131</v>
      </c>
      <c r="J25" s="283" t="s">
        <v>377</v>
      </c>
      <c r="K25" s="275"/>
    </row>
    <row r="26" spans="2:11" ht="12.75">
      <c r="B26" s="785"/>
      <c r="C26" s="281" t="s">
        <v>229</v>
      </c>
      <c r="D26" s="282" t="s">
        <v>229</v>
      </c>
      <c r="E26" s="277">
        <v>2016</v>
      </c>
      <c r="F26" s="303">
        <v>2936.4761416983624</v>
      </c>
      <c r="G26" s="303">
        <v>2.536557722863861</v>
      </c>
      <c r="H26" s="303">
        <v>2.7675398957185076</v>
      </c>
      <c r="I26" s="303">
        <f>SUM(F26:H26)</f>
        <v>2941.780239316945</v>
      </c>
      <c r="J26" s="274" t="str">
        <f>J15</f>
        <v>https://www.gov.uk/government/publications/greenhouse-gas-reporting-conversion-factors-2016</v>
      </c>
      <c r="K26" s="275"/>
    </row>
    <row r="27" spans="2:11" ht="12.75">
      <c r="B27" s="787" t="s">
        <v>11</v>
      </c>
      <c r="C27" s="777" t="s">
        <v>12</v>
      </c>
      <c r="D27" s="777" t="s">
        <v>218</v>
      </c>
      <c r="E27" s="777" t="s">
        <v>36</v>
      </c>
      <c r="F27" s="786" t="s">
        <v>353</v>
      </c>
      <c r="G27" s="786"/>
      <c r="H27" s="786"/>
      <c r="I27" s="786"/>
      <c r="J27" s="779" t="s">
        <v>12</v>
      </c>
      <c r="K27" s="780"/>
    </row>
    <row r="28" spans="2:11" ht="12.75">
      <c r="B28" s="778"/>
      <c r="C28" s="778"/>
      <c r="D28" s="778"/>
      <c r="E28" s="778"/>
      <c r="F28" s="402" t="s">
        <v>37</v>
      </c>
      <c r="G28" s="402" t="s">
        <v>38</v>
      </c>
      <c r="H28" s="402" t="s">
        <v>39</v>
      </c>
      <c r="I28" s="402" t="s">
        <v>217</v>
      </c>
      <c r="J28" s="781"/>
      <c r="K28" s="782"/>
    </row>
    <row r="29" spans="2:11" ht="12.75">
      <c r="B29" s="776" t="s">
        <v>350</v>
      </c>
      <c r="C29" s="280" t="s">
        <v>226</v>
      </c>
      <c r="D29" s="284" t="s">
        <v>227</v>
      </c>
      <c r="E29" s="285">
        <v>2016</v>
      </c>
      <c r="F29" s="609">
        <v>2.1861391143317053</v>
      </c>
      <c r="G29" s="482">
        <v>0.006890773159487491</v>
      </c>
      <c r="H29" s="482">
        <v>0.003943989554127793</v>
      </c>
      <c r="I29" s="612">
        <f>SUM(F29:H29)</f>
        <v>2.1969738770453207</v>
      </c>
      <c r="J29" s="274" t="str">
        <f>J18</f>
        <v>https://www.gov.uk/government/publications/greenhouse-gas-reporting-conversion-factors-2016</v>
      </c>
      <c r="K29" s="275"/>
    </row>
    <row r="30" spans="2:11" ht="12.75">
      <c r="B30" s="776"/>
      <c r="C30" s="287" t="s">
        <v>171</v>
      </c>
      <c r="D30" s="283" t="s">
        <v>228</v>
      </c>
      <c r="E30" s="286">
        <v>2016</v>
      </c>
      <c r="F30" s="610">
        <v>2.5900663494606757</v>
      </c>
      <c r="G30" s="611">
        <v>0.0005991198151948793</v>
      </c>
      <c r="H30" s="611">
        <v>0.02095973033788306</v>
      </c>
      <c r="I30" s="612">
        <f>SUM(F30:H30)</f>
        <v>2.6116251996137536</v>
      </c>
      <c r="J30" s="274" t="str">
        <f>J19</f>
        <v>https://www.gov.uk/government/publications/greenhouse-gas-reporting-conversion-factors-2016</v>
      </c>
      <c r="K30" s="275"/>
    </row>
    <row r="31" spans="2:11" s="606" customFormat="1" ht="12.75">
      <c r="B31" s="601"/>
      <c r="C31" s="602"/>
      <c r="D31" s="603"/>
      <c r="E31" s="604"/>
      <c r="F31" s="605"/>
      <c r="G31" s="605"/>
      <c r="H31" s="605"/>
      <c r="I31" s="604"/>
      <c r="J31" s="603"/>
      <c r="K31" s="603"/>
    </row>
    <row r="32" spans="1:2" ht="12.75">
      <c r="A32" s="115">
        <v>1</v>
      </c>
      <c r="B32" s="115" t="s">
        <v>404</v>
      </c>
    </row>
  </sheetData>
  <sheetProtection/>
  <mergeCells count="29">
    <mergeCell ref="J19:K19"/>
    <mergeCell ref="B27:B28"/>
    <mergeCell ref="C27:C28"/>
    <mergeCell ref="D27:D28"/>
    <mergeCell ref="E27:E28"/>
    <mergeCell ref="J27:K28"/>
    <mergeCell ref="F20:I20"/>
    <mergeCell ref="F27:I27"/>
    <mergeCell ref="B22:B26"/>
    <mergeCell ref="C11:C12"/>
    <mergeCell ref="B20:B21"/>
    <mergeCell ref="C20:C21"/>
    <mergeCell ref="D20:D21"/>
    <mergeCell ref="E20:E21"/>
    <mergeCell ref="J17:K17"/>
    <mergeCell ref="J20:K21"/>
    <mergeCell ref="C18:C19"/>
    <mergeCell ref="B17:B19"/>
    <mergeCell ref="J18:K18"/>
    <mergeCell ref="B29:B30"/>
    <mergeCell ref="B4:B5"/>
    <mergeCell ref="C4:C5"/>
    <mergeCell ref="D4:D5"/>
    <mergeCell ref="E4:E5"/>
    <mergeCell ref="J4:K5"/>
    <mergeCell ref="B6:B10"/>
    <mergeCell ref="C6:C7"/>
    <mergeCell ref="F4:I4"/>
    <mergeCell ref="B11:B16"/>
  </mergeCells>
  <hyperlinks>
    <hyperlink ref="J7" r:id="rId1" display="https://www.gov.uk/government/publications/greenhouse-gas-reporting-conversion-factors-2016"/>
    <hyperlink ref="J9" r:id="rId2" display="https://www.gov.uk/government/publications/greenhouse-gas-reporting-conversion-factors-2016"/>
    <hyperlink ref="J11" r:id="rId3" display="https://www.gov.uk/government/publications/greenhouse-gas-reporting-conversion-factors-2016"/>
    <hyperlink ref="J13" r:id="rId4" display="https://www.gov.uk/government/publications/greenhouse-gas-reporting-conversion-factors-2016"/>
    <hyperlink ref="J15" r:id="rId5" display="https://www.gov.uk/government/publications/greenhouse-gas-reporting-conversion-factors-2016"/>
    <hyperlink ref="J18" r:id="rId6" display="https://www.gov.uk/government/publications/greenhouse-gas-reporting-conversion-factors-2016"/>
    <hyperlink ref="J19" r:id="rId7" display="https://www.gov.uk/government/publications/greenhouse-gas-reporting-conversion-factors-2016"/>
    <hyperlink ref="J6" r:id="rId8" display="https://www.gov.uk/government/publications/greenhouse-gas-reporting-conversion-factors-2016"/>
  </hyperlinks>
  <printOptions/>
  <pageMargins left="0.25" right="0.25" top="0.75" bottom="0.75" header="0.3" footer="0.3"/>
  <pageSetup fitToHeight="1" fitToWidth="1" horizontalDpi="600" verticalDpi="600" orientation="landscape" paperSize="9" scale="59"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Greater London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MDoust</dc:creator>
  <cp:keywords/>
  <dc:description/>
  <cp:lastModifiedBy>Matthew Thomas</cp:lastModifiedBy>
  <cp:lastPrinted>2015-06-01T12:59:05Z</cp:lastPrinted>
  <dcterms:created xsi:type="dcterms:W3CDTF">2011-06-30T10:47:17Z</dcterms:created>
  <dcterms:modified xsi:type="dcterms:W3CDTF">2017-10-25T14:51:41Z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