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Teams\D&amp;PA\Social Policy\Social Integration\NRPF cost benefit\CBA model\Final\"/>
    </mc:Choice>
  </mc:AlternateContent>
  <xr:revisionPtr revIDLastSave="0" documentId="8_{3DFF0699-EE64-417C-B9C0-6448B81B0569}" xr6:coauthVersionLast="44" xr6:coauthVersionMax="44" xr10:uidLastSave="{00000000-0000-0000-0000-000000000000}"/>
  <bookViews>
    <workbookView xWindow="4520" yWindow="4520" windowWidth="28800" windowHeight="15460" xr2:uid="{DD8BB44A-A4D9-4A65-A578-63B78AF33435}"/>
  </bookViews>
  <sheets>
    <sheet name="Contents" sheetId="25" r:id="rId1"/>
    <sheet name="Summary" sheetId="43" r:id="rId2"/>
    <sheet name=" A all" sheetId="41" r:id="rId3"/>
    <sheet name="A fiscal" sheetId="42" r:id="rId4"/>
    <sheet name="B" sheetId="7" r:id="rId5"/>
    <sheet name="C" sheetId="32" r:id="rId6"/>
    <sheet name="D" sheetId="33" r:id="rId7"/>
    <sheet name="BAUa" sheetId="34" r:id="rId8"/>
    <sheet name="BAUb" sheetId="35" r:id="rId9"/>
    <sheet name="BAUc" sheetId="36" r:id="rId10"/>
    <sheet name="1a" sheetId="23" r:id="rId11"/>
    <sheet name="1b" sheetId="24" r:id="rId12"/>
    <sheet name="2a" sheetId="27" r:id="rId13"/>
    <sheet name="2b" sheetId="21" r:id="rId14"/>
    <sheet name="3a" sheetId="28" r:id="rId15"/>
    <sheet name="3b" sheetId="18" r:id="rId16"/>
    <sheet name="4a" sheetId="29" r:id="rId17"/>
    <sheet name="4b" sheetId="20" r:id="rId18"/>
    <sheet name="5a" sheetId="30" r:id="rId19"/>
    <sheet name="5b" sheetId="19" r:id="rId20"/>
    <sheet name="6a" sheetId="31" r:id="rId21"/>
    <sheet name="6b" sheetId="17" r:id="rId22"/>
  </sheets>
  <externalReferences>
    <externalReference r:id="rId23"/>
  </externalReferences>
  <definedNames>
    <definedName name="_ftn1" localSheetId="10">'1a'!$D$44</definedName>
    <definedName name="_ftnref1" localSheetId="10">'6b'!$G$1</definedName>
    <definedName name="_Hlk77857660" localSheetId="10">'4b'!$E$3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19" l="1"/>
  <c r="G3" i="19"/>
  <c r="J22" i="7"/>
  <c r="I22" i="7"/>
  <c r="H28" i="7"/>
  <c r="H27" i="7"/>
  <c r="H26" i="7"/>
  <c r="H11" i="43"/>
  <c r="C10" i="42"/>
  <c r="C9" i="42"/>
  <c r="C8" i="42"/>
  <c r="C7" i="42"/>
  <c r="C6" i="42"/>
  <c r="C5" i="42"/>
  <c r="C4" i="42"/>
  <c r="B4" i="42"/>
  <c r="H5" i="43"/>
  <c r="H4" i="43"/>
  <c r="H3" i="43"/>
  <c r="D11" i="43" l="1"/>
  <c r="D12" i="43"/>
  <c r="C12" i="43"/>
  <c r="C11" i="43"/>
  <c r="C6" i="43"/>
  <c r="C5" i="43"/>
  <c r="C42" i="41"/>
  <c r="L40" i="41"/>
  <c r="K40" i="41"/>
  <c r="J40" i="41"/>
  <c r="I40" i="41"/>
  <c r="H40" i="41"/>
  <c r="G40" i="41"/>
  <c r="F40" i="41"/>
  <c r="E40" i="41"/>
  <c r="D40" i="41"/>
  <c r="C40" i="41"/>
  <c r="D6" i="43" l="1"/>
  <c r="D4" i="43" l="1"/>
  <c r="D5" i="43" l="1"/>
  <c r="D7" i="43" l="1"/>
  <c r="D8" i="43" s="1"/>
  <c r="D13" i="43" l="1"/>
  <c r="I4" i="43" s="1"/>
  <c r="D10" i="43" l="1"/>
  <c r="D14" i="43" l="1"/>
  <c r="I3" i="43"/>
  <c r="I5" i="43" s="1"/>
  <c r="N10" i="33"/>
  <c r="P10" i="33" s="1"/>
  <c r="P9" i="33"/>
  <c r="Q9" i="33"/>
  <c r="Q10" i="33"/>
  <c r="O10" i="33"/>
  <c r="Q5" i="33"/>
  <c r="P5" i="33"/>
  <c r="O5" i="33"/>
  <c r="N5" i="33"/>
  <c r="O9" i="33"/>
  <c r="N9" i="33"/>
  <c r="Q8" i="33"/>
  <c r="P8" i="33"/>
  <c r="O8" i="33"/>
  <c r="N8" i="33"/>
  <c r="Q2" i="33"/>
  <c r="O2" i="33"/>
  <c r="Q7" i="33"/>
  <c r="P7" i="33"/>
  <c r="O7" i="33"/>
  <c r="N7" i="33"/>
  <c r="Q6" i="33"/>
  <c r="P6" i="33"/>
  <c r="O6" i="33"/>
  <c r="N6" i="33"/>
  <c r="Q4" i="33"/>
  <c r="P4" i="33"/>
  <c r="O4" i="33"/>
  <c r="N4" i="33"/>
  <c r="N2" i="33"/>
  <c r="L10" i="33"/>
  <c r="L9" i="33"/>
  <c r="L8" i="33"/>
  <c r="L7" i="33"/>
  <c r="L6" i="33"/>
  <c r="L5" i="33"/>
  <c r="L4" i="33"/>
  <c r="K10" i="33"/>
  <c r="K9" i="33"/>
  <c r="K8" i="33"/>
  <c r="K7" i="33"/>
  <c r="K6" i="33"/>
  <c r="K5" i="33"/>
  <c r="K4" i="33"/>
  <c r="J10" i="33"/>
  <c r="J9" i="33"/>
  <c r="J8" i="33"/>
  <c r="J7" i="33"/>
  <c r="J6" i="33"/>
  <c r="J5" i="33"/>
  <c r="J4" i="33"/>
  <c r="I10" i="33"/>
  <c r="I9" i="33"/>
  <c r="H9" i="33"/>
  <c r="I8" i="33"/>
  <c r="I7" i="33"/>
  <c r="I6" i="33"/>
  <c r="I5" i="33"/>
  <c r="I4" i="33"/>
  <c r="C16" i="20" l="1"/>
  <c r="B8" i="29" l="1"/>
  <c r="B17" i="42" l="1"/>
  <c r="B16" i="42"/>
  <c r="E15" i="42"/>
  <c r="F15" i="42" s="1"/>
  <c r="G15" i="42" s="1"/>
  <c r="H15" i="42" s="1"/>
  <c r="I15" i="42" s="1"/>
  <c r="J15" i="42" s="1"/>
  <c r="K15" i="42" s="1"/>
  <c r="L15" i="42" s="1"/>
  <c r="M15" i="42" s="1"/>
  <c r="A5" i="42"/>
  <c r="E3" i="42"/>
  <c r="F3" i="42" s="1"/>
  <c r="G3" i="42" s="1"/>
  <c r="H3" i="42" s="1"/>
  <c r="I3" i="42" s="1"/>
  <c r="J3" i="42" s="1"/>
  <c r="K3" i="42" s="1"/>
  <c r="L3" i="42" s="1"/>
  <c r="M3" i="42" s="1"/>
  <c r="B18" i="42" l="1"/>
  <c r="L3" i="29" l="1"/>
  <c r="B15" i="29"/>
  <c r="E4" i="20" s="1"/>
  <c r="D31" i="41"/>
  <c r="E31" i="41" s="1"/>
  <c r="F31" i="41" s="1"/>
  <c r="G31" i="41" s="1"/>
  <c r="H31" i="41" s="1"/>
  <c r="I31" i="41" s="1"/>
  <c r="J31" i="41" s="1"/>
  <c r="K31" i="41" s="1"/>
  <c r="L31" i="41" s="1"/>
  <c r="C27" i="41"/>
  <c r="D16" i="42" s="1"/>
  <c r="E16" i="42" l="1"/>
  <c r="F16" i="42" s="1"/>
  <c r="G16" i="42" s="1"/>
  <c r="H16" i="42" s="1"/>
  <c r="I16" i="42" s="1"/>
  <c r="J16" i="42" s="1"/>
  <c r="K16" i="42" s="1"/>
  <c r="L16" i="42" s="1"/>
  <c r="M16" i="42" s="1"/>
  <c r="L4" i="29"/>
  <c r="L5" i="29" s="1"/>
  <c r="L6" i="29" s="1"/>
  <c r="L7" i="29" s="1"/>
  <c r="L8" i="29" s="1"/>
  <c r="L9" i="29" s="1"/>
  <c r="L10" i="29" s="1"/>
  <c r="L11" i="29" s="1"/>
  <c r="L12" i="29" s="1"/>
  <c r="L13" i="29" s="1"/>
  <c r="L14" i="29" s="1"/>
  <c r="L15" i="29" s="1"/>
  <c r="L16" i="29" s="1"/>
  <c r="L17" i="29" s="1"/>
  <c r="L18" i="29" s="1"/>
  <c r="L19" i="29" s="1"/>
  <c r="L20" i="29" s="1"/>
  <c r="L21" i="29" s="1"/>
  <c r="L22" i="29" s="1"/>
  <c r="L23" i="29" s="1"/>
  <c r="L24" i="29" s="1"/>
  <c r="L25" i="29" s="1"/>
  <c r="L26" i="29" s="1"/>
  <c r="L27" i="29" s="1"/>
  <c r="L28" i="29" s="1"/>
  <c r="L29" i="29" s="1"/>
  <c r="L30" i="29" s="1"/>
  <c r="L31" i="29" s="1"/>
  <c r="L32" i="29" s="1"/>
  <c r="L33" i="29" s="1"/>
  <c r="L34" i="29" s="1"/>
  <c r="L35" i="29" s="1"/>
  <c r="L36" i="29" s="1"/>
  <c r="L37" i="29" s="1"/>
  <c r="L38" i="29" s="1"/>
  <c r="L39" i="29" s="1"/>
  <c r="L40" i="29" s="1"/>
  <c r="L41" i="29" s="1"/>
  <c r="L42" i="29" s="1"/>
  <c r="L43" i="29" s="1"/>
  <c r="L44" i="29" s="1"/>
  <c r="L45" i="29" s="1"/>
  <c r="L46" i="29" s="1"/>
  <c r="L47" i="29" s="1"/>
  <c r="L48" i="29" s="1"/>
  <c r="L49" i="29" s="1"/>
  <c r="L50" i="29" s="1"/>
  <c r="L51" i="29" s="1"/>
  <c r="L52" i="29" s="1"/>
  <c r="L53" i="29" s="1"/>
  <c r="L54" i="29" s="1"/>
  <c r="L55" i="29" s="1"/>
  <c r="L56" i="29" s="1"/>
  <c r="L57" i="29" s="1"/>
  <c r="L58" i="29" s="1"/>
  <c r="L59" i="29" s="1"/>
  <c r="L60" i="29" s="1"/>
  <c r="L61" i="29" s="1"/>
  <c r="L62" i="29" s="1"/>
  <c r="L63" i="29" s="1"/>
  <c r="L64" i="29" s="1"/>
  <c r="L65" i="29" s="1"/>
  <c r="L66" i="29" s="1"/>
  <c r="L67" i="29" s="1"/>
  <c r="L68" i="29" s="1"/>
  <c r="L69" i="29" s="1"/>
  <c r="L70" i="29" s="1"/>
  <c r="L71" i="29" s="1"/>
  <c r="L72" i="29" s="1"/>
  <c r="L73" i="29" s="1"/>
  <c r="L74" i="29" s="1"/>
  <c r="L75" i="29" s="1"/>
  <c r="L76" i="29" s="1"/>
  <c r="L77" i="29" s="1"/>
  <c r="L78" i="29" s="1"/>
  <c r="L79" i="29" s="1"/>
  <c r="L80" i="29" s="1"/>
  <c r="L81" i="29" s="1"/>
  <c r="L82" i="29" s="1"/>
  <c r="L83" i="29" s="1"/>
  <c r="L84" i="29" s="1"/>
  <c r="L85" i="29" s="1"/>
  <c r="L86" i="29" s="1"/>
  <c r="L87" i="29" s="1"/>
  <c r="L88" i="29" s="1"/>
  <c r="L89" i="29" s="1"/>
  <c r="L90" i="29" s="1"/>
  <c r="L91" i="29" s="1"/>
  <c r="L92" i="29" s="1"/>
  <c r="L93" i="29" s="1"/>
  <c r="L94" i="29" s="1"/>
  <c r="L95" i="29" s="1"/>
  <c r="L96" i="29" s="1"/>
  <c r="L97" i="29" s="1"/>
  <c r="L98" i="29" s="1"/>
  <c r="L99" i="29" s="1"/>
  <c r="L100" i="29" s="1"/>
  <c r="L101" i="29" s="1"/>
  <c r="L102" i="29" s="1"/>
  <c r="L103" i="29" s="1"/>
  <c r="L104" i="29" s="1"/>
  <c r="L105" i="29" s="1"/>
  <c r="L106" i="29" s="1"/>
  <c r="L107" i="29" s="1"/>
  <c r="L108" i="29" s="1"/>
  <c r="L109" i="29" s="1"/>
  <c r="L110" i="29" s="1"/>
  <c r="L111" i="29" s="1"/>
  <c r="L112" i="29" s="1"/>
  <c r="L113" i="29" s="1"/>
  <c r="L114" i="29" s="1"/>
  <c r="L115" i="29" s="1"/>
  <c r="L116" i="29" s="1"/>
  <c r="L117" i="29" s="1"/>
  <c r="L118" i="29" s="1"/>
  <c r="L119" i="29" s="1"/>
  <c r="L120" i="29" s="1"/>
  <c r="L121" i="29" s="1"/>
  <c r="L122" i="29" s="1"/>
  <c r="L123" i="29" s="1"/>
  <c r="L124" i="29" s="1"/>
  <c r="L125" i="29" s="1"/>
  <c r="L126" i="29" s="1"/>
  <c r="L127" i="29" s="1"/>
  <c r="L128" i="29" s="1"/>
  <c r="L129" i="29" s="1"/>
  <c r="L130" i="29" s="1"/>
  <c r="L131" i="29" s="1"/>
  <c r="L132" i="29" s="1"/>
  <c r="L133" i="29" s="1"/>
  <c r="L134" i="29" s="1"/>
  <c r="L135" i="29" s="1"/>
  <c r="L136" i="29" s="1"/>
  <c r="L137" i="29" s="1"/>
  <c r="L138" i="29" s="1"/>
  <c r="L139" i="29" s="1"/>
  <c r="L140" i="29" s="1"/>
  <c r="L141" i="29" s="1"/>
  <c r="L142" i="29" s="1"/>
  <c r="L143" i="29" s="1"/>
  <c r="L144" i="29" s="1"/>
  <c r="L145" i="29" s="1"/>
  <c r="L146" i="29" s="1"/>
  <c r="C28" i="41"/>
  <c r="D17" i="42"/>
  <c r="E17" i="42" s="1"/>
  <c r="F17" i="42" s="1"/>
  <c r="G17" i="42" s="1"/>
  <c r="H17" i="42" s="1"/>
  <c r="I17" i="42" s="1"/>
  <c r="J17" i="42" s="1"/>
  <c r="K17" i="42" s="1"/>
  <c r="L17" i="42" s="1"/>
  <c r="M17" i="42" s="1"/>
  <c r="E15" i="20"/>
  <c r="D18" i="42" l="1"/>
  <c r="D19" i="42" s="1"/>
  <c r="E18" i="42" l="1"/>
  <c r="E19" i="42" s="1"/>
  <c r="F18" i="42" l="1"/>
  <c r="F19" i="42" s="1"/>
  <c r="G18" i="42" l="1"/>
  <c r="G19" i="42" s="1"/>
  <c r="H18" i="42" l="1"/>
  <c r="H19" i="42" s="1"/>
  <c r="I18" i="42" l="1"/>
  <c r="I19" i="42" s="1"/>
  <c r="J18" i="42" l="1"/>
  <c r="J19" i="42" s="1"/>
  <c r="K18" i="42" l="1"/>
  <c r="K19" i="42" s="1"/>
  <c r="L18" i="42" l="1"/>
  <c r="L19" i="42" s="1"/>
  <c r="M18" i="42"/>
  <c r="M19" i="42" s="1"/>
  <c r="E3" i="36" l="1"/>
  <c r="B6" i="29"/>
  <c r="B16" i="29"/>
  <c r="B17" i="29" s="1"/>
  <c r="E5" i="20" s="1"/>
  <c r="B14" i="29"/>
  <c r="B9" i="29"/>
  <c r="B10" i="29" s="1"/>
  <c r="B5" i="20"/>
  <c r="B4" i="20"/>
  <c r="B16" i="20"/>
  <c r="E16" i="20" l="1"/>
  <c r="B3" i="20"/>
  <c r="C4" i="19"/>
  <c r="C3" i="19"/>
  <c r="C19" i="33"/>
  <c r="C4" i="33"/>
  <c r="B8" i="28" l="1"/>
  <c r="G5" i="24" l="1"/>
  <c r="B7" i="23"/>
  <c r="G4" i="24"/>
  <c r="I4" i="24" s="1"/>
  <c r="N4" i="24" s="1"/>
  <c r="E6" i="24"/>
  <c r="E4" i="24"/>
  <c r="B4" i="27"/>
  <c r="D11" i="36"/>
  <c r="E5" i="35"/>
  <c r="E9" i="35" l="1"/>
  <c r="E11" i="35" s="1"/>
  <c r="D13" i="33" l="1"/>
  <c r="F13" i="33" s="1"/>
  <c r="G14" i="33" s="1"/>
  <c r="B7" i="27"/>
  <c r="B3" i="36"/>
  <c r="C3" i="36"/>
  <c r="C3" i="35"/>
  <c r="C7" i="34"/>
  <c r="B6" i="34"/>
  <c r="B5" i="34"/>
  <c r="B3" i="35" s="1"/>
  <c r="D3" i="35" s="1"/>
  <c r="E3" i="35" s="1"/>
  <c r="C4" i="18"/>
  <c r="C3" i="18"/>
  <c r="D3" i="36" l="1"/>
  <c r="B6" i="31" l="1"/>
  <c r="E4" i="19"/>
  <c r="B4" i="19"/>
  <c r="B3" i="19"/>
  <c r="B5" i="30"/>
  <c r="B4" i="30"/>
  <c r="B18" i="33"/>
  <c r="D3" i="17" l="1"/>
  <c r="G4" i="7" l="1"/>
  <c r="H4" i="7" s="1"/>
  <c r="E3" i="19" l="1"/>
  <c r="B23" i="33"/>
  <c r="B7" i="33" s="1"/>
  <c r="B22" i="33"/>
  <c r="B8" i="33" s="1"/>
  <c r="B6" i="33"/>
  <c r="B4" i="33"/>
  <c r="B20" i="33"/>
  <c r="B5" i="33" s="1"/>
  <c r="C8" i="34" s="1"/>
  <c r="B4" i="29" l="1"/>
  <c r="B6" i="27"/>
  <c r="E3" i="20" l="1"/>
  <c r="D4" i="21"/>
  <c r="H5" i="24"/>
  <c r="F81" i="32"/>
  <c r="D3" i="21"/>
  <c r="B4" i="21"/>
  <c r="B3" i="21"/>
  <c r="E5" i="24"/>
  <c r="I5" i="24"/>
  <c r="I6" i="24" l="1"/>
  <c r="O4" i="24"/>
  <c r="J5" i="24"/>
  <c r="P5" i="24"/>
  <c r="O5" i="24"/>
  <c r="N5" i="24"/>
  <c r="G6" i="24"/>
  <c r="N6" i="24" l="1"/>
  <c r="P6" i="24"/>
  <c r="P4" i="24"/>
  <c r="J6" i="24"/>
  <c r="O6" i="24"/>
  <c r="J4" i="24"/>
  <c r="E20" i="7"/>
  <c r="Q4" i="24" l="1"/>
  <c r="F20" i="7"/>
  <c r="E21" i="7"/>
  <c r="Q5" i="24"/>
  <c r="Q6" i="24"/>
  <c r="F21" i="7" l="1"/>
  <c r="C8" i="7"/>
  <c r="E22" i="7" l="1"/>
  <c r="E4" i="33" l="1"/>
  <c r="F4" i="33"/>
  <c r="C3" i="20"/>
  <c r="F3" i="20" s="1"/>
  <c r="F22" i="7"/>
  <c r="E24" i="7"/>
  <c r="B32" i="41" l="1"/>
  <c r="E25" i="7"/>
  <c r="F25" i="7" s="1"/>
  <c r="E8" i="33"/>
  <c r="E7" i="33"/>
  <c r="E5" i="33"/>
  <c r="F8" i="33"/>
  <c r="H22" i="7"/>
  <c r="B3" i="17"/>
  <c r="C3" i="17" s="1"/>
  <c r="E3" i="17" s="1"/>
  <c r="E5" i="17" s="1"/>
  <c r="D3" i="19"/>
  <c r="F3" i="19" s="1"/>
  <c r="D4" i="19"/>
  <c r="F4" i="19" s="1"/>
  <c r="C4" i="21"/>
  <c r="E4" i="21" s="1"/>
  <c r="C3" i="21"/>
  <c r="E3" i="21" s="1"/>
  <c r="G4" i="33"/>
  <c r="B8" i="41" s="1"/>
  <c r="F5" i="33"/>
  <c r="F24" i="7"/>
  <c r="C5" i="24"/>
  <c r="F5" i="24" s="1"/>
  <c r="F7" i="33"/>
  <c r="E26" i="7"/>
  <c r="E27" i="7"/>
  <c r="D8" i="41" l="1"/>
  <c r="C8" i="41"/>
  <c r="B5" i="42"/>
  <c r="C32" i="41"/>
  <c r="F6" i="19"/>
  <c r="E12" i="19" s="1"/>
  <c r="F12" i="19" s="1"/>
  <c r="G12" i="41" s="1"/>
  <c r="F27" i="7"/>
  <c r="E6" i="33"/>
  <c r="B5" i="29"/>
  <c r="C15" i="20"/>
  <c r="F6" i="33"/>
  <c r="G8" i="33"/>
  <c r="B11" i="41" s="1"/>
  <c r="H23" i="7"/>
  <c r="B4" i="18" s="1"/>
  <c r="B3" i="18" s="1"/>
  <c r="D3" i="18" s="1"/>
  <c r="E3" i="18" s="1"/>
  <c r="B12" i="29"/>
  <c r="E13" i="19"/>
  <c r="F13" i="19" s="1"/>
  <c r="H12" i="41" s="1"/>
  <c r="G5" i="33"/>
  <c r="B9" i="41" s="1"/>
  <c r="G7" i="33"/>
  <c r="B12" i="41" s="1"/>
  <c r="E5" i="21"/>
  <c r="E6" i="21" s="1"/>
  <c r="F9" i="41" s="1"/>
  <c r="E28" i="7"/>
  <c r="C6" i="24" s="1"/>
  <c r="F6" i="24" s="1"/>
  <c r="F26" i="7"/>
  <c r="C4" i="24"/>
  <c r="E6" i="17"/>
  <c r="F13" i="41" s="1"/>
  <c r="E11" i="17"/>
  <c r="F11" i="17" s="1"/>
  <c r="G13" i="41" s="1"/>
  <c r="E12" i="17"/>
  <c r="F12" i="17" s="1"/>
  <c r="H13" i="41" s="1"/>
  <c r="R5" i="24"/>
  <c r="F7" i="19" l="1"/>
  <c r="F12" i="41" s="1"/>
  <c r="C11" i="41"/>
  <c r="D11" i="41"/>
  <c r="D5" i="42"/>
  <c r="D32" i="41"/>
  <c r="C12" i="41"/>
  <c r="D12" i="41"/>
  <c r="C9" i="41"/>
  <c r="D9" i="41"/>
  <c r="D4" i="18"/>
  <c r="E4" i="18" s="1"/>
  <c r="C4" i="20"/>
  <c r="C5" i="20"/>
  <c r="G5" i="20" s="1"/>
  <c r="G6" i="33"/>
  <c r="B10" i="41" s="1"/>
  <c r="B13" i="21"/>
  <c r="C13" i="21" s="1"/>
  <c r="H9" i="41" s="1"/>
  <c r="B12" i="21"/>
  <c r="G9" i="41" s="1"/>
  <c r="F4" i="24"/>
  <c r="R6" i="24"/>
  <c r="F28" i="7"/>
  <c r="K5" i="24"/>
  <c r="L5" i="24" s="1"/>
  <c r="E5" i="36" l="1"/>
  <c r="B8" i="42"/>
  <c r="D8" i="42" s="1"/>
  <c r="E8" i="42" s="1"/>
  <c r="F8" i="42" s="1"/>
  <c r="G8" i="42" s="1"/>
  <c r="H8" i="42" s="1"/>
  <c r="I8" i="42" s="1"/>
  <c r="J8" i="42" s="1"/>
  <c r="K8" i="42" s="1"/>
  <c r="L8" i="42" s="1"/>
  <c r="M8" i="42" s="1"/>
  <c r="E5" i="42"/>
  <c r="E32" i="41"/>
  <c r="D10" i="41"/>
  <c r="C10" i="41"/>
  <c r="B14" i="41"/>
  <c r="D16" i="20"/>
  <c r="G16" i="20" s="1"/>
  <c r="F4" i="20"/>
  <c r="D15" i="20"/>
  <c r="F15" i="20" s="1"/>
  <c r="F17" i="20" s="1"/>
  <c r="E5" i="18"/>
  <c r="B48" i="41" s="1"/>
  <c r="C48" i="41" s="1"/>
  <c r="C12" i="21"/>
  <c r="K6" i="24"/>
  <c r="L6" i="24" s="1"/>
  <c r="R4" i="24"/>
  <c r="C14" i="41" l="1"/>
  <c r="D14" i="41"/>
  <c r="C29" i="41"/>
  <c r="D48" i="41"/>
  <c r="C49" i="41"/>
  <c r="F5" i="42"/>
  <c r="F32" i="41"/>
  <c r="E7" i="36"/>
  <c r="D4" i="42"/>
  <c r="E4" i="42" s="1"/>
  <c r="F4" i="42" s="1"/>
  <c r="G4" i="42" s="1"/>
  <c r="H4" i="42" s="1"/>
  <c r="I4" i="42" s="1"/>
  <c r="J4" i="42" s="1"/>
  <c r="K4" i="42" s="1"/>
  <c r="L4" i="42" s="1"/>
  <c r="M4" i="42" s="1"/>
  <c r="B34" i="41"/>
  <c r="C34" i="41" s="1"/>
  <c r="C43" i="41" s="1"/>
  <c r="G7" i="20"/>
  <c r="G18" i="20"/>
  <c r="G19" i="20" s="1"/>
  <c r="F6" i="20"/>
  <c r="D13" i="18"/>
  <c r="E13" i="18" s="1"/>
  <c r="H10" i="41" s="1"/>
  <c r="E7" i="18"/>
  <c r="F10" i="41" s="1"/>
  <c r="D12" i="18"/>
  <c r="E12" i="18" s="1"/>
  <c r="G10" i="41" s="1"/>
  <c r="R7" i="24"/>
  <c r="K4" i="24"/>
  <c r="L4" i="24" s="1"/>
  <c r="D34" i="41" l="1"/>
  <c r="D43" i="41" s="1"/>
  <c r="G5" i="42"/>
  <c r="G32" i="41"/>
  <c r="E48" i="41"/>
  <c r="D49" i="41"/>
  <c r="G8" i="20"/>
  <c r="G11" i="20" s="1"/>
  <c r="F11" i="41" s="1"/>
  <c r="G10" i="20"/>
  <c r="B15" i="41"/>
  <c r="E12" i="36"/>
  <c r="E14" i="36" s="1"/>
  <c r="D9" i="33" s="1"/>
  <c r="F9" i="33" s="1"/>
  <c r="F9" i="20"/>
  <c r="R9" i="24"/>
  <c r="K7" i="24"/>
  <c r="L7" i="24" s="1"/>
  <c r="R10" i="24"/>
  <c r="E34" i="41" l="1"/>
  <c r="C17" i="43"/>
  <c r="K11" i="20"/>
  <c r="K12" i="20" s="1"/>
  <c r="G11" i="41" s="1"/>
  <c r="L11" i="20"/>
  <c r="L12" i="20" s="1"/>
  <c r="H11" i="41" s="1"/>
  <c r="H5" i="42"/>
  <c r="H32" i="41"/>
  <c r="C15" i="41"/>
  <c r="C16" i="41" s="1"/>
  <c r="D15" i="41"/>
  <c r="D16" i="41" s="1"/>
  <c r="B16" i="41"/>
  <c r="C7" i="43" s="1"/>
  <c r="F10" i="33"/>
  <c r="G9" i="33"/>
  <c r="G10" i="33" s="1"/>
  <c r="E49" i="41"/>
  <c r="F48" i="41"/>
  <c r="B7" i="42"/>
  <c r="D7" i="42" s="1"/>
  <c r="E7" i="42" s="1"/>
  <c r="R11" i="24"/>
  <c r="Q18" i="24" s="1"/>
  <c r="F34" i="41" l="1"/>
  <c r="E43" i="41"/>
  <c r="I5" i="42"/>
  <c r="I32" i="41"/>
  <c r="B6" i="42"/>
  <c r="F15" i="33"/>
  <c r="G15" i="33" s="1"/>
  <c r="B33" i="41"/>
  <c r="F49" i="41"/>
  <c r="G48" i="41"/>
  <c r="F7" i="42"/>
  <c r="R18" i="24"/>
  <c r="G8" i="41" s="1"/>
  <c r="G16" i="41" s="1"/>
  <c r="Q19" i="24"/>
  <c r="R19" i="24" s="1"/>
  <c r="H8" i="41" s="1"/>
  <c r="H16" i="41" s="1"/>
  <c r="R12" i="24"/>
  <c r="F8" i="41" s="1"/>
  <c r="F16" i="41" s="1"/>
  <c r="C4" i="43" s="1"/>
  <c r="C8" i="43" s="1"/>
  <c r="G34" i="41" l="1"/>
  <c r="F43" i="41"/>
  <c r="B35" i="41"/>
  <c r="B39" i="41"/>
  <c r="I22" i="41"/>
  <c r="I20" i="41"/>
  <c r="H48" i="41"/>
  <c r="G49" i="41"/>
  <c r="D6" i="42"/>
  <c r="B9" i="42"/>
  <c r="B10" i="42" s="1"/>
  <c r="D25" i="42" s="1"/>
  <c r="B50" i="41"/>
  <c r="C50" i="41" s="1"/>
  <c r="H20" i="41"/>
  <c r="J21" i="41"/>
  <c r="J20" i="41"/>
  <c r="C33" i="41"/>
  <c r="J5" i="42"/>
  <c r="J32" i="41"/>
  <c r="G7" i="42"/>
  <c r="H34" i="41" l="1"/>
  <c r="G43" i="41"/>
  <c r="C35" i="41"/>
  <c r="C36" i="41" s="1"/>
  <c r="C39" i="41"/>
  <c r="E6" i="42"/>
  <c r="D9" i="42"/>
  <c r="D10" i="42" s="1"/>
  <c r="D11" i="42" s="1"/>
  <c r="D33" i="41"/>
  <c r="C51" i="41"/>
  <c r="C52" i="41" s="1"/>
  <c r="D50" i="41"/>
  <c r="H49" i="41"/>
  <c r="I48" i="41"/>
  <c r="K5" i="42"/>
  <c r="K32" i="41"/>
  <c r="H7" i="42"/>
  <c r="I34" i="41" l="1"/>
  <c r="H43" i="41"/>
  <c r="D35" i="41"/>
  <c r="D39" i="41"/>
  <c r="I49" i="41"/>
  <c r="J48" i="41"/>
  <c r="E33" i="41"/>
  <c r="D36" i="41"/>
  <c r="L5" i="42"/>
  <c r="L32" i="41"/>
  <c r="D51" i="41"/>
  <c r="D52" i="41" s="1"/>
  <c r="E50" i="41"/>
  <c r="F6" i="42"/>
  <c r="E9" i="42"/>
  <c r="E10" i="42" s="1"/>
  <c r="E11" i="42" s="1"/>
  <c r="I7" i="42"/>
  <c r="J34" i="41" l="1"/>
  <c r="I43" i="41"/>
  <c r="E35" i="41"/>
  <c r="E36" i="41" s="1"/>
  <c r="E39" i="41"/>
  <c r="F33" i="41"/>
  <c r="G6" i="42"/>
  <c r="F9" i="42"/>
  <c r="F10" i="42" s="1"/>
  <c r="F11" i="42" s="1"/>
  <c r="M5" i="42"/>
  <c r="K48" i="41"/>
  <c r="J49" i="41"/>
  <c r="E51" i="41"/>
  <c r="E52" i="41" s="1"/>
  <c r="F50" i="41"/>
  <c r="J7" i="42"/>
  <c r="K34" i="41" l="1"/>
  <c r="J43" i="41"/>
  <c r="F35" i="41"/>
  <c r="F39" i="41"/>
  <c r="H6" i="42"/>
  <c r="G9" i="42"/>
  <c r="G10" i="42" s="1"/>
  <c r="G11" i="42" s="1"/>
  <c r="K49" i="41"/>
  <c r="L48" i="41"/>
  <c r="L49" i="41" s="1"/>
  <c r="F51" i="41"/>
  <c r="F52" i="41" s="1"/>
  <c r="G50" i="41"/>
  <c r="G33" i="41"/>
  <c r="F36" i="41"/>
  <c r="K7" i="42"/>
  <c r="L34" i="41" l="1"/>
  <c r="L43" i="41" s="1"/>
  <c r="K43" i="41"/>
  <c r="G35" i="41"/>
  <c r="G36" i="41" s="1"/>
  <c r="G39" i="41"/>
  <c r="H33" i="41"/>
  <c r="G51" i="41"/>
  <c r="G52" i="41" s="1"/>
  <c r="H50" i="41"/>
  <c r="I6" i="42"/>
  <c r="H9" i="42"/>
  <c r="H10" i="42" s="1"/>
  <c r="H11" i="42" s="1"/>
  <c r="L7" i="42"/>
  <c r="C44" i="41" l="1"/>
  <c r="H35" i="41"/>
  <c r="H39" i="41"/>
  <c r="H51" i="41"/>
  <c r="H52" i="41" s="1"/>
  <c r="I50" i="41"/>
  <c r="J6" i="42"/>
  <c r="I9" i="42"/>
  <c r="I10" i="42" s="1"/>
  <c r="I11" i="42" s="1"/>
  <c r="I33" i="41"/>
  <c r="H36" i="41"/>
  <c r="M7" i="42"/>
  <c r="I35" i="41" l="1"/>
  <c r="I39" i="41"/>
  <c r="K6" i="42"/>
  <c r="J9" i="42"/>
  <c r="J10" i="42" s="1"/>
  <c r="J11" i="42" s="1"/>
  <c r="J50" i="41"/>
  <c r="I51" i="41"/>
  <c r="I52" i="41" s="1"/>
  <c r="J33" i="41"/>
  <c r="I36" i="41"/>
  <c r="J35" i="41" l="1"/>
  <c r="J36" i="41" s="1"/>
  <c r="J39" i="41"/>
  <c r="K50" i="41"/>
  <c r="J51" i="41"/>
  <c r="J52" i="41" s="1"/>
  <c r="K33" i="41"/>
  <c r="L6" i="42"/>
  <c r="K9" i="42"/>
  <c r="K10" i="42" s="1"/>
  <c r="K11" i="42" s="1"/>
  <c r="K35" i="41" l="1"/>
  <c r="K39" i="41"/>
  <c r="L33" i="41"/>
  <c r="K36" i="41"/>
  <c r="M6" i="42"/>
  <c r="M9" i="42" s="1"/>
  <c r="M10" i="42" s="1"/>
  <c r="M11" i="42" s="1"/>
  <c r="L9" i="42"/>
  <c r="L10" i="42" s="1"/>
  <c r="L11" i="42" s="1"/>
  <c r="L50" i="41"/>
  <c r="L51" i="41" s="1"/>
  <c r="L52" i="41" s="1"/>
  <c r="K51" i="41"/>
  <c r="K52" i="41" s="1"/>
  <c r="L35" i="41" l="1"/>
  <c r="L39" i="41"/>
  <c r="D42" i="41" s="1"/>
  <c r="C54" i="41"/>
  <c r="D54" i="41" s="1"/>
  <c r="C10" i="43" s="1"/>
  <c r="D12" i="42"/>
  <c r="L36" i="41" l="1"/>
  <c r="C46" i="41" s="1"/>
  <c r="C56" i="41" s="1"/>
  <c r="D56" i="41" s="1"/>
  <c r="D20" i="42"/>
  <c r="D22" i="42" s="1"/>
  <c r="D58" i="41" s="1"/>
  <c r="D46" i="41" l="1"/>
  <c r="C13" i="43" s="1"/>
  <c r="C14" i="43" s="1"/>
  <c r="D44" i="41"/>
  <c r="C18" i="43" l="1"/>
</calcChain>
</file>

<file path=xl/sharedStrings.xml><?xml version="1.0" encoding="utf-8"?>
<sst xmlns="http://schemas.openxmlformats.org/spreadsheetml/2006/main" count="665" uniqueCount="550">
  <si>
    <t>GENERAL</t>
  </si>
  <si>
    <t>B</t>
  </si>
  <si>
    <t xml:space="preserve">Numbers of individuals and households: UK population and NRPF </t>
  </si>
  <si>
    <t>C</t>
  </si>
  <si>
    <t>Historic GDP deflator values</t>
  </si>
  <si>
    <t>D</t>
  </si>
  <si>
    <t>BY TYPE OF GAIN</t>
  </si>
  <si>
    <t>BAUa</t>
  </si>
  <si>
    <t>Business as usual inputs</t>
  </si>
  <si>
    <t>BAUb</t>
  </si>
  <si>
    <t>Business as usual model</t>
  </si>
  <si>
    <t>1a</t>
  </si>
  <si>
    <t>Work &amp; productivity inputs</t>
  </si>
  <si>
    <t>1b</t>
  </si>
  <si>
    <t>Work &amp; productivity model</t>
  </si>
  <si>
    <t>2a</t>
  </si>
  <si>
    <t>Housing inputs</t>
  </si>
  <si>
    <t>2b</t>
  </si>
  <si>
    <t>Housing model</t>
  </si>
  <si>
    <t>Earlier health diagnosis inputs</t>
  </si>
  <si>
    <t>3b</t>
  </si>
  <si>
    <t>Earlier health diagnosis model</t>
  </si>
  <si>
    <t>Education &amp; childhood development inputs</t>
  </si>
  <si>
    <t>4b</t>
  </si>
  <si>
    <t>Education and childhood development model</t>
  </si>
  <si>
    <t>Relief of problem debt inputs</t>
  </si>
  <si>
    <t>5b</t>
  </si>
  <si>
    <t>Relief of problem debt model</t>
  </si>
  <si>
    <t>Reduction in domestic abuse inputs</t>
  </si>
  <si>
    <t>6b</t>
  </si>
  <si>
    <t>Reduction in domestic abuse model</t>
  </si>
  <si>
    <t>Costs [from Tab D] and Business As Usual [from BAUb]</t>
  </si>
  <si>
    <t>Category</t>
  </si>
  <si>
    <t>Central estimate</t>
  </si>
  <si>
    <t>Upper range +20%</t>
  </si>
  <si>
    <t>Lower range -20%</t>
  </si>
  <si>
    <t>Child Benefit</t>
  </si>
  <si>
    <r>
      <rPr>
        <b/>
        <sz val="12"/>
        <color theme="1"/>
        <rFont val="Calibri"/>
        <family val="2"/>
        <scheme val="minor"/>
      </rPr>
      <t>fm 1b</t>
    </r>
    <r>
      <rPr>
        <sz val="12"/>
        <color theme="1"/>
        <rFont val="Calibri"/>
        <family val="2"/>
        <scheme val="minor"/>
      </rPr>
      <t xml:space="preserve"> Employment &amp; productivity</t>
    </r>
  </si>
  <si>
    <t>Universal Credit</t>
  </si>
  <si>
    <r>
      <rPr>
        <b/>
        <sz val="12"/>
        <color theme="1"/>
        <rFont val="Calibri"/>
        <family val="2"/>
        <scheme val="minor"/>
      </rPr>
      <t>fm 2b</t>
    </r>
    <r>
      <rPr>
        <sz val="12"/>
        <color theme="1"/>
        <rFont val="Calibri"/>
        <family val="2"/>
        <scheme val="minor"/>
      </rPr>
      <t xml:space="preserve"> Better/more affordable housing</t>
    </r>
  </si>
  <si>
    <t>Free childcare</t>
  </si>
  <si>
    <r>
      <rPr>
        <b/>
        <sz val="12"/>
        <color theme="1"/>
        <rFont val="Calibri"/>
        <family val="2"/>
        <scheme val="minor"/>
      </rPr>
      <t>fm 3b</t>
    </r>
    <r>
      <rPr>
        <sz val="12"/>
        <color theme="1"/>
        <rFont val="Calibri"/>
        <family val="2"/>
        <scheme val="minor"/>
      </rPr>
      <t xml:space="preserve"> Earlier health diagnosis</t>
    </r>
  </si>
  <si>
    <t xml:space="preserve">Free school meals </t>
  </si>
  <si>
    <r>
      <rPr>
        <b/>
        <sz val="12"/>
        <color theme="1"/>
        <rFont val="Calibri"/>
        <family val="2"/>
        <scheme val="minor"/>
      </rPr>
      <t>fm 4b</t>
    </r>
    <r>
      <rPr>
        <sz val="12"/>
        <color theme="1"/>
        <rFont val="Calibri"/>
        <family val="2"/>
        <scheme val="minor"/>
      </rPr>
      <t xml:space="preserve"> Education and childhood development</t>
    </r>
  </si>
  <si>
    <t>Pupil premium</t>
  </si>
  <si>
    <r>
      <rPr>
        <b/>
        <sz val="12"/>
        <color theme="1"/>
        <rFont val="Calibri"/>
        <family val="2"/>
        <scheme val="minor"/>
      </rPr>
      <t xml:space="preserve">fm 5b </t>
    </r>
    <r>
      <rPr>
        <sz val="12"/>
        <color theme="1"/>
        <rFont val="Calibri"/>
        <family val="2"/>
        <scheme val="minor"/>
      </rPr>
      <t>Relief of problem debt</t>
    </r>
  </si>
  <si>
    <r>
      <rPr>
        <b/>
        <sz val="12"/>
        <color theme="1"/>
        <rFont val="Calibri"/>
        <family val="2"/>
        <scheme val="minor"/>
      </rPr>
      <t xml:space="preserve">fm 6b </t>
    </r>
    <r>
      <rPr>
        <sz val="12"/>
        <color theme="1"/>
        <rFont val="Calibri"/>
        <family val="2"/>
        <scheme val="minor"/>
      </rPr>
      <t>Reduction in domestic abuse</t>
    </r>
  </si>
  <si>
    <t>Total costs</t>
  </si>
  <si>
    <t>Less BAU costs</t>
  </si>
  <si>
    <t>Net costs compared to BAU</t>
  </si>
  <si>
    <t>Total gains</t>
  </si>
  <si>
    <t>KEY NUMBERS FOR UK AND NRPF POPULATIONS.   FOR DATA SOURCES SEE BOTTOM OF TAB</t>
  </si>
  <si>
    <t>Total UK population</t>
  </si>
  <si>
    <t>Number</t>
  </si>
  <si>
    <t>Average hhld size</t>
  </si>
  <si>
    <t>Migrant hhld size</t>
  </si>
  <si>
    <t>Individuals</t>
  </si>
  <si>
    <t>Per LFS 1Q21, foreign-born hhld size 1.11x overall UK average</t>
  </si>
  <si>
    <t>Total UK households</t>
  </si>
  <si>
    <t>%</t>
  </si>
  <si>
    <t>Total households</t>
  </si>
  <si>
    <t>Households with dependent children</t>
  </si>
  <si>
    <t>Foreign-born households</t>
  </si>
  <si>
    <t>of all foreign-born households with dependent children are on UC</t>
  </si>
  <si>
    <t>of all foreign-born households have university-aged children</t>
  </si>
  <si>
    <t>Average number of children in such households</t>
  </si>
  <si>
    <t>NRPF population on route to settlement: Individuals and households</t>
  </si>
  <si>
    <t>Baseline numbers used throughout this CBA, by visa type: Year 1</t>
  </si>
  <si>
    <t>Tiers 1, 2, 5</t>
  </si>
  <si>
    <t>Family + others/dependants</t>
  </si>
  <si>
    <t>Hong Kong BNOs</t>
  </si>
  <si>
    <t>Total numbers</t>
  </si>
  <si>
    <t>Rounded</t>
  </si>
  <si>
    <t>Individuals*</t>
  </si>
  <si>
    <t>Households (assumes avg hhld size as per H4)</t>
  </si>
  <si>
    <t>Number of households</t>
  </si>
  <si>
    <r>
      <t xml:space="preserve">Of which at least one person working </t>
    </r>
    <r>
      <rPr>
        <b/>
        <sz val="16"/>
        <color theme="1"/>
        <rFont val="Calibri"/>
        <family val="2"/>
        <scheme val="minor"/>
      </rPr>
      <t>full time</t>
    </r>
    <r>
      <rPr>
        <sz val="16"/>
        <color theme="1"/>
        <rFont val="Calibri"/>
        <family val="2"/>
        <scheme val="minor"/>
      </rPr>
      <t xml:space="preserve"> (37.1%)</t>
    </r>
  </si>
  <si>
    <t>*numbers are for main applicants &amp; dependents w/visa or LLR.  EU PSS not included as assume most will regularise; students not included as assume few will stay</t>
  </si>
  <si>
    <r>
      <t>**</t>
    </r>
    <r>
      <rPr>
        <i/>
        <sz val="16"/>
        <color theme="1"/>
        <rFont val="Calibri"/>
        <family val="2"/>
        <scheme val="minor"/>
      </rPr>
      <t xml:space="preserve">assumes same % as in overall UK population </t>
    </r>
  </si>
  <si>
    <t>Data sources colour coded</t>
  </si>
  <si>
    <t xml:space="preserve">Migration Observatory https://migrationobservatory.ox.ac.uk/resources/commentaries/between-a-rock-and-a-hard-place-the-covid-19-crisis-and-migrants-with-no-recourse-to-public-funds-nrpf/ </t>
  </si>
  <si>
    <t>https://committees.parliament.uk/publications/6564/documents/71253/default/, p. 27</t>
  </si>
  <si>
    <t>https://www.ons.gov.uk/peoplepopulationandcommunity/birthsdeathsandmarriages/families/bulletins/familiesandhouseholds/2020</t>
  </si>
  <si>
    <t>https://www.ons.gov.uk/peoplepopulationandcommunity/birthsdeathsandmarriages/families/datasets/familiesandhouseholdsfamiliesandhouseholds</t>
  </si>
  <si>
    <t>DWP stats explore</t>
  </si>
  <si>
    <t>https://www.ons.gov.uk/peoplepopulationandcommunity/populationandmigration/populationestimates</t>
  </si>
  <si>
    <t>https://www.ons.gov.uk/file?uri=%2fpeoplepopulationandcommunity%2fbirthsdeathsandmarriages%2ffamilies%2fdatasets%2ffamiliesandhouseholdsfamiliesandhouseholds%2fcurrent/familiesandhouseholds2020.xlsx</t>
  </si>
  <si>
    <t xml:space="preserve">Labour Force Survey </t>
  </si>
  <si>
    <t>Proportions per LFS for UC recipient foreign-born households with children, and non-UC recipient foreign born households with children</t>
  </si>
  <si>
    <t>Title</t>
  </si>
  <si>
    <t>GDP Deflator: Year on Year growth: SA %</t>
  </si>
  <si>
    <t>CDID</t>
  </si>
  <si>
    <t>IHYS</t>
  </si>
  <si>
    <t>Source dataset ID</t>
  </si>
  <si>
    <t>UKEA</t>
  </si>
  <si>
    <t>PreUnit</t>
  </si>
  <si>
    <t/>
  </si>
  <si>
    <t>Unit</t>
  </si>
  <si>
    <t>Release date</t>
  </si>
  <si>
    <t>30-06-2021</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</si>
  <si>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</si>
  <si>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</si>
  <si>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</si>
  <si>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</si>
  <si>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</si>
  <si>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</si>
  <si>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</si>
  <si>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</si>
  <si>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</si>
  <si>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</si>
  <si>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</si>
  <si>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</si>
  <si>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</si>
  <si>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</si>
  <si>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</si>
  <si>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</si>
  <si>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</si>
  <si>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</si>
  <si>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</si>
  <si>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</si>
  <si>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</si>
  <si>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</si>
  <si>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</si>
  <si>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</si>
  <si>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</si>
  <si>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</si>
  <si>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</si>
  <si>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</si>
  <si>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</si>
  <si>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</si>
  <si>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</si>
  <si>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</si>
  <si>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</si>
  <si>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</si>
  <si>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</si>
  <si>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</si>
  <si>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</si>
  <si>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</si>
  <si>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</si>
  <si>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</si>
  <si>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</si>
  <si>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</si>
  <si>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</si>
  <si>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</si>
  <si>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</si>
  <si>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</si>
  <si>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</si>
  <si>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</si>
  <si>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</si>
  <si>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</si>
  <si>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</si>
  <si>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</si>
  <si>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</si>
  <si>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</si>
  <si>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</si>
  <si>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</si>
  <si>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</si>
  <si>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</si>
  <si>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</si>
  <si>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</si>
  <si>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</si>
  <si>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</si>
  <si>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</si>
  <si>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</si>
  <si>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</si>
  <si>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</si>
  <si>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</si>
  <si>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</si>
  <si>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</si>
  <si>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</si>
  <si>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</si>
  <si>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</si>
  <si>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Inflate 2019 avg hourly pay to 2021</t>
  </si>
  <si>
    <t>Annual cost to public funds were NRPF to be removed: calculations</t>
  </si>
  <si>
    <t>Benefit type</t>
  </si>
  <si>
    <t>Annual cost per hhld in eligible cohort--see below</t>
  </si>
  <si>
    <t>% of eligible households expected to claim</t>
  </si>
  <si>
    <t>Total annual costs of lifting NRPF by benefit type</t>
  </si>
  <si>
    <t>Child benefit</t>
  </si>
  <si>
    <t>Universal credit</t>
  </si>
  <si>
    <t>Free school meals</t>
  </si>
  <si>
    <t>Type of public fund</t>
  </si>
  <si>
    <t>Avg annual per claiming hhld, 2021 £</t>
  </si>
  <si>
    <t>Based on</t>
  </si>
  <si>
    <r>
      <t xml:space="preserve">On average, families of non-UK born households have 1.83 children.  They receive £1697 per annum </t>
    </r>
    <r>
      <rPr>
        <sz val="11"/>
        <color rgb="FF000000"/>
        <rFont val="Calibri"/>
        <family val="2"/>
        <scheme val="minor"/>
      </rPr>
      <t>(100% of £21.05/week for the first child, and 83% of £13.95/week for subsequent child).</t>
    </r>
  </si>
  <si>
    <r>
      <t xml:space="preserve">In London, average UC payment is £1400 per month for couple households with dependent children and £1300 for single-parent households.  73.7% of UC claimants with children are single.  Assuming same distribution in NRPF population, avg payment per hhld based on London figures is </t>
    </r>
    <r>
      <rPr>
        <b/>
        <sz val="11"/>
        <color theme="1"/>
        <rFont val="Calibri"/>
        <family val="2"/>
        <scheme val="minor"/>
      </rPr>
      <t>£1326</t>
    </r>
    <r>
      <rPr>
        <sz val="11"/>
        <color theme="1"/>
        <rFont val="Calibri"/>
        <family val="2"/>
        <scheme val="minor"/>
      </rPr>
      <t xml:space="preserve"> per month or £15,912 per annum.</t>
    </r>
  </si>
  <si>
    <r>
      <t xml:space="preserve">HMG pays £2.30 for every child per meal in England.   Maintained schools must open for 190 days per annum so 190 * £2.30 = </t>
    </r>
    <r>
      <rPr>
        <b/>
        <sz val="11"/>
        <color theme="1"/>
        <rFont val="Calibri"/>
        <family val="2"/>
        <scheme val="minor"/>
      </rPr>
      <t>£437</t>
    </r>
    <r>
      <rPr>
        <sz val="11"/>
        <color theme="1"/>
        <rFont val="Calibri"/>
        <family val="2"/>
        <scheme val="minor"/>
      </rPr>
      <t xml:space="preserve"> per annum.  On average each family receiving Child Benefit has 1.74 children, which covers the period from birth – age 18.  Children are in mandatory schooling from ages 5-18, or 72% of the period from birth to 18.  Each family with dependent children therefore has 1.25 children of mandatory school age.</t>
    </r>
  </si>
  <si>
    <r>
      <t xml:space="preserve">Pupil premium is £1,345 for every primary age pupil and £955 for every secondary age pupil.  Children spend the same amount of time in each (7 years in primary school, ages 5-11, and 7 in secondary school ages 12-18), so we average the two amounts: </t>
    </r>
    <r>
      <rPr>
        <b/>
        <sz val="11"/>
        <color theme="1"/>
        <rFont val="Calibri"/>
        <family val="2"/>
        <scheme val="minor"/>
      </rPr>
      <t>£1150</t>
    </r>
    <r>
      <rPr>
        <sz val="11"/>
        <color theme="1"/>
        <rFont val="Calibri"/>
        <family val="2"/>
        <scheme val="minor"/>
      </rPr>
      <t>. Per above, each family with dependent children has on average 1.25 children of mandatory school age</t>
    </r>
  </si>
  <si>
    <t>Annual cost of Business as Usual: Assumptions used in the model</t>
  </si>
  <si>
    <t>£ per annum</t>
  </si>
  <si>
    <t>Link</t>
  </si>
  <si>
    <t>Number of successful applications for lifting of NRPF condition per annum</t>
  </si>
  <si>
    <t>Per Home Office stats on change of conditions, 2705 applications accepted in 2019</t>
  </si>
  <si>
    <t xml:space="preserve">https://assets.publishing.service.gov.uk/government/uploads/system/uploads/attachment_data/file/904641/No_Recourse_to_Public_Funds__NRPF__-_Applications_to_change_conditions_of_leave_Q2_2020.pdf </t>
  </si>
  <si>
    <t>Adjustment for multiple applications for same household</t>
  </si>
  <si>
    <t>Number of NRPF households on route to settlement being supported by local authorities</t>
  </si>
  <si>
    <t>NRPF network data for 59 local authorities, grossed up by 30% to account for non-responders</t>
  </si>
  <si>
    <t>https://www.nrpfnetwork.org.uk/-/media/microsites/nrpf/documents/policy/policy-issues-and-nrpf-overview.pdf?la=en&amp;hash=C78B5C26A9AF924764084F0CA6D31D651BBF8FAD</t>
  </si>
  <si>
    <t>Number of years average household requires support</t>
  </si>
  <si>
    <t>Per NRPF network, 820 days on average</t>
  </si>
  <si>
    <t>as above</t>
  </si>
  <si>
    <t>Average financial support per household per annum by local authorities</t>
  </si>
  <si>
    <t>Per NRPF network, support costs £47.5 million pa for 2658 households</t>
  </si>
  <si>
    <t>Average benefits paid to households who successfully apply for Change of Conditions</t>
  </si>
  <si>
    <t>Assumes same as average Universal Credit payment (from Tab D)</t>
  </si>
  <si>
    <t>Base case</t>
  </si>
  <si>
    <t>Number of households currently supported (stock)</t>
  </si>
  <si>
    <t>Average cost</t>
  </si>
  <si>
    <r>
      <t xml:space="preserve">Cost to </t>
    </r>
    <r>
      <rPr>
        <b/>
        <i/>
        <sz val="12"/>
        <color theme="1"/>
        <rFont val="Calibri"/>
        <family val="2"/>
        <scheme val="minor"/>
      </rPr>
      <t>local authorities</t>
    </r>
    <r>
      <rPr>
        <sz val="12"/>
        <color theme="1"/>
        <rFont val="Calibri"/>
        <family val="2"/>
        <scheme val="minor"/>
      </rPr>
      <t xml:space="preserve"> of supporting NRPF households</t>
    </r>
  </si>
  <si>
    <t>BAU ROUNDED</t>
  </si>
  <si>
    <r>
      <t xml:space="preserve">Cost to </t>
    </r>
    <r>
      <rPr>
        <b/>
        <i/>
        <sz val="12"/>
        <color theme="1"/>
        <rFont val="Calibri"/>
        <family val="2"/>
        <scheme val="minor"/>
      </rPr>
      <t>central government</t>
    </r>
    <r>
      <rPr>
        <sz val="12"/>
        <color theme="1"/>
        <rFont val="Calibri"/>
        <family val="2"/>
        <scheme val="minor"/>
      </rPr>
      <t xml:space="preserve"> of supporting households whose NRPF condition has been lifted</t>
    </r>
  </si>
  <si>
    <t>INPUTS TO THE MODEL: WORK &amp; PRODUCTIVITY</t>
  </si>
  <si>
    <t>Description</t>
  </si>
  <si>
    <t>Amount (values in 2021 £)</t>
  </si>
  <si>
    <r>
      <t xml:space="preserve">Hourly wage for initial full-time job </t>
    </r>
    <r>
      <rPr>
        <sz val="8"/>
        <color theme="1"/>
        <rFont val="Calibri"/>
        <family val="2"/>
        <scheme val="minor"/>
      </rPr>
      <t> </t>
    </r>
  </si>
  <si>
    <r>
      <t>Per LFS4Q2019, median hourly wage for migrants who had lived in the UK for less than 10 years and were not claiming benefits was £12.63; at 2021 prices £13.33.</t>
    </r>
    <r>
      <rPr>
        <sz val="8"/>
        <color theme="1"/>
        <rFont val="Calibri"/>
        <family val="2"/>
        <scheme val="minor"/>
      </rPr>
      <t> </t>
    </r>
  </si>
  <si>
    <t>Hourly wage for improved FT job</t>
  </si>
  <si>
    <t>Assumes 10% increase on starting salary, based on evidence that employed but over-qualified individuals who find a job matching their skills boost their salary by an estimated 10% (Taylor 2013).</t>
  </si>
  <si>
    <t>Average FT working hours</t>
  </si>
  <si>
    <t>ONS: https://www.ons.gov.uk/employmentandlabourmarket/peopleinwork/earningsandworkinghours/timeseries/ybuy/lms</t>
  </si>
  <si>
    <t>% previously economically inactive mothers gaining employment for 1st time if NRPF lifted</t>
  </si>
  <si>
    <t>Avg PT working hours</t>
  </si>
  <si>
    <t>% households where adult already employed able to find better job</t>
  </si>
  <si>
    <t>0.12*([Gross weekly wage] - 183)*52</t>
  </si>
  <si>
    <t xml:space="preserve">12% is the 2021/22 class 1 NI rate for gross weekly wages between £184 - £967 per https://www.gov.uk/national-insurance/how-much-you-pay </t>
  </si>
  <si>
    <t xml:space="preserve">Formula for calculation of income tax </t>
  </si>
  <si>
    <t>0.2*([Gross yearly income] - 12570)</t>
  </si>
  <si>
    <t>Formula for calculation of indirect taxes</t>
  </si>
  <si>
    <t>[Gross yearly income]*(103.81*[Gross yearly income]^-0.605)</t>
  </si>
  <si>
    <t>The power function was derived from the governments taxes and income estimates for 2019  https://www.ons.gov.uk/peoplepopulationandcommunity/personalandhouseholdfinances/incomeandwealth/datasets/effectsoftaxesandbenefitsonhouseholdincomehistoricalpersonleveldatasets</t>
  </si>
  <si>
    <t>MODEL OF GAINS: WORK &amp; PRODUCTIVITY</t>
  </si>
  <si>
    <t>gains are per household</t>
  </si>
  <si>
    <t>Direct effects for beneficiaries</t>
  </si>
  <si>
    <t>Initial case description</t>
  </si>
  <si>
    <t>Case type: UC or childcare</t>
  </si>
  <si>
    <t>Number of hhlds in this situation</t>
  </si>
  <si>
    <t>Potential gain if public funds available</t>
  </si>
  <si>
    <t xml:space="preserve">% expected to achieve gains (fm 1a) </t>
  </si>
  <si>
    <t xml:space="preserve">Total number gaining </t>
  </si>
  <si>
    <t>Hourly wage (rounded)</t>
  </si>
  <si>
    <t>Previous gross income</t>
  </si>
  <si>
    <t>Post-policy gross income</t>
  </si>
  <si>
    <t>Difference due to policy change</t>
  </si>
  <si>
    <t>Total direct gain to beneficiaries Year 1</t>
  </si>
  <si>
    <t>Total direct gain rounded</t>
  </si>
  <si>
    <t>Extra NI paid per hhld</t>
  </si>
  <si>
    <t>Extra income tax paid per hhld</t>
  </si>
  <si>
    <t>Extra indirect taxes paid per hhld</t>
  </si>
  <si>
    <t>annual extra to public purse per hhld</t>
  </si>
  <si>
    <t>UC</t>
  </si>
  <si>
    <t>UC-claiming households, FT worker on starting wage</t>
  </si>
  <si>
    <t>childcare</t>
  </si>
  <si>
    <t>GAINS</t>
  </si>
  <si>
    <t>indirect gains for public sector</t>
  </si>
  <si>
    <t>TOTAL GAINS</t>
  </si>
  <si>
    <t>TOTAL GAINS ROUNDED</t>
  </si>
  <si>
    <t>INPUTS TO THE MODEL: HOUSING</t>
  </si>
  <si>
    <t xml:space="preserve">% of households that would be eligible for UC currently living in physically suitable but unaffordable housing </t>
  </si>
  <si>
    <t>% of households that would be eligible for UC currently living in overcrowded or otherwise unsuitable accommodation</t>
  </si>
  <si>
    <t>16% of EU-born households live in overcrowded accommodation per https://migrationobservatory.ox.ac.uk/resources/briefings/migrants-and-housing-in-the-uk-experiences-and-impacts/ ; 15.9% of lone-parent families and 16.3% of minority ethnic families live in non-Decent Homes (English Housing Survey Table DA 3203).  Sum is 31.9%, reduced to 20% to avoid double counting</t>
  </si>
  <si>
    <t>Per HACT value calculator, value of moving from temporary or insecure accommodation to secure housing (with dependent children) was £8,036 annually in 2018.  Inflated to 2021 prices</t>
  </si>
  <si>
    <t>MODEL OF GAINS: HOUSING</t>
  </si>
  <si>
    <t xml:space="preserve">Gain from </t>
  </si>
  <si>
    <t>% of Universal Credit families affected</t>
  </si>
  <si>
    <t>Social value per individual Year 1</t>
  </si>
  <si>
    <t>Total gains rounded</t>
  </si>
  <si>
    <t>Being able to afford housing costs, for those previously living in physically adequate but unaffordable housing</t>
  </si>
  <si>
    <t>Moving to more suitable homes, for those previously living in overcrowded or insecure housing</t>
  </si>
  <si>
    <t>INPUTS TO THE MODEL: EARLIER HEALTH DIAGNOSIS</t>
  </si>
  <si>
    <t xml:space="preserve">Survey by JCWI found 30% of migrants who had visas and are in the UK lawfully were scared to access healthcare  https://www.jcwi.org.uk/migrants-deterred-from-healthcare-in-the-covid19-pandemic   </t>
  </si>
  <si>
    <t>Savings to NHS per person per year for timely diagnosis of diabetes</t>
  </si>
  <si>
    <t>MODEL OF GAINS: EARLIER HEALTH DIAGNOSIS</t>
  </si>
  <si>
    <t>Type of gain from early diagnosis of Type 2 diabetes</t>
  </si>
  <si>
    <t>Per capita gain/savings</t>
  </si>
  <si>
    <t>Total gain</t>
  </si>
  <si>
    <t>INPUTS TO THE MODEL: EDUCATION AND CHILDHOOD DEVELOPMENT</t>
  </si>
  <si>
    <t>Per hhld or indiv</t>
  </si>
  <si>
    <t>hhld</t>
  </si>
  <si>
    <t>MODEL OF GAINS: EDUCATION AND CHILDHOOD DEVELOPMENT</t>
  </si>
  <si>
    <t>Type of gain</t>
  </si>
  <si>
    <t>Total number gaining</t>
  </si>
  <si>
    <t>INPUTS TO THE MODEL: RELIEF OF PROBLEM DEBT</t>
  </si>
  <si>
    <t>Monetised improvements to personal wellbeing and reducing demand for treatment by lowering the morbidity of certain mental health problems that may be caused or exacerbated by problem debt</t>
  </si>
  <si>
    <t xml:space="preserve">Productivity gains </t>
  </si>
  <si>
    <t>% of NRPF cohort in problem debt</t>
  </si>
  <si>
    <t>MODEL OF GAINS: RELIEF OF PROBLEM DEBT</t>
  </si>
  <si>
    <t>Increased wellbeing</t>
  </si>
  <si>
    <t>Improved productivity</t>
  </si>
  <si>
    <t>INPUTS TO THE MODEL: REDUCTION IN DOMESTIC ABUSE</t>
  </si>
  <si>
    <t>% of domestic abuse cases in NRPF population</t>
  </si>
  <si>
    <t>Direct and indirect gains per case averted</t>
  </si>
  <si>
    <t>MODEL OF GAINS: REDUCTION IN DOMESTIC ABUSE</t>
  </si>
  <si>
    <t>gains are per household (assumes only 1 DA case per hhld)</t>
  </si>
  <si>
    <t xml:space="preserve">Number of DA cases in eligible cohort </t>
  </si>
  <si>
    <t>Add'l number that will seek &amp; receive assistance</t>
  </si>
  <si>
    <t>Direct &amp; indirect gains per case</t>
  </si>
  <si>
    <t>DA cases averted or victims assisted</t>
  </si>
  <si>
    <t>OVERALL SUMMARY: Ten years</t>
  </si>
  <si>
    <t>Health discount rate</t>
  </si>
  <si>
    <t xml:space="preserve">Assumptions: </t>
  </si>
  <si>
    <t>Social Time Preference Rate</t>
  </si>
  <si>
    <t>Standard rate</t>
  </si>
  <si>
    <t>Post-policy: Estimation of local authority spend</t>
  </si>
  <si>
    <t>Assumption: 5% of existing expenditure would still be needed for signposting and other assistance</t>
  </si>
  <si>
    <t>POST POLICY</t>
  </si>
  <si>
    <t>Post policy rounded</t>
  </si>
  <si>
    <t>gains calculated per individual</t>
  </si>
  <si>
    <t>EXISTING CENTRAL GOVT &amp; NHS SPEND</t>
  </si>
  <si>
    <t>EXISTING CENTRAL GOVT &amp; NHS SPEND ROUNDED</t>
  </si>
  <si>
    <t xml:space="preserve">TO CENTRAL GOVERNMENT </t>
  </si>
  <si>
    <t>TO LOCAL GOVERNMENT</t>
  </si>
  <si>
    <t>--OR--Overall post-policy costs per Tabs BAUb and BAUc</t>
  </si>
  <si>
    <t>[Residual admin and support costs]</t>
  </si>
  <si>
    <t>General admin</t>
  </si>
  <si>
    <t>Business as Usual: Estimation of central govt &amp; NHS spend</t>
  </si>
  <si>
    <t>Post-policy: Estimation of central government &amp; NHS spend</t>
  </si>
  <si>
    <t>Ranges and Optimism Bias</t>
  </si>
  <si>
    <t xml:space="preserve"> +/-</t>
  </si>
  <si>
    <t>Confidence in cost data</t>
  </si>
  <si>
    <t>Confidence in takeup data (including deadweight)</t>
  </si>
  <si>
    <t>Upper range value</t>
  </si>
  <si>
    <t>Lower range value</t>
  </si>
  <si>
    <t xml:space="preserve">Rounded </t>
  </si>
  <si>
    <t>Public-sector impacts only NPV 10 years</t>
  </si>
  <si>
    <t>% of existing central government and NHS expenditure that would still be required post-policy change for administration, signposting and general support</t>
  </si>
  <si>
    <t>Assumption: % of existing expenditure needed post-policy for admin, signposting and other assistance</t>
  </si>
  <si>
    <t>POST POLICY SPEND</t>
  </si>
  <si>
    <t>POST POLICY SPEND ROUNDED</t>
  </si>
  <si>
    <t xml:space="preserve">per https://www.ons.gov.uk/employmentandlabourmarket/peopleinwork/earningsandworkinghours/timeseries/ybvb </t>
  </si>
  <si>
    <t xml:space="preserve">Per Eurostat table here https://ec.europa.eu/eurostat/databrowser/view/ilc_lvho25/default/table?lang=en , 23.5% of non-EU adults in UK had a ‘housing cost overburden’ (paid &gt; 40% of their disposable income on housing.  Reasonable to expect these are concentrated amongst those with lowest incomes so have doubled that figure  </t>
  </si>
  <si>
    <t>According to the Crime Survey for England and Wales year ending March 2020, an estimated 5.5% of adults aged 16 to 74 years experienced domestic abuse in the last year. We assume a similar incidence in the NRPF population</t>
  </si>
  <si>
    <t>Main</t>
  </si>
  <si>
    <t>Upper Range</t>
  </si>
  <si>
    <t>Lower Range</t>
  </si>
  <si>
    <t>COSTS</t>
  </si>
  <si>
    <t>Brewer et al 2020: free full-time pre-school and childcare increase mothers' likelihood of being in work by 3.5% compared to mothers whose child is in part-time pre-school and childcare</t>
  </si>
  <si>
    <t>of foreign-born households with dependent children, % that had at least one child aged 3-4</t>
  </si>
  <si>
    <t>Of which inactive mother of 3/4 year old present (8.1 %)</t>
  </si>
  <si>
    <t>Non-UC household with child(ren) aged 3 or 4, inactive mother</t>
  </si>
  <si>
    <t>UC-claiming households, inactive mother of 3/4 year old present</t>
  </si>
  <si>
    <t>Govt pays £7,136 per annum for 30 hours of free childcare for all 3- and 4-year-olds of working families where neither parent earns over £100,000 in net adjusted income per year and at least £1,853.28 over a three month period. This is an extra £3,568 per annum compared to the universal 15 hour free childcare per week currently available to NRPF households.</t>
  </si>
  <si>
    <t>Farooq et al 2020: a 200% increase in the number of weeks covered by unemployment insurance led to a 14.4% increase in the educational requirement in the new occupation compared to the previous</t>
  </si>
  <si>
    <t xml:space="preserve"> Estimate based on number of approved applications 2019 from https://assets.publishing.service.gov.uk/government/uploads/system/uploads/attachment_data/file/904641/No_Recourse_to_Public_Funds__NRPF__-_Applications_to_change_conditions_of_leave_Q2_2020.pdf , with adjustments for multiple applications and length of assistance from Tab BAUa</t>
  </si>
  <si>
    <t>direct gains for households</t>
  </si>
  <si>
    <t>£40m per year savings from 9,700 people per year identified in Diabetes UK (2014) The Costs of Diabetes. Diabetes UK, London https://www.diabetes.org.uk/resources-s3/2017-11/diabetes%20uk%20cost%20of%20diabetes%20report.pdf, inflated to 2021 prices</t>
  </si>
  <si>
    <t>Diabetes UK (2014) The Costs of Diabetes. Diabetes UK, London https://www.diabetes.org.uk/resources-s3/2017-11/diabetes%20uk%20cost%20of%20diabetes%20report.pdf.  600,000 undiagnosed people.</t>
  </si>
  <si>
    <t>Total number possibly gaining in cohort</t>
  </si>
  <si>
    <t>% of UK population aged 35-59 who suffer from undiagnosed diabetes</t>
  </si>
  <si>
    <t>Indirect gain for NHS: savings from early diagnosis of diabetes</t>
  </si>
  <si>
    <t>% of eligible cohort at risk and reluctant to avail of medical care</t>
  </si>
  <si>
    <t xml:space="preserve">Per HACT value databank, value of good overall health was £20,141 in 2018. Uprated to 2021  </t>
  </si>
  <si>
    <t>% of that migrant cohort who might engage with NHS prevention if NRPF lifted</t>
  </si>
  <si>
    <t>Per Money Advice Service and CACI (2017) “A Picture of Over-Indebtedness”, figure for overindebtedness in London. Note that most relief will come from award of public funds, rather than debt advice itself.</t>
  </si>
  <si>
    <t>Additional % of victims likely to approach authorities if NRPF restriction lifted, and receive assistance. Some others will also approach services without reporting to the police so likely underestimate</t>
  </si>
  <si>
    <t>Share of foreign-born households with 3-4 year old child eligible for free 30 hour childcare</t>
  </si>
  <si>
    <t>Garfinkel et al 2021: social gains from increased income for children = 98.49% of private gains.  Income  received at household level .Garfinkel, I., Sariscsany, L., Ananat, E., Collyer, S., &amp; Wimer, C. (2021). The costs and benefits of a child allowance. CPSP Discussion Paper. Poverty &amp; Social Policy Brief Vol. 5 No. 3 March 08, 2021</t>
  </si>
  <si>
    <t>The take-up rate for child benefit in 2018/19 was 92% https://www.gov.uk/government/statistics/child-benefit-statistics-annual-release-august-2020/child-benefit-statistics-annual-release-august-2020-main-commentary</t>
  </si>
  <si>
    <t xml:space="preserve">  Households with dependent children**</t>
  </si>
  <si>
    <t>Number of indivs in these hhlds</t>
  </si>
  <si>
    <t>% take-up</t>
  </si>
  <si>
    <t>Child Benefit statistics https://www.gov.uk/government/statistics/child-benefit-statistics-annual-release-august-2020/child-benefit-statistics-annual-release-august-2020-main-commentary</t>
  </si>
  <si>
    <t>Share of foreign-born households with dependent children that would claim Child Benefit</t>
  </si>
  <si>
    <t>According to CSEW data for the year ending March 2018, only 18% of women who had experienced partner abuse in the last 12 months reported the abuse to the police. https://www.womensaid.org.uk/information-support/what-is-domestic-abuse/how-common-is-domestic-abuse/.  A small % of NRPF victims currently do approach authorities (we estimate 5%).    We assume lifting of restrictions would increase reporting rates to national average.  18%-5% = 13%</t>
  </si>
  <si>
    <t>Home Office impact assessment for DA Act 2021, which uprated cost of 2018 HO report on DA para 313 to 2021-2 prices  https://assets.publishing.service.gov.uk/government/uploads/system/uploads/attachment_data/file/1007463/DA_Act_2021_Impact_Assessment.pdf</t>
  </si>
  <si>
    <t>Total cohort eligible for proposed change</t>
  </si>
  <si>
    <t>% of those in problem debt whose problems would be alleviated by receipt of public funds</t>
  </si>
  <si>
    <t>% of cohort w/problem debt</t>
  </si>
  <si>
    <t>% whose debt problems alleviated by public funds</t>
  </si>
  <si>
    <t>Value to beneficiaries of being able to pay for housing</t>
  </si>
  <si>
    <r>
      <t xml:space="preserve">Total number of </t>
    </r>
    <r>
      <rPr>
        <b/>
        <i/>
        <sz val="11"/>
        <color theme="1"/>
        <rFont val="Calibri"/>
        <family val="2"/>
        <scheme val="minor"/>
      </rPr>
      <t xml:space="preserve">households </t>
    </r>
    <r>
      <rPr>
        <b/>
        <sz val="11"/>
        <color theme="1"/>
        <rFont val="Calibri"/>
        <family val="2"/>
        <scheme val="minor"/>
      </rPr>
      <t>gaining</t>
    </r>
  </si>
  <si>
    <t xml:space="preserve">Business as Usual: Estimation of local authority spend </t>
  </si>
  <si>
    <t>BAUc</t>
  </si>
  <si>
    <t>Business as usual government and NHS spend</t>
  </si>
  <si>
    <t>6a</t>
  </si>
  <si>
    <r>
      <t xml:space="preserve">Households which would claim </t>
    </r>
    <r>
      <rPr>
        <b/>
        <sz val="16"/>
        <color theme="1"/>
        <rFont val="Calibri"/>
        <family val="2"/>
        <scheme val="minor"/>
      </rPr>
      <t>Universal Credit</t>
    </r>
    <r>
      <rPr>
        <sz val="16"/>
        <color theme="1"/>
        <rFont val="Calibri"/>
        <family val="2"/>
        <scheme val="minor"/>
      </rPr>
      <t xml:space="preserve"> if NRPF lifted (assumes same % as among foreign-born hhlds overall)</t>
    </r>
  </si>
  <si>
    <t>number of households expected to receive benefits</t>
  </si>
  <si>
    <t>Free childcare/early yrs</t>
  </si>
  <si>
    <t>Indirect gains for exchequer</t>
  </si>
  <si>
    <t>+</t>
  </si>
  <si>
    <t>-</t>
  </si>
  <si>
    <t>Ranges and optimism bias</t>
  </si>
  <si>
    <t>Children</t>
  </si>
  <si>
    <t>Lifetime additional earnings for beneficiary due to attending formal childcare</t>
  </si>
  <si>
    <t>Lifetime value to exchequer of individual attending formal childcare</t>
  </si>
  <si>
    <t>indiv</t>
  </si>
  <si>
    <t>Proportion of those eligible for free childcare who claim it</t>
  </si>
  <si>
    <t xml:space="preserve">Per 2018 DfE study: 72% of people eligible for free childcare accessed it https://assets.publishing.service.gov.uk/government/uploads/system/uploads/attachment_data/file/738776/Take-up_of_free_early_education_entitlements.pdf  </t>
  </si>
  <si>
    <t>Number of university-aged children in entire cohort</t>
  </si>
  <si>
    <t>Same % as for foreign-born households in UK overall, per LFS</t>
  </si>
  <si>
    <t>Percentage increase in university aged children attending university</t>
  </si>
  <si>
    <t>Incremental lifetime earnings from university attendance, net of taxes</t>
  </si>
  <si>
    <t>Incremental lifetime tax revenue from university grads</t>
  </si>
  <si>
    <t>Higher tax payments from those able to attend university because of home fees</t>
  </si>
  <si>
    <t>* This adjustment subtracts those who gain as additional university attendees</t>
  </si>
  <si>
    <t>% expected to claim or benefit</t>
  </si>
  <si>
    <t>Number of 3 and 4 year old children in households that would gain access to free childcare</t>
  </si>
  <si>
    <t>Average years of earning over lifetime</t>
  </si>
  <si>
    <t>own estimate.  Per  https://www.ethnicity-facts-figures.service.gov.uk/education-skills-and-training/higher-education/entry-rates-into-higher-education/latest, 53.1% of Asian state school pupils got a higher education place in 2020, and 47.5% of Black state school pupils.  Whites lowest at 32.6</t>
  </si>
  <si>
    <t>Double counting adjustment*</t>
  </si>
  <si>
    <t>as for all foreign-born hhlds with dependent children</t>
  </si>
  <si>
    <t>Unit value Year 1</t>
  </si>
  <si>
    <t>Total Y1 gains to beneficiaries</t>
  </si>
  <si>
    <t>Social gains from receipt of child benefit</t>
  </si>
  <si>
    <t>Y1 direct gains</t>
  </si>
  <si>
    <t>Y1 indirect gains to public purse</t>
  </si>
  <si>
    <t>Y1 direct gains rounded</t>
  </si>
  <si>
    <t>Y1 indirect gains to public purse rounded</t>
  </si>
  <si>
    <t>Upper &amp; lower range values</t>
  </si>
  <si>
    <t>Upper &amp; lower range values rounded</t>
  </si>
  <si>
    <t>Gains [from tabs 1b, 2b, 3b, 4b, 5b, 6b]</t>
  </si>
  <si>
    <t>Social gain from receipt of child benefit</t>
  </si>
  <si>
    <t>Central govt subtotal</t>
  </si>
  <si>
    <t>Local govt subtotal</t>
  </si>
  <si>
    <t>Net present value of additional lifetime earnings £148,000 for male university graduates than non-grads, and £218,000 for women, in 2013 prices.  Average of the two = £183,000. https://assets.publishing.service.gov.uk/government/uploads/system/uploads/attachment_data/file/229498/bis-13-899-the-impact-of-university-degrees-on-the-lifecycle-of-earnings-further-analysis.pdf</t>
  </si>
  <si>
    <t>NPV of lifetime additional tax revenue £271,000 from male university graduates than non-grads, and £299,000 for women, in 2013 prices.  Average of the two = £285,000.  https://assets.publishing.service.gov.uk/government/uploads/system/uploads/attachment_data/file/229498/bis-13-899-the-impact-of-university-degrees-on-the-lifecycle-of-earnings-further-analysis.pdf</t>
  </si>
  <si>
    <t>Adjustment factor for other conditions where there are high gains from early intervention</t>
  </si>
  <si>
    <t>Gains for all health conditions with high benefits from early intervention</t>
  </si>
  <si>
    <t>Expenditure by NHS on late diagnosis of conditions benefiting from early intervention</t>
  </si>
  <si>
    <r>
      <t xml:space="preserve">Households who would not claim UC but have children aged 3/4 and earn £100,000 net adjusted income or less, thus eligible for </t>
    </r>
    <r>
      <rPr>
        <b/>
        <sz val="16"/>
        <color theme="1"/>
        <rFont val="Calibri"/>
        <family val="2"/>
        <scheme val="minor"/>
      </rPr>
      <t xml:space="preserve">free full-time childcare or early years learning care </t>
    </r>
  </si>
  <si>
    <t>Mother can find PT job B, E31</t>
  </si>
  <si>
    <t>Adult can find better job B, E25</t>
  </si>
  <si>
    <t>previously inactive mother is now able to work half-time B, E27</t>
  </si>
  <si>
    <t xml:space="preserve">Upper ranges </t>
  </si>
  <si>
    <t>Lower ranges</t>
  </si>
  <si>
    <t>Assumption about annual change in UC-claiming migrants can be entered in cell F2 (highlighted)</t>
  </si>
  <si>
    <t>Total gain from early diagnosis of diabetes</t>
  </si>
  <si>
    <t>Y1 total gains</t>
  </si>
  <si>
    <t xml:space="preserve">Of which inactive mother present (31.9%) </t>
  </si>
  <si>
    <t>Annual reduction in number of Universal Credit cases due to tighter migration policy</t>
  </si>
  <si>
    <t>Child Benefit as % of all costs in Y1</t>
  </si>
  <si>
    <t xml:space="preserve">annual reduction in number of UC-claiming households </t>
  </si>
  <si>
    <t>Child benefit--number of beneficiaries unchanged over 10 yrs</t>
  </si>
  <si>
    <t>Value of health-related gains: apply to all so no fall in numbers</t>
  </si>
  <si>
    <t>years</t>
  </si>
  <si>
    <t>BAU--costs fall in tighter mign scenarios per cell C27</t>
  </si>
  <si>
    <t>Present value of net costs: use std discount rate per cell C25</t>
  </si>
  <si>
    <t>present value of health-related gains: use health-related discount rate per cell C26</t>
  </si>
  <si>
    <t>present value non-health-related gains: use standard discount rate</t>
  </si>
  <si>
    <t>COSTS TO CENTRAL GOVT &amp; NHS</t>
  </si>
  <si>
    <t>Post-policy gain: higher tax &amp; NI. Benef numbers fall over time per Cell C27</t>
  </si>
  <si>
    <t>Overall post-policy costs</t>
  </si>
  <si>
    <t>present value overall post-policy costs vs BAU: use standard discount rate</t>
  </si>
  <si>
    <t>Net result: post-policy costs vs BAU</t>
  </si>
  <si>
    <t>COSTS TO LOCAL GOVERNMENT</t>
  </si>
  <si>
    <t>Present value of net post-policy costs vs BAU: use standard discount rate</t>
  </si>
  <si>
    <t>NPV of overall public-sector position over 10 yrs</t>
  </si>
  <si>
    <t>Value of non-health-related gains: beneficiary numbers fall over time per cell C28 (ie @ half the rate of UC case decline)</t>
  </si>
  <si>
    <t>Present value of total gains: sum PVs for health and non-health</t>
  </si>
  <si>
    <t>Total net costs: post-policy costs - BAU</t>
  </si>
  <si>
    <r>
      <t xml:space="preserve">Sum of PVs of </t>
    </r>
    <r>
      <rPr>
        <b/>
        <u/>
        <sz val="12"/>
        <color theme="1"/>
        <rFont val="Calibri"/>
        <family val="2"/>
        <scheme val="minor"/>
      </rPr>
      <t>gains</t>
    </r>
    <r>
      <rPr>
        <b/>
        <sz val="12"/>
        <color theme="1"/>
        <rFont val="Calibri"/>
        <family val="2"/>
        <scheme val="minor"/>
      </rPr>
      <t xml:space="preserve"> years 1-10</t>
    </r>
  </si>
  <si>
    <t>sum of present values of local govt costs years 1-10 (positive value = cost savings compared to BAU)</t>
  </si>
  <si>
    <t>Based on LFS figures for % of foreign-born households who would not claim UC but have children aged 3/4 and earn £100,000 net adjusted income or less, thus eligible for free full-time childcare or early years learning care</t>
  </si>
  <si>
    <t>Assumes employment from age 20 - age 64</t>
  </si>
  <si>
    <t xml:space="preserve">Per IFS, child attending any childcare setting likely to contribute £11,000 more to exchequer (present value in 2014 prices). </t>
  </si>
  <si>
    <t>Year 1 additional earnings from university attendance</t>
  </si>
  <si>
    <t>Based on 44 year working life and 3.5% social discount rate</t>
  </si>
  <si>
    <t>Year 1 additional tax revenue from university grads</t>
  </si>
  <si>
    <t>Higher earnings from those able to attend university because of home fees</t>
  </si>
  <si>
    <t>Additional gains not included in model as first appear after &gt;10 years</t>
  </si>
  <si>
    <t>Unit value from first year of employment (policy change + 18 yrs)</t>
  </si>
  <si>
    <t>Higher income from attending free childcare: first received in Year 18 after policy change</t>
  </si>
  <si>
    <t>Higher tax payments from attending free childcare: first received in Year 18 after policy change</t>
  </si>
  <si>
    <t>Year 1 additional tax revenue to exchequer from indiv attending formal childcare</t>
  </si>
  <si>
    <t>Year 0 net outcomes (Gains-Costs)</t>
  </si>
  <si>
    <t>annual reduction in non-health gains due to lower numbers of UC claimants</t>
  </si>
  <si>
    <t>OVERALL SUMMARY: Year 0  All figures in £ Sterling</t>
  </si>
  <si>
    <r>
      <t xml:space="preserve">sum of present values of </t>
    </r>
    <r>
      <rPr>
        <b/>
        <u/>
        <sz val="12"/>
        <color theme="1"/>
        <rFont val="Calibri"/>
        <family val="2"/>
        <scheme val="minor"/>
      </rPr>
      <t>costs to central government and NHS</t>
    </r>
    <r>
      <rPr>
        <b/>
        <sz val="12"/>
        <color theme="1"/>
        <rFont val="Calibri"/>
        <family val="2"/>
        <scheme val="minor"/>
      </rPr>
      <t xml:space="preserve"> years 1-10 (negative value = higher expenditure than BAU)</t>
    </r>
  </si>
  <si>
    <t>YEARS</t>
  </si>
  <si>
    <t>Note: in following tables  + amounts = gains; - amounts = costs</t>
  </si>
  <si>
    <t>Post-policy gain: reduced NHS spend. Number of beneficiaries unchanged</t>
  </si>
  <si>
    <t>Post-policy costs: Benefits other than Child Benefit.  Beneficiary numbers fall over time per cell C27</t>
  </si>
  <si>
    <t>Cell references in column A are to tab 'A all'</t>
  </si>
  <si>
    <t>Option 1: lift NRPF condition from households with children</t>
  </si>
  <si>
    <t>Total</t>
  </si>
  <si>
    <t>A all</t>
  </si>
  <si>
    <t>A fiscal</t>
  </si>
  <si>
    <t>Public sector impacts</t>
  </si>
  <si>
    <t>as for all foreign-born hhlds--see Tab B, E24</t>
  </si>
  <si>
    <t>This page provides a high level summary of overall costs and gains</t>
  </si>
  <si>
    <t>own estimate based on indications from interviews</t>
  </si>
  <si>
    <t>own estimate based on literature from similar policies</t>
  </si>
  <si>
    <t>Own estimate based on discussion with third sector expert agencies and local authorities</t>
  </si>
  <si>
    <t>own estimate. We have used only diabetes as an example but the Kings Fund evidence cited indicated that the benefit of early detection of colon and rectal cancers, and COPD could save amounts well in excess of savings from early diagnosis of diabetes alone</t>
  </si>
  <si>
    <r>
      <t>Per IFS, child attending any childcare setting likely to earn £27,000 more in lifetime (present value in 2014 prices).  Cattan S.  Crawford C. Dearden L. (2014)</t>
    </r>
    <r>
      <rPr>
        <i/>
        <sz val="11"/>
        <color theme="1"/>
        <rFont val="Calibri"/>
        <family val="2"/>
        <scheme val="minor"/>
      </rPr>
      <t xml:space="preserve"> The economic effects of pre-school education and quality</t>
    </r>
    <r>
      <rPr>
        <sz val="11"/>
        <color theme="1"/>
        <rFont val="Calibri"/>
        <family val="2"/>
        <scheme val="minor"/>
      </rPr>
      <t xml:space="preserve"> Institute of Fiscal Studies (IFA) London</t>
    </r>
  </si>
  <si>
    <t>Year 1 flow of additional earnings for beneficiary due to attending additional childcare</t>
  </si>
  <si>
    <t>Own estimate based on literature review and previous work- see main text. Includes a  majority for whom debt would be relieved by payment of welfare benefits, over and above those who would need the additional assistance of formal or informal money advice servcies</t>
  </si>
  <si>
    <t>Gain to public purse from each case type in Yr 0</t>
  </si>
  <si>
    <t>Social value per individual Year 0</t>
  </si>
  <si>
    <t>Wellbeing value of good overall health</t>
  </si>
  <si>
    <t>Direct gain for beneficiaries: Improved overall health and wellbeing</t>
  </si>
  <si>
    <r>
      <t xml:space="preserve">HMT </t>
    </r>
    <r>
      <rPr>
        <i/>
        <sz val="12"/>
        <color theme="1"/>
        <rFont val="Calibri"/>
        <family val="2"/>
        <scheme val="minor"/>
      </rPr>
      <t>Breathing Space Impact Appraisal</t>
    </r>
    <r>
      <rPr>
        <sz val="12"/>
        <color theme="1"/>
        <rFont val="Calibri"/>
        <family val="2"/>
        <scheme val="minor"/>
      </rPr>
      <t xml:space="preserve"> Section 12.2, value uprated to 2021-2 prices</t>
    </r>
  </si>
  <si>
    <r>
      <t>HMT</t>
    </r>
    <r>
      <rPr>
        <i/>
        <sz val="12"/>
        <color theme="1"/>
        <rFont val="Calibri"/>
        <family val="2"/>
        <scheme val="minor"/>
      </rPr>
      <t xml:space="preserve"> Breathing Space Impact Appraisal </t>
    </r>
    <r>
      <rPr>
        <sz val="12"/>
        <color theme="1"/>
        <rFont val="Calibri"/>
        <family val="2"/>
        <scheme val="minor"/>
      </rPr>
      <t>Section 11.2 value uprated to 2021-2 prices</t>
    </r>
  </si>
  <si>
    <t>Option 1</t>
  </si>
  <si>
    <t xml:space="preserve">Option 2 </t>
  </si>
  <si>
    <t xml:space="preserve">Year 0 net outcome </t>
  </si>
  <si>
    <t xml:space="preserve">Overall CBA Outcome </t>
  </si>
  <si>
    <t>Year 0</t>
  </si>
  <si>
    <t xml:space="preserve">10 Year NPV </t>
  </si>
  <si>
    <t>Summary</t>
  </si>
  <si>
    <t>Overall position summary</t>
  </si>
  <si>
    <t>Summary table of CAB Outcome</t>
  </si>
  <si>
    <t xml:space="preserve">Current (BAU) costs. Costs fall in tighter migration scenarios per cell A all F2 </t>
  </si>
  <si>
    <t>Current (BAU) costs. Costs fall over time in tighter migration scenarios per cell Aall F2</t>
  </si>
  <si>
    <t>Post-policy costs: residual expenditure.  Costs fall over time in tighter migration scenarios per Cell A all F2</t>
  </si>
  <si>
    <t>Year 0 total</t>
  </si>
  <si>
    <t>Year 0 total rounded</t>
  </si>
  <si>
    <t>Benefits other than Child Benefit--beneficiary numbers fall in tighter migration scenarios per cell  C27</t>
  </si>
  <si>
    <t>year 0 public sector effects</t>
  </si>
  <si>
    <t>Benefit-cost ratio</t>
  </si>
  <si>
    <r>
      <t xml:space="preserve">Per HACT value calculator, value of being able to pay for housing was £7,347 annually </t>
    </r>
    <r>
      <rPr>
        <b/>
        <u/>
        <sz val="12"/>
        <color rgb="FFFF0000"/>
        <rFont val="Calibri"/>
        <family val="2"/>
        <scheme val="minor"/>
      </rPr>
      <t xml:space="preserve">per individual </t>
    </r>
    <r>
      <rPr>
        <sz val="12"/>
        <color theme="1"/>
        <rFont val="Calibri"/>
        <family val="2"/>
        <scheme val="minor"/>
      </rPr>
      <t>in 2018.  Inflated to 2021 prices</t>
    </r>
  </si>
  <si>
    <r>
      <t xml:space="preserve">value of moving from temporary or insecure accommodation to secure housing for households with dependent children </t>
    </r>
    <r>
      <rPr>
        <b/>
        <u/>
        <sz val="12"/>
        <color rgb="FFFF0000"/>
        <rFont val="Calibri"/>
        <family val="2"/>
        <scheme val="minor"/>
      </rPr>
      <t>(per individual)</t>
    </r>
  </si>
  <si>
    <t>NPV of gains/NPV of costs</t>
  </si>
  <si>
    <t>-20%</t>
  </si>
  <si>
    <t>+20%</t>
  </si>
  <si>
    <t>All govt</t>
  </si>
  <si>
    <t>ROUNDED</t>
  </si>
  <si>
    <r>
      <t xml:space="preserve">sensitivity analysis for </t>
    </r>
    <r>
      <rPr>
        <b/>
        <sz val="16"/>
        <color theme="1"/>
        <rFont val="Calibri"/>
        <family val="2"/>
        <scheme val="minor"/>
      </rPr>
      <t>option 2</t>
    </r>
    <r>
      <rPr>
        <sz val="16"/>
        <color theme="1"/>
        <rFont val="Calibri"/>
        <family val="2"/>
        <scheme val="minor"/>
      </rPr>
      <t>--UC values from other spreadsheet</t>
    </r>
  </si>
  <si>
    <t>UC central estimate for Option 2</t>
  </si>
  <si>
    <t>SENSITIVITY ANALYSIS OPTION 1</t>
  </si>
  <si>
    <t>ROUNDED +20%</t>
  </si>
  <si>
    <t>10 yr PV of gains - 10 yr PV of cvosts</t>
  </si>
  <si>
    <t>Value of gains Year 0</t>
  </si>
  <si>
    <t xml:space="preserve">Present value of gains 10 years </t>
  </si>
  <si>
    <t>Present value of public sector costs (net of BAU) 10 years</t>
  </si>
  <si>
    <t>rounded</t>
  </si>
  <si>
    <t xml:space="preserve">Present value of 10-year net outcome </t>
  </si>
  <si>
    <t>Net public sector costs Year 0</t>
  </si>
  <si>
    <t>Gross public sector costs Year 0</t>
  </si>
  <si>
    <t>Less business as usual costs Year 0</t>
  </si>
  <si>
    <r>
      <t xml:space="preserve">sum of present values of net </t>
    </r>
    <r>
      <rPr>
        <b/>
        <u/>
        <sz val="12"/>
        <color theme="1"/>
        <rFont val="Calibri"/>
        <family val="2"/>
        <scheme val="minor"/>
      </rPr>
      <t>costs</t>
    </r>
    <r>
      <rPr>
        <b/>
        <sz val="12"/>
        <color theme="1"/>
        <rFont val="Calibri"/>
        <family val="2"/>
        <scheme val="minor"/>
      </rPr>
      <t xml:space="preserve"> years 1-10</t>
    </r>
  </si>
  <si>
    <t>Present value of gross public sector costs 10 yrs</t>
  </si>
  <si>
    <t>Gross public sector costs</t>
  </si>
  <si>
    <t>Present value of BAU 10 yrs</t>
  </si>
  <si>
    <t>Present value of BAU costs</t>
  </si>
  <si>
    <t>PV of gross public sector costs</t>
  </si>
  <si>
    <t>Present value of 10-year gross public sector costs</t>
  </si>
  <si>
    <t>Less present value of 10-year business as usual costs</t>
  </si>
  <si>
    <t>10-year PV costs</t>
  </si>
  <si>
    <t>10-year PV gains</t>
  </si>
  <si>
    <t xml:space="preserve">Year 0 </t>
  </si>
  <si>
    <t>% hhlds</t>
  </si>
  <si>
    <t>% indivs</t>
  </si>
  <si>
    <t>Costs of 'public funds' benefits: per household and total</t>
  </si>
  <si>
    <t>Benefit-cost ratio (BCR)</t>
  </si>
  <si>
    <t>Benefit-cost ratio 10 yrs</t>
  </si>
  <si>
    <r>
      <rPr>
        <b/>
        <sz val="12"/>
        <color theme="1"/>
        <rFont val="Calibri"/>
        <family val="2"/>
        <scheme val="minor"/>
      </rPr>
      <t>BAU adjustments to costs</t>
    </r>
    <r>
      <rPr>
        <sz val="12"/>
        <color theme="1"/>
        <rFont val="Calibri"/>
        <family val="2"/>
        <scheme val="minor"/>
      </rPr>
      <t>, for households likely to have had Changes of Conditions access to public funds, or public funds assistance from Local Authorities, netted off above</t>
    </r>
  </si>
  <si>
    <t>formula for calculation of National Insurance contributions</t>
  </si>
  <si>
    <t>3a</t>
  </si>
  <si>
    <t>4a</t>
  </si>
  <si>
    <t>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</si>
</sst>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quot;£&quot;#,##0"/>
    <numFmt numFmtId="165" formatCode="_-* #,##0_-;\-* #,##0_-;_-* &quot;-&quot;??_-;_-@_-"/>
    <numFmt numFmtId="166" formatCode="0.0%"/>
    <numFmt numFmtId="167" formatCode="_-&quot;£&quot;* #,##0_-;\-&quot;£&quot;* #,##0_-;_-&quot;£&quot;* &quot;-&quot;??_-;_-@_-"/>
    <numFmt numFmtId="168" formatCode="&quot;£&quot;#,##0.00"/>
    <numFmt numFmtId="169" formatCode="0.0"/>
    <numFmt numFmtId="170" formatCode="0.00000"/>
    <numFmt numFmtId="171" formatCode="&quot;£&quot;#,##0.0"/>
    <numFmt numFmtId="172" formatCode="#,##0.00_ ;\-#,##0.00\ "/>
  </numFmts>
  <fonts count="57">
    <font>
      <sz val="16"/>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u/>
      <sz val="16"/>
      <color theme="10"/>
      <name val="Calibri"/>
      <family val="2"/>
      <scheme val="minor"/>
    </font>
    <font>
      <b/>
      <sz val="18"/>
      <color theme="1"/>
      <name val="Calibri"/>
      <family val="2"/>
      <scheme val="minor"/>
    </font>
    <font>
      <b/>
      <i/>
      <sz val="12"/>
      <color theme="1"/>
      <name val="Calibri"/>
      <family val="2"/>
      <scheme val="minor"/>
    </font>
    <font>
      <b/>
      <sz val="11"/>
      <color theme="1"/>
      <name val="Calibri"/>
      <family val="2"/>
      <scheme val="minor"/>
    </font>
    <font>
      <u/>
      <sz val="12"/>
      <name val="Calibri"/>
      <family val="2"/>
      <scheme val="minor"/>
    </font>
    <font>
      <u/>
      <sz val="12"/>
      <color theme="10"/>
      <name val="Calibri"/>
      <family val="2"/>
      <scheme val="minor"/>
    </font>
    <font>
      <sz val="8"/>
      <color theme="1"/>
      <name val="Calibri"/>
      <family val="2"/>
      <scheme val="minor"/>
    </font>
    <font>
      <sz val="12"/>
      <color rgb="FF000000"/>
      <name val="Calibri"/>
      <family val="2"/>
      <scheme val="minor"/>
    </font>
    <font>
      <sz val="12"/>
      <name val="Calibri"/>
      <family val="2"/>
      <scheme val="minor"/>
    </font>
    <font>
      <sz val="10"/>
      <name val="Arial"/>
      <family val="2"/>
    </font>
    <font>
      <sz val="11"/>
      <color rgb="FF000000"/>
      <name val="Calibri"/>
      <family val="2"/>
      <scheme val="minor"/>
    </font>
    <font>
      <i/>
      <sz val="16"/>
      <color theme="1"/>
      <name val="Calibri"/>
      <family val="2"/>
      <scheme val="minor"/>
    </font>
    <font>
      <sz val="16"/>
      <name val="Calibri"/>
      <family val="2"/>
      <scheme val="minor"/>
    </font>
    <font>
      <b/>
      <sz val="16"/>
      <color rgb="FFFF0000"/>
      <name val="Calibri"/>
      <family val="2"/>
      <scheme val="minor"/>
    </font>
    <font>
      <b/>
      <sz val="16"/>
      <color theme="0"/>
      <name val="Calibri"/>
      <family val="2"/>
      <scheme val="minor"/>
    </font>
    <font>
      <sz val="16"/>
      <color theme="0"/>
      <name val="Calibri"/>
      <family val="2"/>
      <scheme val="minor"/>
    </font>
    <font>
      <b/>
      <u/>
      <sz val="16"/>
      <color rgb="FFFF0000"/>
      <name val="Calibri"/>
      <family val="2"/>
      <scheme val="minor"/>
    </font>
    <font>
      <b/>
      <sz val="14"/>
      <color theme="1"/>
      <name val="Calibri"/>
      <family val="2"/>
      <scheme val="minor"/>
    </font>
    <font>
      <sz val="10"/>
      <color theme="1"/>
      <name val="Calibri"/>
      <family val="2"/>
      <scheme val="minor"/>
    </font>
    <font>
      <b/>
      <i/>
      <sz val="11"/>
      <color theme="1"/>
      <name val="Calibri"/>
      <family val="2"/>
      <scheme val="minor"/>
    </font>
    <font>
      <sz val="14"/>
      <color theme="1"/>
      <name val="Calibri"/>
      <family val="2"/>
      <scheme val="minor"/>
    </font>
    <font>
      <b/>
      <sz val="16"/>
      <name val="Calibri"/>
      <family val="2"/>
      <scheme val="minor"/>
    </font>
    <font>
      <sz val="12"/>
      <color theme="1"/>
      <name val="Calibri (Body)"/>
    </font>
    <font>
      <i/>
      <sz val="12"/>
      <color theme="1"/>
      <name val="Calibri"/>
      <family val="2"/>
      <scheme val="minor"/>
    </font>
    <font>
      <u/>
      <sz val="10"/>
      <color theme="10"/>
      <name val="Calibri"/>
      <family val="2"/>
      <scheme val="minor"/>
    </font>
    <font>
      <b/>
      <sz val="12"/>
      <color rgb="FFFF0000"/>
      <name val="Calibri"/>
      <family val="2"/>
      <scheme val="minor"/>
    </font>
    <font>
      <b/>
      <u/>
      <sz val="12"/>
      <color theme="1"/>
      <name val="Calibri"/>
      <family val="2"/>
      <scheme val="minor"/>
    </font>
    <font>
      <b/>
      <u/>
      <sz val="14"/>
      <color theme="1"/>
      <name val="Calibri"/>
      <family val="2"/>
      <scheme val="minor"/>
    </font>
    <font>
      <sz val="16"/>
      <color rgb="FFFF0000"/>
      <name val="Calibri"/>
      <family val="2"/>
      <scheme val="minor"/>
    </font>
    <font>
      <b/>
      <sz val="18"/>
      <color rgb="FFFF0000"/>
      <name val="Calibri"/>
      <family val="2"/>
      <scheme val="minor"/>
    </font>
    <font>
      <i/>
      <sz val="11"/>
      <color theme="1"/>
      <name val="Calibri"/>
      <family val="2"/>
      <scheme val="minor"/>
    </font>
    <font>
      <sz val="8"/>
      <name val="Calibri"/>
      <family val="2"/>
      <scheme val="minor"/>
    </font>
    <font>
      <b/>
      <u/>
      <sz val="12"/>
      <color rgb="FFFF0000"/>
      <name val="Calibri"/>
      <family val="2"/>
      <scheme val="minor"/>
    </font>
    <font>
      <i/>
      <sz val="11"/>
      <color rgb="FF000000"/>
      <name val="Calibri"/>
      <family val="2"/>
      <scheme val="minor"/>
    </font>
  </fonts>
  <fills count="30">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7" tint="-0.249977111117893"/>
        <bgColor indexed="64"/>
      </patternFill>
    </fill>
    <fill>
      <patternFill patternType="solid">
        <fgColor rgb="FF7030A0"/>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00EFE6"/>
        <bgColor indexed="64"/>
      </patternFill>
    </fill>
    <fill>
      <patternFill patternType="solid">
        <fgColor theme="2"/>
        <bgColor indexed="64"/>
      </patternFill>
    </fill>
    <fill>
      <patternFill patternType="solid">
        <fgColor rgb="FFFF9999"/>
        <bgColor indexed="64"/>
      </patternFill>
    </fill>
    <fill>
      <patternFill patternType="solid">
        <fgColor rgb="FF0070C0"/>
        <bgColor indexed="64"/>
      </patternFill>
    </fill>
    <fill>
      <patternFill patternType="solid">
        <fgColor theme="1" tint="0.34998626667073579"/>
        <bgColor indexed="64"/>
      </patternFill>
    </fill>
    <fill>
      <patternFill patternType="solid">
        <fgColor rgb="FFE2EFDA"/>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43" fontId="22" fillId="0" borderId="0" applyFont="0" applyFill="0" applyBorder="0" applyAlignment="0" applyProtection="0"/>
    <xf numFmtId="0" fontId="23" fillId="0" borderId="0" applyNumberFormat="0" applyFill="0" applyBorder="0" applyAlignment="0" applyProtection="0"/>
    <xf numFmtId="9" fontId="22" fillId="0" borderId="0" applyFont="0" applyFill="0" applyBorder="0" applyAlignment="0" applyProtection="0"/>
    <xf numFmtId="44" fontId="22" fillId="0" borderId="0" applyFont="0" applyFill="0" applyBorder="0" applyAlignment="0" applyProtection="0"/>
    <xf numFmtId="0" fontId="32" fillId="0" borderId="0"/>
    <xf numFmtId="0" fontId="22" fillId="0" borderId="0"/>
    <xf numFmtId="9" fontId="22"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9" fontId="17" fillId="0" borderId="0" applyFont="0" applyFill="0" applyBorder="0" applyAlignment="0" applyProtection="0"/>
  </cellStyleXfs>
  <cellXfs count="556">
    <xf numFmtId="0" fontId="0" fillId="0" borderId="0" xfId="0"/>
    <xf numFmtId="0" fontId="19" fillId="9" borderId="1" xfId="0" applyFont="1" applyFill="1" applyBorder="1" applyAlignment="1">
      <alignment horizontal="center"/>
    </xf>
    <xf numFmtId="0" fontId="19" fillId="0" borderId="0" xfId="0" applyFont="1" applyAlignment="1">
      <alignment horizontal="center"/>
    </xf>
    <xf numFmtId="0" fontId="19" fillId="0" borderId="0" xfId="0" applyFont="1"/>
    <xf numFmtId="0" fontId="27" fillId="0" borderId="0" xfId="2" applyNumberFormat="1" applyFont="1"/>
    <xf numFmtId="0" fontId="0" fillId="0" borderId="5" xfId="0" applyBorder="1"/>
    <xf numFmtId="0" fontId="0" fillId="0" borderId="0" xfId="0" applyAlignment="1">
      <alignment wrapText="1"/>
    </xf>
    <xf numFmtId="0" fontId="0" fillId="0" borderId="1" xfId="0" applyBorder="1" applyAlignment="1">
      <alignment vertical="top" wrapText="1"/>
    </xf>
    <xf numFmtId="0" fontId="26" fillId="0" borderId="0" xfId="0" applyFont="1" applyAlignment="1">
      <alignment vertical="center" wrapText="1"/>
    </xf>
    <xf numFmtId="0" fontId="28" fillId="0" borderId="0" xfId="2" applyFont="1" applyAlignment="1">
      <alignment vertical="center"/>
    </xf>
    <xf numFmtId="164" fontId="21" fillId="8" borderId="0" xfId="0" applyNumberFormat="1" applyFont="1" applyFill="1"/>
    <xf numFmtId="0" fontId="0" fillId="8" borderId="0" xfId="0" applyFill="1"/>
    <xf numFmtId="164" fontId="20" fillId="0" borderId="1" xfId="4" applyNumberFormat="1" applyFont="1" applyBorder="1" applyAlignment="1">
      <alignment horizontal="center" vertical="center"/>
    </xf>
    <xf numFmtId="1" fontId="20" fillId="0" borderId="1" xfId="0" applyNumberFormat="1" applyFont="1" applyBorder="1" applyAlignment="1">
      <alignment horizontal="center" vertical="center"/>
    </xf>
    <xf numFmtId="164" fontId="20" fillId="10" borderId="1" xfId="4" applyNumberFormat="1" applyFont="1" applyFill="1" applyBorder="1" applyAlignment="1">
      <alignment horizontal="center" vertical="center"/>
    </xf>
    <xf numFmtId="0" fontId="20" fillId="0" borderId="0" xfId="0" applyFont="1"/>
    <xf numFmtId="0" fontId="26" fillId="0" borderId="0" xfId="0" applyFont="1" applyAlignment="1">
      <alignment horizontal="center" vertical="center" wrapText="1"/>
    </xf>
    <xf numFmtId="0" fontId="26" fillId="6" borderId="0" xfId="0" applyFont="1" applyFill="1" applyAlignment="1">
      <alignment horizontal="center" vertical="center" wrapText="1"/>
    </xf>
    <xf numFmtId="0" fontId="0" fillId="11" borderId="0" xfId="0" applyFill="1"/>
    <xf numFmtId="0" fontId="30" fillId="0" borderId="0" xfId="0" applyFont="1" applyAlignment="1">
      <alignment horizontal="left" vertical="center" indent="1"/>
    </xf>
    <xf numFmtId="0" fontId="0" fillId="12" borderId="0" xfId="0" applyFill="1"/>
    <xf numFmtId="168" fontId="20" fillId="12" borderId="1" xfId="0" applyNumberFormat="1" applyFont="1" applyFill="1" applyBorder="1" applyAlignment="1">
      <alignment horizontal="center" vertical="center"/>
    </xf>
    <xf numFmtId="0" fontId="19" fillId="12" borderId="0" xfId="0" applyFont="1" applyFill="1"/>
    <xf numFmtId="0" fontId="0" fillId="13" borderId="0" xfId="0" applyFill="1"/>
    <xf numFmtId="0" fontId="0" fillId="4" borderId="0" xfId="0" applyFill="1"/>
    <xf numFmtId="0" fontId="0" fillId="14" borderId="0" xfId="0" applyFill="1"/>
    <xf numFmtId="0" fontId="0" fillId="15" borderId="0" xfId="0" applyFill="1"/>
    <xf numFmtId="9" fontId="20" fillId="0" borderId="0" xfId="0" applyNumberFormat="1" applyFont="1"/>
    <xf numFmtId="0" fontId="32" fillId="0" borderId="0" xfId="5"/>
    <xf numFmtId="168" fontId="0" fillId="0" borderId="0" xfId="0" applyNumberFormat="1"/>
    <xf numFmtId="0" fontId="21" fillId="0" borderId="0" xfId="0" applyFont="1" applyBorder="1" applyAlignment="1">
      <alignment horizontal="center" wrapText="1"/>
    </xf>
    <xf numFmtId="0" fontId="0" fillId="0" borderId="0" xfId="0" applyBorder="1"/>
    <xf numFmtId="0" fontId="20" fillId="0" borderId="0" xfId="0" applyFont="1" applyBorder="1" applyAlignment="1">
      <alignment vertical="center" wrapText="1"/>
    </xf>
    <xf numFmtId="0" fontId="20" fillId="0" borderId="0" xfId="0" applyFont="1" applyBorder="1"/>
    <xf numFmtId="164" fontId="20" fillId="0" borderId="0" xfId="0" applyNumberFormat="1" applyFont="1"/>
    <xf numFmtId="165" fontId="20" fillId="0" borderId="0" xfId="1" applyNumberFormat="1" applyFont="1" applyBorder="1" applyAlignment="1">
      <alignment wrapText="1"/>
    </xf>
    <xf numFmtId="0" fontId="19" fillId="0" borderId="0" xfId="0" applyFont="1" applyBorder="1"/>
    <xf numFmtId="0" fontId="0" fillId="10" borderId="0" xfId="0" applyFill="1"/>
    <xf numFmtId="3" fontId="0" fillId="10" borderId="0" xfId="0" applyNumberFormat="1" applyFill="1" applyBorder="1" applyAlignment="1">
      <alignment horizontal="center"/>
    </xf>
    <xf numFmtId="3" fontId="19" fillId="10" borderId="0" xfId="0" applyNumberFormat="1" applyFont="1" applyFill="1" applyBorder="1" applyAlignment="1">
      <alignment horizontal="center"/>
    </xf>
    <xf numFmtId="164" fontId="0" fillId="10" borderId="0" xfId="0" applyNumberFormat="1" applyFill="1" applyBorder="1" applyAlignment="1">
      <alignment horizontal="center"/>
    </xf>
    <xf numFmtId="0" fontId="0" fillId="7" borderId="0" xfId="0" applyFill="1"/>
    <xf numFmtId="0" fontId="19" fillId="9" borderId="0" xfId="0" applyFont="1" applyFill="1" applyBorder="1" applyAlignment="1">
      <alignment horizontal="center"/>
    </xf>
    <xf numFmtId="0" fontId="19" fillId="0" borderId="0" xfId="0" applyFont="1" applyBorder="1" applyAlignment="1">
      <alignment horizontal="center"/>
    </xf>
    <xf numFmtId="0" fontId="0" fillId="0" borderId="0" xfId="0" applyBorder="1" applyAlignment="1">
      <alignment wrapText="1"/>
    </xf>
    <xf numFmtId="0" fontId="0" fillId="12" borderId="0" xfId="0" applyFill="1" applyBorder="1"/>
    <xf numFmtId="10" fontId="0" fillId="0" borderId="0" xfId="3" applyNumberFormat="1" applyFont="1" applyBorder="1"/>
    <xf numFmtId="0" fontId="0" fillId="0" borderId="0" xfId="0" applyBorder="1" applyAlignment="1">
      <alignment horizontal="center"/>
    </xf>
    <xf numFmtId="169" fontId="0" fillId="0" borderId="0" xfId="0" applyNumberFormat="1" applyBorder="1"/>
    <xf numFmtId="164" fontId="19" fillId="0" borderId="0" xfId="0" applyNumberFormat="1" applyFont="1" applyBorder="1"/>
    <xf numFmtId="3" fontId="0" fillId="10" borderId="0" xfId="0" applyNumberFormat="1" applyFont="1" applyFill="1" applyBorder="1" applyAlignment="1">
      <alignment horizontal="center"/>
    </xf>
    <xf numFmtId="0" fontId="0" fillId="0" borderId="0" xfId="0" applyFont="1" applyBorder="1" applyAlignment="1">
      <alignment horizontal="left" wrapText="1" indent="2"/>
    </xf>
    <xf numFmtId="0" fontId="34" fillId="0" borderId="0" xfId="0" applyFont="1" applyBorder="1"/>
    <xf numFmtId="0" fontId="0" fillId="0" borderId="6" xfId="0" applyBorder="1"/>
    <xf numFmtId="0" fontId="21" fillId="11" borderId="0" xfId="0" applyFont="1" applyFill="1" applyBorder="1" applyAlignment="1">
      <alignment horizontal="center"/>
    </xf>
    <xf numFmtId="0" fontId="21" fillId="11" borderId="0" xfId="0" applyFont="1" applyFill="1" applyBorder="1" applyAlignment="1">
      <alignment horizontal="center" wrapText="1"/>
    </xf>
    <xf numFmtId="3" fontId="20" fillId="10" borderId="0" xfId="0" applyNumberFormat="1" applyFont="1" applyFill="1" applyBorder="1" applyAlignment="1">
      <alignment horizontal="center"/>
    </xf>
    <xf numFmtId="164" fontId="20" fillId="10" borderId="0" xfId="0" applyNumberFormat="1" applyFont="1" applyFill="1" applyBorder="1" applyAlignment="1">
      <alignment horizontal="center"/>
    </xf>
    <xf numFmtId="3" fontId="21" fillId="10" borderId="0" xfId="0" applyNumberFormat="1" applyFont="1" applyFill="1" applyBorder="1" applyAlignment="1">
      <alignment horizontal="center"/>
    </xf>
    <xf numFmtId="164" fontId="21" fillId="10" borderId="0" xfId="0" applyNumberFormat="1" applyFont="1" applyFill="1" applyBorder="1" applyAlignment="1">
      <alignment horizontal="center"/>
    </xf>
    <xf numFmtId="3" fontId="21" fillId="12" borderId="0" xfId="0" applyNumberFormat="1" applyFont="1" applyFill="1" applyBorder="1" applyAlignment="1">
      <alignment horizontal="center"/>
    </xf>
    <xf numFmtId="164" fontId="20" fillId="12" borderId="0" xfId="0" applyNumberFormat="1" applyFont="1" applyFill="1" applyBorder="1" applyAlignment="1">
      <alignment horizontal="center"/>
    </xf>
    <xf numFmtId="164" fontId="21" fillId="12" borderId="0" xfId="0" applyNumberFormat="1" applyFont="1" applyFill="1" applyBorder="1" applyAlignment="1">
      <alignment horizontal="center"/>
    </xf>
    <xf numFmtId="166" fontId="0" fillId="0" borderId="0" xfId="3" applyNumberFormat="1" applyFont="1" applyBorder="1"/>
    <xf numFmtId="9" fontId="20" fillId="10" borderId="1" xfId="3" applyFont="1" applyFill="1" applyBorder="1" applyAlignment="1">
      <alignment horizontal="center" vertical="center"/>
    </xf>
    <xf numFmtId="164" fontId="20" fillId="0" borderId="1" xfId="0" applyNumberFormat="1" applyFont="1" applyBorder="1" applyAlignment="1">
      <alignment horizontal="center" vertical="center"/>
    </xf>
    <xf numFmtId="166" fontId="0" fillId="0" borderId="0" xfId="0" applyNumberFormat="1"/>
    <xf numFmtId="164" fontId="0" fillId="12" borderId="0" xfId="0" applyNumberFormat="1" applyFill="1"/>
    <xf numFmtId="0" fontId="21" fillId="0" borderId="7" xfId="0" applyFont="1" applyFill="1" applyBorder="1" applyAlignment="1">
      <alignment wrapText="1"/>
    </xf>
    <xf numFmtId="164" fontId="20" fillId="0" borderId="0" xfId="0" applyNumberFormat="1" applyFont="1" applyBorder="1" applyAlignment="1">
      <alignment horizontal="center" vertical="center"/>
    </xf>
    <xf numFmtId="164" fontId="20" fillId="0" borderId="0" xfId="4" applyNumberFormat="1" applyFont="1" applyBorder="1" applyAlignment="1">
      <alignment horizontal="center" vertical="center"/>
    </xf>
    <xf numFmtId="164" fontId="21" fillId="0" borderId="0" xfId="4" applyNumberFormat="1" applyFont="1" applyBorder="1" applyAlignment="1">
      <alignment horizontal="center" vertical="center"/>
    </xf>
    <xf numFmtId="0" fontId="21" fillId="12" borderId="0" xfId="0" applyFont="1" applyFill="1"/>
    <xf numFmtId="0" fontId="19" fillId="10" borderId="0" xfId="0" applyFont="1" applyFill="1"/>
    <xf numFmtId="164" fontId="21" fillId="6" borderId="0" xfId="0" applyNumberFormat="1" applyFont="1" applyFill="1"/>
    <xf numFmtId="0" fontId="21" fillId="0" borderId="5" xfId="0" applyFont="1" applyBorder="1"/>
    <xf numFmtId="0" fontId="0" fillId="10" borderId="8" xfId="0" applyFill="1" applyBorder="1"/>
    <xf numFmtId="164" fontId="21" fillId="10" borderId="11" xfId="0" applyNumberFormat="1" applyFont="1" applyFill="1" applyBorder="1" applyAlignment="1">
      <alignment horizontal="right"/>
    </xf>
    <xf numFmtId="164" fontId="21" fillId="10" borderId="9" xfId="0" applyNumberFormat="1" applyFont="1" applyFill="1" applyBorder="1"/>
    <xf numFmtId="164" fontId="21" fillId="10" borderId="12" xfId="0" applyNumberFormat="1" applyFont="1" applyFill="1" applyBorder="1" applyAlignment="1">
      <alignment horizontal="right"/>
    </xf>
    <xf numFmtId="164" fontId="21" fillId="10" borderId="10" xfId="0" applyNumberFormat="1" applyFont="1" applyFill="1" applyBorder="1"/>
    <xf numFmtId="0" fontId="0" fillId="0" borderId="12" xfId="0" applyBorder="1"/>
    <xf numFmtId="0" fontId="34" fillId="10" borderId="0" xfId="0" applyFont="1" applyFill="1" applyBorder="1"/>
    <xf numFmtId="3" fontId="36" fillId="0" borderId="0" xfId="0" applyNumberFormat="1" applyFont="1"/>
    <xf numFmtId="0" fontId="36" fillId="0" borderId="0" xfId="0" applyFont="1" applyAlignment="1">
      <alignment wrapText="1"/>
    </xf>
    <xf numFmtId="166" fontId="0" fillId="12" borderId="0" xfId="0" applyNumberFormat="1" applyFill="1" applyBorder="1"/>
    <xf numFmtId="0" fontId="38" fillId="16" borderId="0" xfId="0" applyFont="1" applyFill="1"/>
    <xf numFmtId="170" fontId="36" fillId="0" borderId="0" xfId="0" applyNumberFormat="1" applyFont="1" applyBorder="1"/>
    <xf numFmtId="0" fontId="23" fillId="0" borderId="0" xfId="2" applyAlignment="1">
      <alignment wrapText="1"/>
    </xf>
    <xf numFmtId="0" fontId="0" fillId="0" borderId="0" xfId="0" applyAlignment="1">
      <alignment vertical="top"/>
    </xf>
    <xf numFmtId="0" fontId="20" fillId="0" borderId="0" xfId="0" applyFont="1" applyAlignment="1">
      <alignment vertical="top"/>
    </xf>
    <xf numFmtId="0" fontId="19" fillId="0" borderId="0" xfId="0" applyFont="1" applyAlignment="1">
      <alignment vertical="top"/>
    </xf>
    <xf numFmtId="0" fontId="26" fillId="6"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vertical="top" wrapText="1"/>
    </xf>
    <xf numFmtId="0" fontId="26" fillId="6" borderId="1" xfId="0" applyFont="1" applyFill="1" applyBorder="1" applyAlignment="1">
      <alignment horizontal="center" vertical="center" wrapText="1"/>
    </xf>
    <xf numFmtId="0" fontId="20" fillId="10" borderId="1" xfId="0" applyFont="1" applyFill="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164" fontId="20" fillId="10" borderId="1" xfId="0" applyNumberFormat="1" applyFont="1" applyFill="1" applyBorder="1" applyAlignment="1">
      <alignment horizontal="center" vertical="top"/>
    </xf>
    <xf numFmtId="0" fontId="20" fillId="0" borderId="1" xfId="0" applyFont="1" applyBorder="1" applyAlignment="1">
      <alignment wrapText="1"/>
    </xf>
    <xf numFmtId="3" fontId="20" fillId="0" borderId="1" xfId="4" applyNumberFormat="1" applyFont="1" applyBorder="1" applyAlignment="1">
      <alignment horizontal="right" vertical="center"/>
    </xf>
    <xf numFmtId="9" fontId="20" fillId="0" borderId="1" xfId="0" applyNumberFormat="1" applyFont="1" applyBorder="1" applyAlignment="1">
      <alignment horizontal="right"/>
    </xf>
    <xf numFmtId="0" fontId="30" fillId="0" borderId="1" xfId="0" applyFont="1" applyBorder="1" applyAlignment="1">
      <alignment horizontal="left" vertical="center" wrapText="1" indent="1"/>
    </xf>
    <xf numFmtId="0" fontId="31" fillId="0" borderId="1" xfId="2" applyFont="1" applyBorder="1" applyAlignment="1">
      <alignment wrapText="1"/>
    </xf>
    <xf numFmtId="0" fontId="0" fillId="0" borderId="0" xfId="0" applyAlignment="1">
      <alignment horizontal="center"/>
    </xf>
    <xf numFmtId="0" fontId="20" fillId="0" borderId="0" xfId="0" applyFont="1" applyBorder="1" applyAlignment="1">
      <alignment horizontal="center" vertical="center" wrapText="1"/>
    </xf>
    <xf numFmtId="0" fontId="20" fillId="0" borderId="0" xfId="0" applyFont="1" applyBorder="1" applyAlignment="1">
      <alignment horizontal="center"/>
    </xf>
    <xf numFmtId="0" fontId="21" fillId="6" borderId="1" xfId="0" applyFont="1" applyFill="1" applyBorder="1" applyAlignment="1">
      <alignment horizontal="center" vertical="top" wrapText="1"/>
    </xf>
    <xf numFmtId="0" fontId="20" fillId="0" borderId="1" xfId="0" applyFont="1" applyBorder="1" applyAlignment="1">
      <alignment vertical="top"/>
    </xf>
    <xf numFmtId="9" fontId="20" fillId="0" borderId="1" xfId="0" applyNumberFormat="1" applyFont="1" applyBorder="1" applyAlignment="1">
      <alignment horizontal="center" vertical="top"/>
    </xf>
    <xf numFmtId="164" fontId="20" fillId="0" borderId="1" xfId="0" applyNumberFormat="1" applyFont="1" applyBorder="1" applyAlignment="1">
      <alignment horizontal="center" vertical="top"/>
    </xf>
    <xf numFmtId="164" fontId="20" fillId="0" borderId="1" xfId="0" applyNumberFormat="1" applyFont="1" applyBorder="1" applyAlignment="1">
      <alignment vertical="top"/>
    </xf>
    <xf numFmtId="9" fontId="0" fillId="0" borderId="1" xfId="0" applyNumberFormat="1" applyBorder="1"/>
    <xf numFmtId="165" fontId="20" fillId="0" borderId="1" xfId="1" applyNumberFormat="1" applyFont="1" applyBorder="1" applyAlignment="1">
      <alignment vertical="top" wrapText="1"/>
    </xf>
    <xf numFmtId="9" fontId="20" fillId="0" borderId="1" xfId="0" applyNumberFormat="1" applyFont="1" applyBorder="1" applyAlignment="1">
      <alignment horizontal="center" vertical="top" wrapText="1"/>
    </xf>
    <xf numFmtId="9" fontId="0" fillId="0" borderId="0" xfId="0" applyNumberFormat="1" applyAlignment="1">
      <alignment horizontal="center"/>
    </xf>
    <xf numFmtId="0" fontId="20" fillId="0" borderId="0" xfId="0" applyFont="1" applyAlignment="1">
      <alignment horizontal="center" vertical="top"/>
    </xf>
    <xf numFmtId="0" fontId="24" fillId="10" borderId="1" xfId="0" applyFont="1" applyFill="1" applyBorder="1" applyAlignment="1">
      <alignment horizontal="right"/>
    </xf>
    <xf numFmtId="0" fontId="19" fillId="18" borderId="1" xfId="0" applyFont="1" applyFill="1" applyBorder="1" applyAlignment="1">
      <alignment horizontal="center"/>
    </xf>
    <xf numFmtId="0" fontId="19" fillId="18" borderId="1" xfId="0" applyFont="1" applyFill="1" applyBorder="1" applyAlignment="1">
      <alignment horizontal="center" wrapText="1"/>
    </xf>
    <xf numFmtId="0" fontId="19" fillId="0" borderId="1" xfId="0" applyFont="1" applyBorder="1"/>
    <xf numFmtId="3" fontId="19" fillId="20" borderId="1" xfId="0" applyNumberFormat="1" applyFont="1" applyFill="1" applyBorder="1" applyAlignment="1">
      <alignment horizontal="center"/>
    </xf>
    <xf numFmtId="3" fontId="19" fillId="2" borderId="1" xfId="0" applyNumberFormat="1" applyFont="1" applyFill="1" applyBorder="1" applyAlignment="1">
      <alignment horizontal="center"/>
    </xf>
    <xf numFmtId="3" fontId="19" fillId="10" borderId="1" xfId="0" applyNumberFormat="1" applyFont="1" applyFill="1" applyBorder="1" applyAlignment="1">
      <alignment horizontal="center"/>
    </xf>
    <xf numFmtId="3" fontId="0" fillId="10" borderId="1" xfId="0" applyNumberFormat="1" applyFont="1" applyFill="1" applyBorder="1" applyAlignment="1">
      <alignment horizontal="center"/>
    </xf>
    <xf numFmtId="0" fontId="0" fillId="0" borderId="1" xfId="0" applyFont="1" applyBorder="1" applyAlignment="1">
      <alignment horizontal="left" indent="1"/>
    </xf>
    <xf numFmtId="0" fontId="0" fillId="0" borderId="1" xfId="0" applyFont="1" applyBorder="1" applyAlignment="1">
      <alignment horizontal="left" wrapText="1" indent="2"/>
    </xf>
    <xf numFmtId="3" fontId="0" fillId="10" borderId="1" xfId="0" applyNumberFormat="1" applyFill="1" applyBorder="1" applyAlignment="1">
      <alignment horizontal="center"/>
    </xf>
    <xf numFmtId="0" fontId="19" fillId="9" borderId="1" xfId="0" applyFont="1" applyFill="1" applyBorder="1" applyAlignment="1">
      <alignment horizontal="center" wrapText="1"/>
    </xf>
    <xf numFmtId="0" fontId="0" fillId="0" borderId="1" xfId="0" applyFill="1" applyBorder="1" applyAlignment="1">
      <alignment wrapText="1"/>
    </xf>
    <xf numFmtId="166" fontId="37" fillId="16" borderId="1" xfId="3" applyNumberFormat="1" applyFont="1" applyFill="1" applyBorder="1"/>
    <xf numFmtId="0" fontId="0" fillId="0" borderId="1" xfId="0" applyFill="1" applyBorder="1"/>
    <xf numFmtId="169" fontId="37" fillId="16" borderId="1" xfId="3" applyNumberFormat="1" applyFont="1" applyFill="1" applyBorder="1"/>
    <xf numFmtId="0" fontId="0" fillId="0" borderId="1" xfId="0" applyBorder="1"/>
    <xf numFmtId="165" fontId="0" fillId="7" borderId="1" xfId="1" applyNumberFormat="1" applyFont="1" applyFill="1" applyBorder="1"/>
    <xf numFmtId="166" fontId="0" fillId="0" borderId="1" xfId="3" applyNumberFormat="1" applyFont="1" applyBorder="1"/>
    <xf numFmtId="165" fontId="0" fillId="15" borderId="1" xfId="1" applyNumberFormat="1" applyFont="1" applyFill="1" applyBorder="1"/>
    <xf numFmtId="3" fontId="0" fillId="14" borderId="1" xfId="0" applyNumberFormat="1" applyFill="1" applyBorder="1"/>
    <xf numFmtId="165" fontId="0" fillId="0" borderId="1" xfId="0" applyNumberFormat="1" applyBorder="1"/>
    <xf numFmtId="0" fontId="18" fillId="0" borderId="1" xfId="0" applyFont="1" applyBorder="1" applyAlignment="1">
      <alignment vertical="center" wrapText="1"/>
    </xf>
    <xf numFmtId="168" fontId="20" fillId="0" borderId="1" xfId="0" applyNumberFormat="1" applyFont="1" applyBorder="1" applyAlignment="1">
      <alignment horizontal="right"/>
    </xf>
    <xf numFmtId="0" fontId="20" fillId="0" borderId="13" xfId="0" applyFont="1" applyBorder="1" applyAlignment="1">
      <alignment horizontal="left" wrapText="1"/>
    </xf>
    <xf numFmtId="0" fontId="0" fillId="8" borderId="1" xfId="0" applyFont="1" applyFill="1" applyBorder="1" applyAlignment="1">
      <alignment horizontal="left" wrapText="1" indent="6"/>
    </xf>
    <xf numFmtId="0" fontId="0" fillId="8" borderId="1" xfId="0" applyFont="1" applyFill="1" applyBorder="1" applyAlignment="1">
      <alignment horizontal="left"/>
    </xf>
    <xf numFmtId="3" fontId="20" fillId="0" borderId="1" xfId="0" applyNumberFormat="1" applyFont="1" applyBorder="1" applyAlignment="1">
      <alignment horizontal="center" vertical="center"/>
    </xf>
    <xf numFmtId="0" fontId="18" fillId="0" borderId="1" xfId="0" applyFont="1" applyBorder="1" applyAlignment="1">
      <alignment vertical="top" wrapText="1"/>
    </xf>
    <xf numFmtId="164" fontId="21" fillId="10" borderId="0" xfId="0" applyNumberFormat="1" applyFont="1" applyFill="1" applyBorder="1"/>
    <xf numFmtId="164" fontId="0" fillId="0" borderId="0" xfId="0" applyNumberFormat="1"/>
    <xf numFmtId="0" fontId="18" fillId="0" borderId="0" xfId="0" applyFont="1"/>
    <xf numFmtId="0" fontId="21"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1" fillId="6" borderId="1" xfId="0" applyFont="1" applyFill="1" applyBorder="1" applyAlignment="1">
      <alignment horizontal="center" wrapText="1"/>
    </xf>
    <xf numFmtId="3" fontId="20" fillId="0" borderId="1" xfId="0" applyNumberFormat="1" applyFont="1" applyBorder="1"/>
    <xf numFmtId="0" fontId="20" fillId="0" borderId="1" xfId="0" applyFont="1" applyBorder="1"/>
    <xf numFmtId="0" fontId="20" fillId="12" borderId="0" xfId="0" applyFont="1" applyFill="1"/>
    <xf numFmtId="0" fontId="20" fillId="12" borderId="0" xfId="0" applyFont="1" applyFill="1" applyAlignment="1">
      <alignment wrapText="1"/>
    </xf>
    <xf numFmtId="0" fontId="18" fillId="12" borderId="0" xfId="0" applyFont="1" applyFill="1"/>
    <xf numFmtId="164" fontId="20" fillId="0" borderId="1" xfId="0" applyNumberFormat="1" applyFont="1" applyBorder="1"/>
    <xf numFmtId="0" fontId="21" fillId="6" borderId="1" xfId="0" applyFont="1" applyFill="1" applyBorder="1" applyAlignment="1">
      <alignment horizontal="center" vertical="center" wrapText="1"/>
    </xf>
    <xf numFmtId="0" fontId="21" fillId="6" borderId="1" xfId="0" applyFont="1" applyFill="1" applyBorder="1" applyAlignment="1">
      <alignment horizontal="center" vertical="center"/>
    </xf>
    <xf numFmtId="0" fontId="23" fillId="0" borderId="1" xfId="2" applyBorder="1" applyAlignment="1"/>
    <xf numFmtId="164" fontId="21" fillId="10" borderId="1" xfId="0" applyNumberFormat="1" applyFont="1" applyFill="1" applyBorder="1" applyAlignment="1">
      <alignment horizontal="right"/>
    </xf>
    <xf numFmtId="164" fontId="21" fillId="10" borderId="1" xfId="0" applyNumberFormat="1" applyFont="1" applyFill="1" applyBorder="1"/>
    <xf numFmtId="0" fontId="21" fillId="0" borderId="1" xfId="0" applyFont="1" applyBorder="1" applyAlignment="1">
      <alignment horizontal="center"/>
    </xf>
    <xf numFmtId="0" fontId="21" fillId="0" borderId="1" xfId="0" applyFont="1" applyBorder="1" applyAlignment="1">
      <alignment horizontal="center" wrapText="1"/>
    </xf>
    <xf numFmtId="0" fontId="20" fillId="0" borderId="1" xfId="0" applyFont="1" applyBorder="1" applyAlignment="1">
      <alignment horizontal="center"/>
    </xf>
    <xf numFmtId="164" fontId="21" fillId="0" borderId="1" xfId="0" applyNumberFormat="1" applyFont="1" applyBorder="1" applyAlignment="1">
      <alignment horizontal="center"/>
    </xf>
    <xf numFmtId="164" fontId="20" fillId="0" borderId="1" xfId="0" applyNumberFormat="1" applyFont="1" applyBorder="1" applyAlignment="1">
      <alignment horizontal="center"/>
    </xf>
    <xf numFmtId="0" fontId="21" fillId="9" borderId="1" xfId="0" applyFont="1" applyFill="1" applyBorder="1" applyAlignment="1">
      <alignment horizontal="center"/>
    </xf>
    <xf numFmtId="164" fontId="21" fillId="9" borderId="1" xfId="0" applyNumberFormat="1" applyFont="1" applyFill="1" applyBorder="1" applyAlignment="1">
      <alignment horizontal="center"/>
    </xf>
    <xf numFmtId="164" fontId="20" fillId="9" borderId="1" xfId="0" applyNumberFormat="1" applyFont="1" applyFill="1" applyBorder="1" applyAlignment="1">
      <alignment horizontal="center"/>
    </xf>
    <xf numFmtId="0" fontId="21" fillId="9" borderId="1" xfId="0" applyFont="1" applyFill="1" applyBorder="1" applyAlignment="1">
      <alignment horizontal="center" wrapText="1"/>
    </xf>
    <xf numFmtId="0" fontId="18" fillId="0" borderId="0" xfId="0" applyFont="1" applyAlignment="1">
      <alignment vertical="center" wrapText="1"/>
    </xf>
    <xf numFmtId="164" fontId="18" fillId="0" borderId="1" xfId="0" applyNumberFormat="1" applyFont="1" applyBorder="1" applyAlignment="1">
      <alignment vertical="top"/>
    </xf>
    <xf numFmtId="164" fontId="18" fillId="0" borderId="1" xfId="0" applyNumberFormat="1" applyFont="1" applyBorder="1" applyAlignment="1">
      <alignment horizontal="center" vertical="top"/>
    </xf>
    <xf numFmtId="9" fontId="18" fillId="0" borderId="1" xfId="1" applyNumberFormat="1" applyFont="1" applyBorder="1" applyAlignment="1">
      <alignment vertical="top" wrapText="1"/>
    </xf>
    <xf numFmtId="3" fontId="18" fillId="0" borderId="1" xfId="0" applyNumberFormat="1" applyFont="1" applyBorder="1" applyAlignment="1">
      <alignment vertical="top"/>
    </xf>
    <xf numFmtId="6" fontId="18" fillId="0" borderId="1" xfId="0" applyNumberFormat="1" applyFont="1" applyBorder="1" applyAlignment="1">
      <alignment vertical="top" wrapText="1"/>
    </xf>
    <xf numFmtId="6" fontId="18" fillId="0" borderId="1" xfId="0" applyNumberFormat="1" applyFont="1" applyBorder="1" applyAlignment="1">
      <alignment vertical="top"/>
    </xf>
    <xf numFmtId="0" fontId="18" fillId="0" borderId="0" xfId="0" applyFont="1" applyAlignment="1">
      <alignment wrapText="1"/>
    </xf>
    <xf numFmtId="165" fontId="18" fillId="0" borderId="1" xfId="1" applyNumberFormat="1" applyFont="1" applyBorder="1" applyAlignment="1">
      <alignment vertical="top" wrapText="1"/>
    </xf>
    <xf numFmtId="0" fontId="40" fillId="0" borderId="0" xfId="0" applyFont="1"/>
    <xf numFmtId="0" fontId="43" fillId="0" borderId="0" xfId="0" applyFont="1"/>
    <xf numFmtId="164" fontId="21" fillId="22" borderId="1" xfId="0" applyNumberFormat="1" applyFont="1" applyFill="1" applyBorder="1" applyAlignment="1">
      <alignment horizontal="center"/>
    </xf>
    <xf numFmtId="0" fontId="20" fillId="0" borderId="0" xfId="0" applyFont="1" applyAlignment="1">
      <alignment vertical="center" wrapText="1"/>
    </xf>
    <xf numFmtId="0" fontId="20" fillId="0" borderId="0" xfId="0" applyFont="1" applyAlignment="1">
      <alignment vertical="center"/>
    </xf>
    <xf numFmtId="0" fontId="21" fillId="3" borderId="0" xfId="0" applyFont="1" applyFill="1" applyBorder="1" applyAlignment="1">
      <alignment horizontal="center" wrapText="1"/>
    </xf>
    <xf numFmtId="0" fontId="21" fillId="3" borderId="0" xfId="0" applyFont="1" applyFill="1" applyBorder="1" applyAlignment="1">
      <alignment horizontal="left"/>
    </xf>
    <xf numFmtId="3" fontId="20" fillId="10" borderId="0" xfId="0" applyNumberFormat="1" applyFont="1" applyFill="1" applyBorder="1" applyAlignment="1">
      <alignment horizontal="left"/>
    </xf>
    <xf numFmtId="3" fontId="21" fillId="3" borderId="0" xfId="0" applyNumberFormat="1" applyFont="1" applyFill="1" applyBorder="1" applyAlignment="1">
      <alignment horizontal="left"/>
    </xf>
    <xf numFmtId="164" fontId="20" fillId="3" borderId="0" xfId="0" applyNumberFormat="1" applyFont="1" applyFill="1" applyBorder="1" applyAlignment="1">
      <alignment horizontal="center"/>
    </xf>
    <xf numFmtId="9" fontId="20" fillId="3" borderId="0" xfId="0" applyNumberFormat="1" applyFont="1" applyFill="1"/>
    <xf numFmtId="0" fontId="21" fillId="11" borderId="0" xfId="0" quotePrefix="1" applyFont="1" applyFill="1" applyBorder="1" applyAlignment="1">
      <alignment horizontal="center" wrapText="1"/>
    </xf>
    <xf numFmtId="0" fontId="22" fillId="5" borderId="1" xfId="6" applyFill="1" applyBorder="1" applyAlignment="1">
      <alignment horizontal="center"/>
    </xf>
    <xf numFmtId="0" fontId="22" fillId="0" borderId="1" xfId="6" applyBorder="1" applyAlignment="1">
      <alignment horizontal="center"/>
    </xf>
    <xf numFmtId="0" fontId="22" fillId="0" borderId="1" xfId="6" applyBorder="1"/>
    <xf numFmtId="9" fontId="22" fillId="0" borderId="1" xfId="10" applyFont="1" applyBorder="1" applyAlignment="1">
      <alignment horizontal="center"/>
    </xf>
    <xf numFmtId="0" fontId="22" fillId="0" borderId="1" xfId="6" applyBorder="1" applyAlignment="1">
      <alignment wrapText="1"/>
    </xf>
    <xf numFmtId="0" fontId="22" fillId="0" borderId="1" xfId="6" applyBorder="1" applyAlignment="1">
      <alignment horizontal="right"/>
    </xf>
    <xf numFmtId="167" fontId="22" fillId="0" borderId="1" xfId="6" applyNumberFormat="1" applyBorder="1" applyAlignment="1">
      <alignment horizontal="center"/>
    </xf>
    <xf numFmtId="0" fontId="19" fillId="0" borderId="1" xfId="0" applyFont="1" applyBorder="1" applyAlignment="1">
      <alignment horizontal="center" vertical="top"/>
    </xf>
    <xf numFmtId="0" fontId="19" fillId="0" borderId="1" xfId="0" applyFont="1" applyBorder="1" applyAlignment="1">
      <alignment horizontal="center" vertical="center"/>
    </xf>
    <xf numFmtId="164" fontId="20" fillId="22" borderId="1" xfId="0" applyNumberFormat="1" applyFont="1" applyFill="1" applyBorder="1" applyAlignment="1">
      <alignment horizontal="center"/>
    </xf>
    <xf numFmtId="164" fontId="21" fillId="0" borderId="0" xfId="0" applyNumberFormat="1" applyFont="1"/>
    <xf numFmtId="0" fontId="21" fillId="22" borderId="1" xfId="0" applyFont="1" applyFill="1" applyBorder="1" applyAlignment="1">
      <alignment horizontal="center"/>
    </xf>
    <xf numFmtId="0" fontId="21" fillId="22" borderId="1" xfId="0" applyFont="1" applyFill="1" applyBorder="1" applyAlignment="1">
      <alignment horizontal="center" wrapText="1"/>
    </xf>
    <xf numFmtId="0" fontId="20" fillId="22" borderId="1" xfId="0" applyFont="1" applyFill="1" applyBorder="1" applyAlignment="1">
      <alignment horizontal="center"/>
    </xf>
    <xf numFmtId="0" fontId="20" fillId="22" borderId="0" xfId="0" applyFont="1" applyFill="1"/>
    <xf numFmtId="164" fontId="21" fillId="18" borderId="1" xfId="0" applyNumberFormat="1" applyFont="1" applyFill="1" applyBorder="1" applyAlignment="1">
      <alignment horizontal="center"/>
    </xf>
    <xf numFmtId="164" fontId="20" fillId="18" borderId="1" xfId="0" applyNumberFormat="1" applyFont="1" applyFill="1" applyBorder="1" applyAlignment="1">
      <alignment horizontal="center"/>
    </xf>
    <xf numFmtId="0" fontId="21" fillId="18" borderId="16" xfId="0" applyFont="1" applyFill="1" applyBorder="1" applyAlignment="1">
      <alignment horizontal="center"/>
    </xf>
    <xf numFmtId="0" fontId="21" fillId="18" borderId="17" xfId="0" applyFont="1" applyFill="1" applyBorder="1" applyAlignment="1">
      <alignment horizontal="center"/>
    </xf>
    <xf numFmtId="0" fontId="21" fillId="18" borderId="2" xfId="0" applyFont="1" applyFill="1" applyBorder="1" applyAlignment="1">
      <alignment horizontal="center"/>
    </xf>
    <xf numFmtId="0" fontId="21" fillId="18" borderId="15" xfId="0" applyFont="1" applyFill="1" applyBorder="1" applyAlignment="1">
      <alignment horizontal="center"/>
    </xf>
    <xf numFmtId="0" fontId="19" fillId="18" borderId="18" xfId="0" applyFont="1" applyFill="1" applyBorder="1"/>
    <xf numFmtId="164" fontId="21" fillId="18" borderId="15" xfId="0" applyNumberFormat="1" applyFont="1" applyFill="1" applyBorder="1" applyAlignment="1">
      <alignment horizontal="center"/>
    </xf>
    <xf numFmtId="164" fontId="0" fillId="18" borderId="13" xfId="0" applyNumberFormat="1" applyFill="1" applyBorder="1"/>
    <xf numFmtId="171" fontId="21" fillId="18" borderId="18" xfId="0" applyNumberFormat="1" applyFont="1" applyFill="1" applyBorder="1" applyAlignment="1">
      <alignment horizontal="center"/>
    </xf>
    <xf numFmtId="0" fontId="0" fillId="18" borderId="16" xfId="0" applyFill="1" applyBorder="1"/>
    <xf numFmtId="0" fontId="20" fillId="0" borderId="19" xfId="0" applyFont="1" applyBorder="1" applyAlignment="1">
      <alignment vertical="top" wrapText="1"/>
    </xf>
    <xf numFmtId="164" fontId="20" fillId="0" borderId="17" xfId="0" applyNumberFormat="1" applyFont="1" applyBorder="1" applyAlignment="1">
      <alignment horizontal="center" vertical="top"/>
    </xf>
    <xf numFmtId="0" fontId="16" fillId="0" borderId="1" xfId="0" applyFont="1" applyBorder="1" applyAlignment="1">
      <alignment vertical="center" wrapText="1"/>
    </xf>
    <xf numFmtId="3" fontId="35" fillId="0" borderId="1" xfId="0" applyNumberFormat="1" applyFont="1" applyFill="1" applyBorder="1" applyAlignment="1">
      <alignment horizontal="center"/>
    </xf>
    <xf numFmtId="3" fontId="0" fillId="0" borderId="1" xfId="0" applyNumberFormat="1" applyFill="1" applyBorder="1" applyAlignment="1">
      <alignment horizontal="center"/>
    </xf>
    <xf numFmtId="3" fontId="44" fillId="0" borderId="1" xfId="0" applyNumberFormat="1" applyFont="1" applyFill="1" applyBorder="1" applyAlignment="1">
      <alignment horizontal="center"/>
    </xf>
    <xf numFmtId="3" fontId="19" fillId="0" borderId="1" xfId="0" applyNumberFormat="1" applyFont="1" applyFill="1" applyBorder="1" applyAlignment="1">
      <alignment horizontal="center"/>
    </xf>
    <xf numFmtId="0" fontId="30" fillId="0" borderId="1" xfId="0" applyFont="1" applyBorder="1" applyAlignment="1">
      <alignment horizontal="left" vertical="center"/>
    </xf>
    <xf numFmtId="0" fontId="15" fillId="0" borderId="1" xfId="0" applyFont="1" applyBorder="1" applyAlignment="1">
      <alignment vertical="top" wrapText="1"/>
    </xf>
    <xf numFmtId="0" fontId="30" fillId="0" borderId="1" xfId="0" applyFont="1" applyBorder="1" applyAlignment="1">
      <alignment horizontal="left" vertical="top" wrapText="1"/>
    </xf>
    <xf numFmtId="9" fontId="0" fillId="10" borderId="1" xfId="3" applyFont="1" applyFill="1" applyBorder="1" applyAlignment="1">
      <alignment horizontal="center"/>
    </xf>
    <xf numFmtId="0" fontId="20" fillId="0" borderId="1" xfId="0" applyFont="1" applyBorder="1" applyAlignment="1">
      <alignment horizontal="center" vertical="center" wrapText="1"/>
    </xf>
    <xf numFmtId="9" fontId="20" fillId="10" borderId="1" xfId="3" applyFont="1" applyFill="1" applyBorder="1" applyAlignment="1">
      <alignment horizontal="center" vertical="center" wrapText="1"/>
    </xf>
    <xf numFmtId="0" fontId="0" fillId="0" borderId="0" xfId="0" applyAlignment="1">
      <alignment horizontal="center" vertical="center"/>
    </xf>
    <xf numFmtId="164" fontId="20" fillId="10" borderId="1" xfId="4" applyNumberFormat="1" applyFont="1" applyFill="1" applyBorder="1" applyAlignment="1">
      <alignment horizontal="center" vertical="center" wrapText="1"/>
    </xf>
    <xf numFmtId="164" fontId="21" fillId="10" borderId="1" xfId="4" applyNumberFormat="1" applyFont="1" applyFill="1" applyBorder="1" applyAlignment="1">
      <alignment horizontal="center" vertical="center" wrapText="1"/>
    </xf>
    <xf numFmtId="0" fontId="21" fillId="10" borderId="1" xfId="0" applyFont="1" applyFill="1" applyBorder="1" applyAlignment="1">
      <alignment vertical="center" wrapText="1"/>
    </xf>
    <xf numFmtId="0" fontId="14" fillId="0" borderId="20" xfId="0" applyFont="1" applyBorder="1" applyAlignment="1">
      <alignment vertical="top" wrapText="1"/>
    </xf>
    <xf numFmtId="0" fontId="14" fillId="0" borderId="1" xfId="0" applyFont="1" applyBorder="1" applyAlignment="1">
      <alignment vertical="top" wrapText="1"/>
    </xf>
    <xf numFmtId="166" fontId="20" fillId="0" borderId="1" xfId="3" applyNumberFormat="1" applyFont="1" applyBorder="1" applyAlignment="1">
      <alignment horizontal="center" vertical="top"/>
    </xf>
    <xf numFmtId="165" fontId="20" fillId="0" borderId="1" xfId="1" applyNumberFormat="1" applyFont="1" applyBorder="1" applyAlignment="1">
      <alignment horizontal="center" vertical="center" wrapText="1"/>
    </xf>
    <xf numFmtId="167" fontId="21" fillId="10" borderId="1" xfId="0" applyNumberFormat="1" applyFont="1" applyFill="1" applyBorder="1" applyAlignment="1">
      <alignment vertical="center" wrapText="1"/>
    </xf>
    <xf numFmtId="0" fontId="26" fillId="6" borderId="21" xfId="0" applyFont="1" applyFill="1" applyBorder="1" applyAlignment="1">
      <alignment horizontal="center" vertical="top" wrapText="1"/>
    </xf>
    <xf numFmtId="0" fontId="26" fillId="6" borderId="22" xfId="0" applyFont="1" applyFill="1" applyBorder="1" applyAlignment="1">
      <alignment horizontal="center" vertical="top" wrapText="1"/>
    </xf>
    <xf numFmtId="0" fontId="26" fillId="6" borderId="23" xfId="0" applyFont="1" applyFill="1" applyBorder="1" applyAlignment="1">
      <alignment horizontal="center" vertical="top" wrapText="1"/>
    </xf>
    <xf numFmtId="0" fontId="14" fillId="0" borderId="24" xfId="0" applyFont="1" applyBorder="1" applyAlignment="1">
      <alignment vertical="top" wrapText="1"/>
    </xf>
    <xf numFmtId="0" fontId="0" fillId="0" borderId="14" xfId="0" applyBorder="1"/>
    <xf numFmtId="0" fontId="21" fillId="0" borderId="25" xfId="0" applyFont="1" applyBorder="1" applyAlignment="1">
      <alignment wrapText="1"/>
    </xf>
    <xf numFmtId="164" fontId="19" fillId="10" borderId="1" xfId="0" applyNumberFormat="1" applyFont="1" applyFill="1" applyBorder="1"/>
    <xf numFmtId="164" fontId="20" fillId="0" borderId="0" xfId="0" applyNumberFormat="1" applyFont="1" applyFill="1" applyBorder="1" applyAlignment="1">
      <alignment horizontal="center"/>
    </xf>
    <xf numFmtId="9" fontId="20" fillId="0" borderId="0" xfId="0" applyNumberFormat="1" applyFont="1" applyFill="1"/>
    <xf numFmtId="9" fontId="20" fillId="0" borderId="1" xfId="0" applyNumberFormat="1" applyFont="1" applyFill="1" applyBorder="1" applyAlignment="1">
      <alignment horizontal="right"/>
    </xf>
    <xf numFmtId="0" fontId="15" fillId="0" borderId="1" xfId="0" applyFont="1" applyFill="1" applyBorder="1" applyAlignment="1">
      <alignment vertical="top" wrapText="1"/>
    </xf>
    <xf numFmtId="0" fontId="16" fillId="0" borderId="1" xfId="0" applyFont="1" applyFill="1" applyBorder="1" applyAlignment="1">
      <alignment vertical="top" wrapText="1"/>
    </xf>
    <xf numFmtId="0" fontId="15" fillId="0" borderId="13" xfId="0" applyFont="1" applyFill="1" applyBorder="1" applyAlignment="1">
      <alignment horizontal="left" wrapText="1"/>
    </xf>
    <xf numFmtId="164" fontId="20" fillId="0" borderId="1" xfId="4" applyNumberFormat="1" applyFont="1" applyFill="1" applyBorder="1" applyAlignment="1">
      <alignment horizontal="center" vertical="center"/>
    </xf>
    <xf numFmtId="3" fontId="20" fillId="0" borderId="1" xfId="0" applyNumberFormat="1" applyFont="1" applyFill="1" applyBorder="1" applyAlignment="1">
      <alignment horizontal="center" vertical="center"/>
    </xf>
    <xf numFmtId="9" fontId="20" fillId="0" borderId="1" xfId="3" applyFont="1" applyFill="1" applyBorder="1" applyAlignment="1">
      <alignment horizontal="center" vertical="center"/>
    </xf>
    <xf numFmtId="164" fontId="20" fillId="0" borderId="1" xfId="0" applyNumberFormat="1" applyFont="1" applyFill="1" applyBorder="1" applyAlignment="1">
      <alignment horizontal="center" vertical="center"/>
    </xf>
    <xf numFmtId="164" fontId="15" fillId="0" borderId="1" xfId="4" applyNumberFormat="1" applyFont="1" applyFill="1" applyBorder="1" applyAlignment="1">
      <alignment horizontal="center" vertical="center"/>
    </xf>
    <xf numFmtId="168" fontId="21" fillId="12" borderId="0" xfId="0" applyNumberFormat="1" applyFont="1" applyFill="1" applyBorder="1" applyAlignment="1">
      <alignment horizontal="center" vertical="center"/>
    </xf>
    <xf numFmtId="164" fontId="20" fillId="12" borderId="0" xfId="4" applyNumberFormat="1" applyFont="1" applyFill="1" applyBorder="1" applyAlignment="1">
      <alignment horizontal="center" vertical="center"/>
    </xf>
    <xf numFmtId="169" fontId="37" fillId="16" borderId="0" xfId="3" applyNumberFormat="1" applyFont="1" applyFill="1" applyBorder="1"/>
    <xf numFmtId="0" fontId="0" fillId="0" borderId="0" xfId="0" applyFill="1" applyBorder="1" applyAlignment="1">
      <alignment wrapText="1"/>
    </xf>
    <xf numFmtId="9" fontId="37" fillId="16" borderId="0" xfId="3" applyFont="1" applyFill="1" applyBorder="1"/>
    <xf numFmtId="0" fontId="45" fillId="0" borderId="0" xfId="0" applyFont="1" applyFill="1" applyAlignment="1">
      <alignment wrapText="1"/>
    </xf>
    <xf numFmtId="0" fontId="11" fillId="0" borderId="1" xfId="0" applyFont="1" applyBorder="1" applyAlignment="1">
      <alignment vertical="top" wrapText="1"/>
    </xf>
    <xf numFmtId="9" fontId="0" fillId="24" borderId="0" xfId="0" applyNumberFormat="1" applyFill="1" applyAlignment="1">
      <alignment wrapText="1"/>
    </xf>
    <xf numFmtId="0" fontId="12" fillId="0" borderId="1" xfId="0" applyFont="1" applyBorder="1" applyAlignment="1">
      <alignment vertical="top" wrapText="1"/>
    </xf>
    <xf numFmtId="3" fontId="44" fillId="10" borderId="1" xfId="0" applyNumberFormat="1" applyFont="1" applyFill="1" applyBorder="1" applyAlignment="1">
      <alignment horizontal="center"/>
    </xf>
    <xf numFmtId="0" fontId="12" fillId="0" borderId="1" xfId="0" applyFont="1" applyBorder="1" applyAlignment="1">
      <alignment vertical="center" wrapText="1"/>
    </xf>
    <xf numFmtId="9" fontId="20" fillId="10" borderId="0" xfId="0" applyNumberFormat="1" applyFont="1" applyFill="1"/>
    <xf numFmtId="1" fontId="20" fillId="0" borderId="1" xfId="0" applyNumberFormat="1" applyFont="1" applyFill="1" applyBorder="1" applyAlignment="1">
      <alignment horizontal="center" vertical="center"/>
    </xf>
    <xf numFmtId="0" fontId="12" fillId="0" borderId="0" xfId="0" applyFont="1" applyFill="1" applyAlignment="1">
      <alignment wrapText="1"/>
    </xf>
    <xf numFmtId="0" fontId="21" fillId="2" borderId="16" xfId="0" applyFont="1" applyFill="1" applyBorder="1" applyAlignment="1">
      <alignment horizontal="center"/>
    </xf>
    <xf numFmtId="164" fontId="20" fillId="2" borderId="1" xfId="0" applyNumberFormat="1" applyFont="1" applyFill="1" applyBorder="1" applyAlignment="1">
      <alignment horizontal="center"/>
    </xf>
    <xf numFmtId="0" fontId="21" fillId="2" borderId="15" xfId="0" applyFont="1" applyFill="1" applyBorder="1" applyAlignment="1">
      <alignment horizontal="center"/>
    </xf>
    <xf numFmtId="0" fontId="21" fillId="8" borderId="16" xfId="0" applyFont="1" applyFill="1" applyBorder="1" applyAlignment="1">
      <alignment horizontal="center"/>
    </xf>
    <xf numFmtId="164" fontId="21" fillId="8" borderId="1" xfId="0" applyNumberFormat="1" applyFont="1" applyFill="1" applyBorder="1" applyAlignment="1">
      <alignment horizontal="center"/>
    </xf>
    <xf numFmtId="164" fontId="20" fillId="8" borderId="1" xfId="0" applyNumberFormat="1" applyFont="1" applyFill="1" applyBorder="1" applyAlignment="1">
      <alignment horizontal="center"/>
    </xf>
    <xf numFmtId="171" fontId="21" fillId="22" borderId="15" xfId="0" applyNumberFormat="1" applyFont="1" applyFill="1" applyBorder="1" applyAlignment="1">
      <alignment horizontal="center"/>
    </xf>
    <xf numFmtId="0" fontId="23" fillId="0" borderId="0" xfId="2"/>
    <xf numFmtId="0" fontId="10" fillId="0" borderId="0" xfId="0" applyFont="1" applyAlignment="1">
      <alignment vertical="center"/>
    </xf>
    <xf numFmtId="3" fontId="20" fillId="0" borderId="0" xfId="0" applyNumberFormat="1" applyFont="1"/>
    <xf numFmtId="3" fontId="12" fillId="0" borderId="0" xfId="0" applyNumberFormat="1" applyFont="1" applyFill="1" applyBorder="1" applyAlignment="1">
      <alignment horizontal="center"/>
    </xf>
    <xf numFmtId="0" fontId="0" fillId="0" borderId="0" xfId="0" quotePrefix="1"/>
    <xf numFmtId="9" fontId="0" fillId="0" borderId="0" xfId="0" applyNumberFormat="1"/>
    <xf numFmtId="9" fontId="22" fillId="0" borderId="1" xfId="6" applyNumberFormat="1" applyBorder="1" applyAlignment="1">
      <alignment horizontal="center"/>
    </xf>
    <xf numFmtId="164" fontId="21" fillId="10" borderId="0" xfId="0" applyNumberFormat="1" applyFont="1" applyFill="1" applyBorder="1" applyAlignment="1">
      <alignment horizontal="right"/>
    </xf>
    <xf numFmtId="5" fontId="22" fillId="0" borderId="1" xfId="6" applyNumberFormat="1" applyBorder="1" applyAlignment="1">
      <alignment horizontal="center"/>
    </xf>
    <xf numFmtId="0" fontId="0" fillId="0" borderId="1" xfId="0" quotePrefix="1" applyBorder="1" applyAlignment="1">
      <alignment horizontal="center"/>
    </xf>
    <xf numFmtId="9" fontId="0" fillId="0" borderId="1" xfId="0" quotePrefix="1" applyNumberFormat="1" applyBorder="1" applyAlignment="1">
      <alignment horizontal="center"/>
    </xf>
    <xf numFmtId="0" fontId="10" fillId="0" borderId="1" xfId="0" applyFont="1" applyBorder="1" applyAlignment="1">
      <alignment vertical="top" wrapText="1"/>
    </xf>
    <xf numFmtId="3" fontId="10" fillId="0" borderId="1" xfId="0" applyNumberFormat="1" applyFont="1" applyBorder="1" applyAlignment="1">
      <alignment vertical="top" wrapText="1"/>
    </xf>
    <xf numFmtId="164" fontId="10" fillId="0" borderId="1" xfId="0" applyNumberFormat="1" applyFont="1" applyBorder="1" applyAlignment="1">
      <alignment horizontal="center" vertical="top"/>
    </xf>
    <xf numFmtId="9" fontId="10" fillId="0" borderId="1" xfId="0" applyNumberFormat="1" applyFont="1" applyBorder="1" applyAlignment="1">
      <alignment vertical="top"/>
    </xf>
    <xf numFmtId="9" fontId="10" fillId="0" borderId="1" xfId="0" applyNumberFormat="1" applyFont="1" applyBorder="1" applyAlignment="1">
      <alignment horizontal="center" vertical="top"/>
    </xf>
    <xf numFmtId="0" fontId="10" fillId="10" borderId="1" xfId="0" applyFont="1" applyFill="1" applyBorder="1" applyAlignment="1">
      <alignment vertical="top" wrapText="1"/>
    </xf>
    <xf numFmtId="3" fontId="10" fillId="10" borderId="1" xfId="0" applyNumberFormat="1" applyFont="1" applyFill="1" applyBorder="1" applyAlignment="1">
      <alignment vertical="top" wrapText="1"/>
    </xf>
    <xf numFmtId="0" fontId="0" fillId="10" borderId="1" xfId="0" applyFill="1" applyBorder="1" applyAlignment="1">
      <alignment horizontal="center" vertical="top"/>
    </xf>
    <xf numFmtId="9" fontId="10" fillId="10" borderId="1" xfId="0" applyNumberFormat="1" applyFont="1" applyFill="1" applyBorder="1"/>
    <xf numFmtId="0" fontId="0" fillId="10" borderId="1" xfId="0" applyFill="1" applyBorder="1" applyAlignment="1">
      <alignment horizontal="center"/>
    </xf>
    <xf numFmtId="3" fontId="10" fillId="0" borderId="1" xfId="0" applyNumberFormat="1" applyFont="1" applyBorder="1" applyAlignment="1">
      <alignment vertical="top"/>
    </xf>
    <xf numFmtId="6" fontId="10" fillId="0" borderId="1" xfId="0" applyNumberFormat="1" applyFont="1" applyBorder="1" applyAlignment="1">
      <alignment vertical="top" wrapText="1"/>
    </xf>
    <xf numFmtId="0" fontId="10" fillId="0" borderId="1" xfId="0" applyFont="1" applyBorder="1" applyAlignment="1">
      <alignment vertical="top"/>
    </xf>
    <xf numFmtId="9" fontId="10" fillId="0" borderId="1" xfId="3" applyFont="1" applyBorder="1" applyAlignment="1">
      <alignment vertical="top"/>
    </xf>
    <xf numFmtId="9" fontId="10" fillId="0" borderId="0" xfId="0" applyNumberFormat="1" applyFont="1" applyAlignment="1">
      <alignment vertical="top"/>
    </xf>
    <xf numFmtId="6" fontId="40" fillId="0" borderId="0" xfId="0" applyNumberFormat="1" applyFont="1" applyAlignment="1">
      <alignment vertical="top"/>
    </xf>
    <xf numFmtId="0" fontId="41" fillId="0" borderId="0" xfId="0" applyFont="1" applyBorder="1" applyAlignment="1">
      <alignment horizontal="center" vertical="center"/>
    </xf>
    <xf numFmtId="164" fontId="10" fillId="10" borderId="1" xfId="0" applyNumberFormat="1" applyFont="1" applyFill="1" applyBorder="1" applyAlignment="1">
      <alignment vertical="top"/>
    </xf>
    <xf numFmtId="0" fontId="18" fillId="0" borderId="7" xfId="0" applyFont="1" applyBorder="1"/>
    <xf numFmtId="0" fontId="18" fillId="0" borderId="0" xfId="0" applyFont="1" applyBorder="1"/>
    <xf numFmtId="0" fontId="10" fillId="0" borderId="0" xfId="0" applyFont="1" applyBorder="1"/>
    <xf numFmtId="0" fontId="10" fillId="0" borderId="0" xfId="0" applyFont="1" applyBorder="1" applyAlignment="1">
      <alignment wrapText="1"/>
    </xf>
    <xf numFmtId="0" fontId="10" fillId="0" borderId="0" xfId="0" applyFont="1" applyBorder="1" applyAlignment="1">
      <alignment vertical="top" wrapText="1"/>
    </xf>
    <xf numFmtId="6" fontId="10" fillId="0" borderId="7" xfId="0" applyNumberFormat="1" applyFont="1" applyBorder="1" applyAlignment="1">
      <alignment vertical="top"/>
    </xf>
    <xf numFmtId="6" fontId="0" fillId="0" borderId="0" xfId="0" applyNumberFormat="1" applyAlignment="1">
      <alignment vertical="top"/>
    </xf>
    <xf numFmtId="9" fontId="21" fillId="0" borderId="0" xfId="0" applyNumberFormat="1" applyFont="1"/>
    <xf numFmtId="0" fontId="12" fillId="0" borderId="1" xfId="0" applyFont="1" applyFill="1" applyBorder="1" applyAlignment="1">
      <alignment vertical="top" wrapText="1"/>
    </xf>
    <xf numFmtId="0" fontId="23" fillId="0" borderId="0" xfId="2" applyAlignment="1"/>
    <xf numFmtId="0" fontId="12" fillId="0" borderId="0" xfId="0" applyFont="1"/>
    <xf numFmtId="0" fontId="12" fillId="0" borderId="1" xfId="0" applyFont="1" applyBorder="1" applyAlignment="1">
      <alignment wrapText="1"/>
    </xf>
    <xf numFmtId="0" fontId="47" fillId="0" borderId="1" xfId="2" applyFont="1" applyBorder="1" applyAlignment="1">
      <alignment wrapText="1"/>
    </xf>
    <xf numFmtId="0" fontId="20" fillId="0" borderId="0" xfId="0" applyFont="1" applyAlignment="1">
      <alignment vertical="top" wrapText="1"/>
    </xf>
    <xf numFmtId="0" fontId="20" fillId="6" borderId="1" xfId="0" applyFont="1" applyFill="1" applyBorder="1" applyAlignment="1">
      <alignment horizontal="center" vertical="top" wrapText="1"/>
    </xf>
    <xf numFmtId="3" fontId="20" fillId="0" borderId="1" xfId="0" applyNumberFormat="1" applyFont="1" applyBorder="1" applyAlignment="1">
      <alignment vertical="top"/>
    </xf>
    <xf numFmtId="9" fontId="20" fillId="0" borderId="1" xfId="0" applyNumberFormat="1" applyFont="1" applyBorder="1" applyAlignment="1">
      <alignment vertical="top"/>
    </xf>
    <xf numFmtId="169" fontId="20" fillId="0" borderId="1" xfId="0" applyNumberFormat="1" applyFont="1" applyBorder="1" applyAlignment="1">
      <alignment vertical="top"/>
    </xf>
    <xf numFmtId="164" fontId="20" fillId="0" borderId="1" xfId="0" applyNumberFormat="1" applyFont="1" applyBorder="1" applyAlignment="1">
      <alignment vertical="top" wrapText="1"/>
    </xf>
    <xf numFmtId="0" fontId="18" fillId="0" borderId="0" xfId="0" applyFont="1" applyAlignment="1">
      <alignment vertical="top"/>
    </xf>
    <xf numFmtId="0" fontId="21" fillId="0" borderId="0" xfId="0" applyFont="1" applyAlignment="1">
      <alignment vertical="center"/>
    </xf>
    <xf numFmtId="164" fontId="20" fillId="0" borderId="1" xfId="0" applyNumberFormat="1" applyFont="1" applyFill="1" applyBorder="1"/>
    <xf numFmtId="9" fontId="22" fillId="0" borderId="1" xfId="10" applyFont="1" applyBorder="1" applyAlignment="1">
      <alignment horizontal="center" vertical="center"/>
    </xf>
    <xf numFmtId="164" fontId="0" fillId="0" borderId="0" xfId="0" applyNumberFormat="1" applyAlignment="1">
      <alignment horizontal="center"/>
    </xf>
    <xf numFmtId="0" fontId="0" fillId="3" borderId="1" xfId="0" applyFont="1" applyFill="1" applyBorder="1" applyAlignment="1">
      <alignment horizontal="left" wrapText="1" indent="6"/>
    </xf>
    <xf numFmtId="0" fontId="0" fillId="0" borderId="1" xfId="0" applyFont="1" applyFill="1" applyBorder="1" applyAlignment="1">
      <alignment horizontal="left" vertical="top" wrapText="1" indent="3"/>
    </xf>
    <xf numFmtId="3" fontId="12" fillId="0" borderId="1" xfId="0" applyNumberFormat="1" applyFont="1" applyFill="1" applyBorder="1" applyAlignment="1">
      <alignment horizontal="center" vertical="center" wrapText="1"/>
    </xf>
    <xf numFmtId="3" fontId="12" fillId="10" borderId="1" xfId="0" applyNumberFormat="1" applyFont="1" applyFill="1" applyBorder="1" applyAlignment="1">
      <alignment horizontal="center" vertical="center" wrapText="1"/>
    </xf>
    <xf numFmtId="164" fontId="21" fillId="10" borderId="15" xfId="0" applyNumberFormat="1" applyFont="1" applyFill="1" applyBorder="1"/>
    <xf numFmtId="164" fontId="21" fillId="10" borderId="15" xfId="0" applyNumberFormat="1" applyFont="1" applyFill="1" applyBorder="1" applyAlignment="1">
      <alignment horizontal="right"/>
    </xf>
    <xf numFmtId="6" fontId="18" fillId="0" borderId="1" xfId="0" applyNumberFormat="1" applyFont="1" applyBorder="1" applyAlignment="1">
      <alignment horizontal="right" vertical="center" wrapText="1"/>
    </xf>
    <xf numFmtId="0" fontId="11" fillId="0" borderId="1" xfId="0" applyFont="1" applyBorder="1" applyAlignment="1">
      <alignment vertical="center" wrapText="1"/>
    </xf>
    <xf numFmtId="9" fontId="20" fillId="0" borderId="1" xfId="0" applyNumberFormat="1" applyFont="1" applyBorder="1"/>
    <xf numFmtId="0" fontId="18" fillId="0" borderId="1" xfId="0" applyFont="1" applyFill="1" applyBorder="1" applyAlignment="1">
      <alignment vertical="center" wrapText="1"/>
    </xf>
    <xf numFmtId="6" fontId="18" fillId="0" borderId="1" xfId="0" applyNumberFormat="1" applyFont="1" applyFill="1" applyBorder="1" applyAlignment="1">
      <alignment horizontal="right" vertical="center" wrapText="1"/>
    </xf>
    <xf numFmtId="0" fontId="13" fillId="0" borderId="1" xfId="0" applyFont="1" applyBorder="1" applyAlignment="1">
      <alignment vertical="center" wrapText="1"/>
    </xf>
    <xf numFmtId="167" fontId="40" fillId="0" borderId="25" xfId="0" applyNumberFormat="1" applyFont="1" applyBorder="1"/>
    <xf numFmtId="0" fontId="12" fillId="0" borderId="0" xfId="0" applyFont="1" applyAlignment="1">
      <alignment wrapText="1"/>
    </xf>
    <xf numFmtId="10" fontId="48" fillId="5" borderId="26" xfId="0" applyNumberFormat="1" applyFont="1" applyFill="1" applyBorder="1"/>
    <xf numFmtId="0" fontId="40" fillId="11" borderId="0" xfId="0" applyFont="1" applyFill="1"/>
    <xf numFmtId="164" fontId="12" fillId="0" borderId="0" xfId="0" applyNumberFormat="1" applyFont="1"/>
    <xf numFmtId="0" fontId="21" fillId="0" borderId="0" xfId="0" applyFont="1" applyAlignment="1">
      <alignment wrapText="1"/>
    </xf>
    <xf numFmtId="0" fontId="43" fillId="7" borderId="0" xfId="0" applyFont="1" applyFill="1"/>
    <xf numFmtId="0" fontId="12" fillId="25" borderId="0" xfId="0" applyFont="1" applyFill="1" applyAlignment="1">
      <alignment wrapText="1"/>
    </xf>
    <xf numFmtId="164" fontId="20" fillId="25" borderId="0" xfId="0" applyNumberFormat="1" applyFont="1" applyFill="1"/>
    <xf numFmtId="0" fontId="0" fillId="25" borderId="0" xfId="0" applyFill="1"/>
    <xf numFmtId="0" fontId="12" fillId="6" borderId="0" xfId="0" applyFont="1" applyFill="1" applyAlignment="1">
      <alignment wrapText="1"/>
    </xf>
    <xf numFmtId="164" fontId="12" fillId="6" borderId="0" xfId="0" applyNumberFormat="1" applyFont="1" applyFill="1"/>
    <xf numFmtId="0" fontId="0" fillId="0" borderId="29" xfId="0" applyBorder="1"/>
    <xf numFmtId="164" fontId="21" fillId="0" borderId="30" xfId="0" applyNumberFormat="1" applyFont="1" applyBorder="1"/>
    <xf numFmtId="0" fontId="12" fillId="10" borderId="0" xfId="0" applyFont="1" applyFill="1"/>
    <xf numFmtId="0" fontId="21" fillId="0" borderId="28" xfId="0" applyFont="1" applyBorder="1" applyAlignment="1">
      <alignment wrapText="1"/>
    </xf>
    <xf numFmtId="0" fontId="21" fillId="0" borderId="29" xfId="0" applyFont="1" applyBorder="1" applyAlignment="1">
      <alignment wrapText="1"/>
    </xf>
    <xf numFmtId="0" fontId="9" fillId="0" borderId="1" xfId="0" applyFont="1" applyBorder="1" applyAlignment="1">
      <alignment vertical="top" wrapText="1"/>
    </xf>
    <xf numFmtId="164" fontId="10" fillId="10" borderId="1" xfId="0" applyNumberFormat="1" applyFont="1" applyFill="1" applyBorder="1" applyAlignment="1">
      <alignment horizontal="right" vertical="top"/>
    </xf>
    <xf numFmtId="0" fontId="40" fillId="5" borderId="28" xfId="0" applyFont="1" applyFill="1" applyBorder="1"/>
    <xf numFmtId="0" fontId="40" fillId="5" borderId="29" xfId="0" applyFont="1" applyFill="1" applyBorder="1"/>
    <xf numFmtId="164" fontId="40" fillId="5" borderId="30" xfId="0" applyNumberFormat="1" applyFont="1" applyFill="1" applyBorder="1"/>
    <xf numFmtId="164" fontId="21" fillId="5" borderId="30" xfId="0" applyNumberFormat="1" applyFont="1" applyFill="1" applyBorder="1"/>
    <xf numFmtId="0" fontId="50" fillId="7" borderId="0" xfId="0" applyFont="1" applyFill="1" applyAlignment="1">
      <alignment wrapText="1"/>
    </xf>
    <xf numFmtId="0" fontId="40" fillId="7" borderId="0" xfId="0" applyFont="1" applyFill="1" applyAlignment="1">
      <alignment horizontal="center"/>
    </xf>
    <xf numFmtId="0" fontId="21" fillId="0" borderId="0" xfId="0" applyFont="1" applyBorder="1" applyAlignment="1">
      <alignment wrapText="1"/>
    </xf>
    <xf numFmtId="3" fontId="36" fillId="10" borderId="1" xfId="0" applyNumberFormat="1" applyFont="1" applyFill="1" applyBorder="1" applyAlignment="1">
      <alignment horizontal="center"/>
    </xf>
    <xf numFmtId="0" fontId="51" fillId="0" borderId="29" xfId="0" applyFont="1" applyBorder="1"/>
    <xf numFmtId="0" fontId="51" fillId="0" borderId="30" xfId="0" applyFont="1" applyBorder="1"/>
    <xf numFmtId="0" fontId="52" fillId="0" borderId="28" xfId="0" applyFont="1" applyBorder="1"/>
    <xf numFmtId="0" fontId="21" fillId="6" borderId="17" xfId="0" applyFont="1" applyFill="1" applyBorder="1" applyAlignment="1">
      <alignment horizontal="center" vertical="center"/>
    </xf>
    <xf numFmtId="164" fontId="21" fillId="10" borderId="17" xfId="0" applyNumberFormat="1" applyFont="1" applyFill="1" applyBorder="1" applyAlignment="1">
      <alignment horizontal="right"/>
    </xf>
    <xf numFmtId="0" fontId="12" fillId="0" borderId="1" xfId="0" applyFont="1" applyBorder="1" applyAlignment="1">
      <alignment horizontal="left" wrapText="1"/>
    </xf>
    <xf numFmtId="164" fontId="10" fillId="0" borderId="1" xfId="0" applyNumberFormat="1" applyFont="1" applyFill="1" applyBorder="1" applyAlignment="1">
      <alignment vertical="top"/>
    </xf>
    <xf numFmtId="0" fontId="8" fillId="0" borderId="1" xfId="0" applyFont="1" applyBorder="1" applyAlignment="1">
      <alignment vertical="top" wrapText="1"/>
    </xf>
    <xf numFmtId="0" fontId="12" fillId="10" borderId="1" xfId="0" applyFont="1" applyFill="1" applyBorder="1" applyAlignment="1">
      <alignment vertical="top" wrapText="1"/>
    </xf>
    <xf numFmtId="0" fontId="12" fillId="0" borderId="24" xfId="0" applyFont="1" applyBorder="1" applyAlignment="1">
      <alignment vertical="top" wrapText="1"/>
    </xf>
    <xf numFmtId="0" fontId="9" fillId="0" borderId="15" xfId="0" applyFont="1" applyFill="1" applyBorder="1" applyAlignment="1">
      <alignment vertical="top" wrapText="1"/>
    </xf>
    <xf numFmtId="0" fontId="0" fillId="0" borderId="3" xfId="0" applyBorder="1"/>
    <xf numFmtId="164" fontId="19" fillId="8" borderId="1" xfId="0" applyNumberFormat="1" applyFont="1" applyFill="1" applyBorder="1"/>
    <xf numFmtId="0" fontId="12" fillId="0" borderId="1" xfId="0" applyFont="1" applyBorder="1"/>
    <xf numFmtId="167" fontId="12" fillId="0" borderId="1" xfId="4" applyNumberFormat="1" applyFont="1" applyBorder="1"/>
    <xf numFmtId="0" fontId="12" fillId="6" borderId="1" xfId="0" applyFont="1" applyFill="1" applyBorder="1" applyAlignment="1">
      <alignment horizontal="center"/>
    </xf>
    <xf numFmtId="0" fontId="12" fillId="11" borderId="1" xfId="0" applyFont="1" applyFill="1" applyBorder="1" applyAlignment="1">
      <alignment horizontal="center"/>
    </xf>
    <xf numFmtId="167" fontId="0" fillId="0" borderId="0" xfId="0" applyNumberFormat="1"/>
    <xf numFmtId="0" fontId="12" fillId="0" borderId="1" xfId="0" applyFont="1" applyBorder="1" applyAlignment="1">
      <alignment horizontal="center" wrapText="1"/>
    </xf>
    <xf numFmtId="0" fontId="12" fillId="0" borderId="1" xfId="0" applyFont="1" applyBorder="1" applyAlignment="1">
      <alignment horizontal="center"/>
    </xf>
    <xf numFmtId="0" fontId="38" fillId="27" borderId="0" xfId="0" applyFont="1" applyFill="1"/>
    <xf numFmtId="0" fontId="21" fillId="0" borderId="1" xfId="0" applyFont="1" applyBorder="1"/>
    <xf numFmtId="0" fontId="20" fillId="0" borderId="1" xfId="0" applyFont="1" applyBorder="1" applyAlignment="1">
      <alignment vertical="center"/>
    </xf>
    <xf numFmtId="10" fontId="20" fillId="23" borderId="1" xfId="0" applyNumberFormat="1" applyFont="1" applyFill="1" applyBorder="1"/>
    <xf numFmtId="10" fontId="20" fillId="22" borderId="1" xfId="0" applyNumberFormat="1" applyFont="1" applyFill="1" applyBorder="1"/>
    <xf numFmtId="10" fontId="48" fillId="5" borderId="1" xfId="0" applyNumberFormat="1" applyFont="1" applyFill="1" applyBorder="1"/>
    <xf numFmtId="8" fontId="0" fillId="0" borderId="0" xfId="0" applyNumberFormat="1" applyFill="1"/>
    <xf numFmtId="0" fontId="26" fillId="0" borderId="0" xfId="0" applyFont="1" applyFill="1" applyBorder="1" applyAlignment="1">
      <alignment horizontal="center" vertical="top" wrapText="1"/>
    </xf>
    <xf numFmtId="2" fontId="0" fillId="0" borderId="0" xfId="0" applyNumberFormat="1"/>
    <xf numFmtId="0" fontId="6" fillId="0" borderId="1" xfId="0" applyFont="1" applyBorder="1" applyAlignment="1">
      <alignment vertical="top" wrapText="1"/>
    </xf>
    <xf numFmtId="0" fontId="6" fillId="0" borderId="1" xfId="0" applyFont="1" applyBorder="1" applyAlignment="1">
      <alignment wrapText="1"/>
    </xf>
    <xf numFmtId="0" fontId="7" fillId="0" borderId="1" xfId="0" applyFont="1" applyBorder="1" applyAlignment="1">
      <alignment vertical="top" wrapText="1"/>
    </xf>
    <xf numFmtId="9" fontId="0" fillId="0" borderId="0" xfId="0" quotePrefix="1" applyNumberFormat="1"/>
    <xf numFmtId="0" fontId="0" fillId="28" borderId="0" xfId="0" applyFill="1"/>
    <xf numFmtId="0" fontId="5" fillId="0" borderId="0" xfId="0" applyFont="1" applyAlignment="1">
      <alignment wrapText="1"/>
    </xf>
    <xf numFmtId="9" fontId="0" fillId="0" borderId="0" xfId="0" applyNumberFormat="1" applyAlignment="1">
      <alignment wrapText="1"/>
    </xf>
    <xf numFmtId="164" fontId="20" fillId="22" borderId="0" xfId="0" applyNumberFormat="1" applyFont="1" applyFill="1" applyBorder="1" applyAlignment="1">
      <alignment horizontal="center"/>
    </xf>
    <xf numFmtId="164" fontId="43" fillId="0" borderId="0" xfId="0" applyNumberFormat="1" applyFont="1"/>
    <xf numFmtId="167" fontId="12" fillId="0" borderId="0" xfId="4" applyNumberFormat="1" applyFont="1" applyBorder="1"/>
    <xf numFmtId="0" fontId="21" fillId="10" borderId="1" xfId="0" applyFont="1" applyFill="1" applyBorder="1" applyAlignment="1">
      <alignment horizontal="center" vertical="center" wrapText="1"/>
    </xf>
    <xf numFmtId="167" fontId="31" fillId="12" borderId="0" xfId="4" applyNumberFormat="1" applyFont="1" applyFill="1" applyBorder="1"/>
    <xf numFmtId="167" fontId="35" fillId="12" borderId="0" xfId="0" applyNumberFormat="1" applyFont="1" applyFill="1"/>
    <xf numFmtId="0" fontId="35" fillId="12" borderId="0" xfId="0" applyFont="1" applyFill="1"/>
    <xf numFmtId="5" fontId="12" fillId="0" borderId="1" xfId="4" applyNumberFormat="1" applyFont="1" applyBorder="1"/>
    <xf numFmtId="5" fontId="21" fillId="0" borderId="1" xfId="4" applyNumberFormat="1" applyFont="1" applyBorder="1"/>
    <xf numFmtId="0" fontId="0" fillId="20" borderId="0" xfId="0" applyFill="1"/>
    <xf numFmtId="167" fontId="31" fillId="12" borderId="1" xfId="4" applyNumberFormat="1" applyFont="1" applyFill="1" applyBorder="1"/>
    <xf numFmtId="5" fontId="31" fillId="12" borderId="1" xfId="4" applyNumberFormat="1" applyFont="1" applyFill="1" applyBorder="1"/>
    <xf numFmtId="0" fontId="33" fillId="29" borderId="1" xfId="0" applyFont="1" applyFill="1" applyBorder="1" applyAlignment="1">
      <alignment horizontal="left" vertical="center"/>
    </xf>
    <xf numFmtId="0" fontId="33" fillId="26" borderId="1" xfId="0" applyFont="1" applyFill="1" applyBorder="1" applyAlignment="1">
      <alignment horizontal="left" vertical="center"/>
    </xf>
    <xf numFmtId="0" fontId="21" fillId="10" borderId="1" xfId="0" applyFont="1" applyFill="1" applyBorder="1" applyAlignment="1">
      <alignment horizontal="left" vertical="center" wrapText="1"/>
    </xf>
    <xf numFmtId="0" fontId="56" fillId="26" borderId="1" xfId="0" applyFont="1" applyFill="1" applyBorder="1" applyAlignment="1">
      <alignment horizontal="right" vertical="center"/>
    </xf>
    <xf numFmtId="5" fontId="46" fillId="0" borderId="1" xfId="4" applyNumberFormat="1" applyFont="1" applyBorder="1" applyAlignment="1">
      <alignment horizontal="left"/>
    </xf>
    <xf numFmtId="164" fontId="12" fillId="0" borderId="1" xfId="0" applyNumberFormat="1" applyFont="1" applyBorder="1"/>
    <xf numFmtId="164" fontId="21" fillId="0" borderId="1" xfId="0" applyNumberFormat="1" applyFont="1" applyBorder="1"/>
    <xf numFmtId="0" fontId="0" fillId="18" borderId="0" xfId="0" applyFill="1"/>
    <xf numFmtId="172" fontId="21" fillId="0" borderId="0" xfId="0" applyNumberFormat="1" applyFont="1"/>
    <xf numFmtId="5" fontId="7" fillId="0" borderId="0" xfId="0" applyNumberFormat="1" applyFont="1"/>
    <xf numFmtId="172" fontId="26" fillId="0" borderId="0" xfId="0" applyNumberFormat="1" applyFont="1"/>
    <xf numFmtId="164" fontId="21" fillId="5" borderId="0" xfId="0" applyNumberFormat="1" applyFont="1" applyFill="1" applyBorder="1" applyAlignment="1">
      <alignment horizontal="center"/>
    </xf>
    <xf numFmtId="0" fontId="3" fillId="0" borderId="1" xfId="0" applyFont="1" applyBorder="1" applyAlignment="1">
      <alignment vertical="top" wrapText="1"/>
    </xf>
    <xf numFmtId="0" fontId="19" fillId="10" borderId="1" xfId="0" applyFont="1" applyFill="1" applyBorder="1" applyAlignment="1">
      <alignment horizontal="right"/>
    </xf>
    <xf numFmtId="0" fontId="21" fillId="10" borderId="0" xfId="0" applyFont="1" applyFill="1" applyAlignment="1">
      <alignment horizontal="center"/>
    </xf>
    <xf numFmtId="0" fontId="2" fillId="0" borderId="1" xfId="0" applyFont="1" applyBorder="1" applyAlignment="1">
      <alignment vertical="center" wrapText="1"/>
    </xf>
    <xf numFmtId="5" fontId="22" fillId="10" borderId="1" xfId="6" applyNumberFormat="1" applyFill="1" applyBorder="1" applyAlignment="1">
      <alignment horizontal="center"/>
    </xf>
    <xf numFmtId="6" fontId="10" fillId="10" borderId="1" xfId="0" applyNumberFormat="1" applyFont="1" applyFill="1" applyBorder="1" applyAlignment="1">
      <alignment vertical="top" wrapText="1"/>
    </xf>
    <xf numFmtId="0" fontId="40" fillId="11" borderId="1" xfId="0" applyFont="1" applyFill="1" applyBorder="1"/>
    <xf numFmtId="0" fontId="43" fillId="11" borderId="1" xfId="0" applyFont="1" applyFill="1" applyBorder="1"/>
    <xf numFmtId="0" fontId="12" fillId="20" borderId="1" xfId="0" applyFont="1" applyFill="1" applyBorder="1" applyAlignment="1">
      <alignment wrapText="1"/>
    </xf>
    <xf numFmtId="164" fontId="12" fillId="20" borderId="1" xfId="0" applyNumberFormat="1" applyFont="1" applyFill="1" applyBorder="1"/>
    <xf numFmtId="0" fontId="12" fillId="18" borderId="1" xfId="0" applyFont="1" applyFill="1" applyBorder="1" applyAlignment="1">
      <alignment wrapText="1"/>
    </xf>
    <xf numFmtId="164" fontId="12" fillId="18" borderId="1" xfId="0" applyNumberFormat="1" applyFont="1" applyFill="1" applyBorder="1"/>
    <xf numFmtId="164" fontId="12" fillId="10" borderId="1" xfId="0" applyNumberFormat="1" applyFont="1" applyFill="1" applyBorder="1"/>
    <xf numFmtId="0" fontId="4" fillId="20" borderId="1" xfId="0" applyFont="1" applyFill="1" applyBorder="1" applyAlignment="1">
      <alignment wrapText="1"/>
    </xf>
    <xf numFmtId="164" fontId="4" fillId="20" borderId="1" xfId="0" applyNumberFormat="1" applyFont="1" applyFill="1" applyBorder="1"/>
    <xf numFmtId="0" fontId="4" fillId="12" borderId="1" xfId="0" applyFont="1" applyFill="1" applyBorder="1" applyAlignment="1">
      <alignment wrapText="1"/>
    </xf>
    <xf numFmtId="164" fontId="12" fillId="12" borderId="1" xfId="0" applyNumberFormat="1" applyFont="1" applyFill="1" applyBorder="1"/>
    <xf numFmtId="164" fontId="21" fillId="20" borderId="1" xfId="0" applyNumberFormat="1" applyFont="1" applyFill="1" applyBorder="1"/>
    <xf numFmtId="164" fontId="4" fillId="7" borderId="1" xfId="0" applyNumberFormat="1" applyFont="1" applyFill="1" applyBorder="1"/>
    <xf numFmtId="164" fontId="12" fillId="7" borderId="1" xfId="0" applyNumberFormat="1" applyFont="1" applyFill="1" applyBorder="1"/>
    <xf numFmtId="164" fontId="4" fillId="18" borderId="1" xfId="0" applyNumberFormat="1" applyFont="1" applyFill="1" applyBorder="1"/>
    <xf numFmtId="164" fontId="21" fillId="18" borderId="1" xfId="0" applyNumberFormat="1" applyFont="1" applyFill="1" applyBorder="1"/>
    <xf numFmtId="164" fontId="4" fillId="12" borderId="1" xfId="0" applyNumberFormat="1" applyFont="1" applyFill="1" applyBorder="1"/>
    <xf numFmtId="164" fontId="21" fillId="12" borderId="1" xfId="0" applyNumberFormat="1" applyFont="1" applyFill="1" applyBorder="1"/>
    <xf numFmtId="0" fontId="40" fillId="8" borderId="1" xfId="0" applyFont="1" applyFill="1" applyBorder="1"/>
    <xf numFmtId="0" fontId="43" fillId="8" borderId="1" xfId="0" applyFont="1" applyFill="1" applyBorder="1"/>
    <xf numFmtId="0" fontId="12" fillId="10" borderId="1" xfId="0" applyFont="1" applyFill="1" applyBorder="1"/>
    <xf numFmtId="0" fontId="12" fillId="10" borderId="1" xfId="0" applyFont="1" applyFill="1" applyBorder="1" applyAlignment="1">
      <alignment wrapText="1"/>
    </xf>
    <xf numFmtId="0" fontId="21" fillId="0" borderId="5" xfId="0" applyFont="1" applyBorder="1" applyAlignment="1">
      <alignment wrapText="1"/>
    </xf>
    <xf numFmtId="164" fontId="21" fillId="5" borderId="10" xfId="0" applyNumberFormat="1" applyFont="1" applyFill="1" applyBorder="1"/>
    <xf numFmtId="0" fontId="21" fillId="7" borderId="1" xfId="0" applyFont="1" applyFill="1" applyBorder="1"/>
    <xf numFmtId="0" fontId="40" fillId="7" borderId="1" xfId="0" applyFont="1" applyFill="1" applyBorder="1"/>
    <xf numFmtId="0" fontId="43" fillId="7" borderId="1" xfId="0" applyFont="1" applyFill="1" applyBorder="1"/>
    <xf numFmtId="0" fontId="43" fillId="0" borderId="1" xfId="0" applyFont="1" applyBorder="1"/>
    <xf numFmtId="0" fontId="50" fillId="7" borderId="1" xfId="0" applyFont="1" applyFill="1" applyBorder="1" applyAlignment="1">
      <alignment wrapText="1"/>
    </xf>
    <xf numFmtId="0" fontId="12" fillId="25" borderId="1" xfId="0" applyFont="1" applyFill="1" applyBorder="1" applyAlignment="1">
      <alignment wrapText="1"/>
    </xf>
    <xf numFmtId="164" fontId="20" fillId="25" borderId="1" xfId="0" applyNumberFormat="1" applyFont="1" applyFill="1" applyBorder="1"/>
    <xf numFmtId="0" fontId="12" fillId="2" borderId="1" xfId="0" applyFont="1" applyFill="1" applyBorder="1" applyAlignment="1">
      <alignment wrapText="1"/>
    </xf>
    <xf numFmtId="164" fontId="12" fillId="2" borderId="1" xfId="0" applyNumberFormat="1" applyFont="1" applyFill="1" applyBorder="1"/>
    <xf numFmtId="0" fontId="12" fillId="22" borderId="1" xfId="0" applyFont="1" applyFill="1" applyBorder="1" applyAlignment="1">
      <alignment wrapText="1"/>
    </xf>
    <xf numFmtId="164" fontId="20" fillId="22" borderId="1" xfId="0" applyNumberFormat="1" applyFont="1" applyFill="1" applyBorder="1"/>
    <xf numFmtId="164" fontId="12" fillId="22" borderId="1" xfId="0" applyNumberFormat="1" applyFont="1" applyFill="1" applyBorder="1"/>
    <xf numFmtId="0" fontId="12" fillId="6" borderId="1" xfId="0" applyFont="1" applyFill="1" applyBorder="1" applyAlignment="1">
      <alignment wrapText="1"/>
    </xf>
    <xf numFmtId="164" fontId="12" fillId="6" borderId="1" xfId="0" applyNumberFormat="1" applyFont="1" applyFill="1" applyBorder="1"/>
    <xf numFmtId="164" fontId="0" fillId="0" borderId="1" xfId="0" applyNumberFormat="1" applyBorder="1"/>
    <xf numFmtId="0" fontId="39" fillId="0" borderId="1" xfId="0" applyFont="1" applyBorder="1" applyAlignment="1">
      <alignment horizontal="left" vertical="center"/>
    </xf>
    <xf numFmtId="0" fontId="0" fillId="10" borderId="1" xfId="0" applyFill="1" applyBorder="1"/>
    <xf numFmtId="3" fontId="44" fillId="0" borderId="1" xfId="0" applyNumberFormat="1" applyFont="1" applyBorder="1"/>
    <xf numFmtId="9" fontId="0" fillId="10" borderId="1" xfId="0" applyNumberFormat="1" applyFill="1" applyBorder="1"/>
    <xf numFmtId="0" fontId="0" fillId="0" borderId="0" xfId="0" applyFill="1"/>
    <xf numFmtId="3" fontId="23" fillId="2" borderId="1" xfId="2" applyNumberFormat="1" applyFill="1" applyBorder="1" applyAlignment="1">
      <alignment horizontal="left"/>
    </xf>
    <xf numFmtId="0" fontId="0" fillId="2" borderId="1" xfId="0" applyFill="1" applyBorder="1"/>
    <xf numFmtId="3" fontId="0" fillId="7" borderId="1" xfId="0" applyNumberFormat="1" applyFill="1" applyBorder="1" applyAlignment="1">
      <alignment horizontal="left"/>
    </xf>
    <xf numFmtId="0" fontId="0" fillId="7" borderId="1" xfId="0" applyFill="1" applyBorder="1"/>
    <xf numFmtId="0" fontId="0" fillId="15" borderId="1" xfId="0" applyFill="1" applyBorder="1"/>
    <xf numFmtId="0" fontId="0" fillId="17" borderId="1" xfId="0" applyFill="1" applyBorder="1"/>
    <xf numFmtId="0" fontId="0" fillId="14" borderId="1" xfId="0" applyFill="1" applyBorder="1"/>
    <xf numFmtId="0" fontId="38" fillId="16" borderId="1" xfId="0" applyFont="1" applyFill="1" applyBorder="1"/>
    <xf numFmtId="0" fontId="0" fillId="16" borderId="1" xfId="0" applyFill="1" applyBorder="1"/>
    <xf numFmtId="0" fontId="39" fillId="0" borderId="13" xfId="0" applyFont="1" applyBorder="1" applyAlignment="1">
      <alignment horizontal="center" vertical="center"/>
    </xf>
    <xf numFmtId="0" fontId="44" fillId="0" borderId="13" xfId="0" applyFont="1" applyBorder="1" applyAlignment="1">
      <alignment wrapText="1"/>
    </xf>
    <xf numFmtId="0" fontId="44" fillId="0" borderId="13" xfId="0" applyFont="1" applyBorder="1" applyAlignment="1"/>
    <xf numFmtId="0" fontId="0" fillId="0" borderId="16" xfId="0" applyBorder="1"/>
    <xf numFmtId="9" fontId="0" fillId="0" borderId="16" xfId="0" applyNumberFormat="1" applyBorder="1"/>
    <xf numFmtId="165" fontId="0" fillId="0" borderId="1" xfId="1" applyNumberFormat="1" applyFont="1" applyBorder="1"/>
    <xf numFmtId="3" fontId="36" fillId="0" borderId="1" xfId="0" applyNumberFormat="1" applyFont="1" applyBorder="1"/>
    <xf numFmtId="0" fontId="36" fillId="0" borderId="1" xfId="0" applyFont="1" applyBorder="1" applyAlignment="1">
      <alignment wrapText="1"/>
    </xf>
    <xf numFmtId="0" fontId="32" fillId="0" borderId="1" xfId="5" applyBorder="1"/>
    <xf numFmtId="169" fontId="32" fillId="0" borderId="1" xfId="5" applyNumberFormat="1" applyBorder="1"/>
    <xf numFmtId="165" fontId="20" fillId="0" borderId="1" xfId="1" applyNumberFormat="1" applyFont="1" applyFill="1" applyBorder="1" applyAlignment="1">
      <alignment horizontal="center" vertical="center" wrapText="1"/>
    </xf>
    <xf numFmtId="165" fontId="20" fillId="0" borderId="0"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0" fontId="20" fillId="0" borderId="0" xfId="0" applyFont="1" applyBorder="1" applyAlignment="1">
      <alignment horizontal="center" vertical="center"/>
    </xf>
    <xf numFmtId="0" fontId="0" fillId="0" borderId="0" xfId="0" applyBorder="1" applyAlignment="1">
      <alignment horizontal="center" vertical="center"/>
    </xf>
    <xf numFmtId="0" fontId="0" fillId="0" borderId="0" xfId="0" quotePrefix="1" applyAlignment="1">
      <alignment horizontal="center" vertical="center"/>
    </xf>
    <xf numFmtId="9" fontId="0" fillId="0" borderId="1" xfId="0" applyNumberFormat="1" applyBorder="1" applyAlignment="1">
      <alignment horizontal="center" vertical="center"/>
    </xf>
    <xf numFmtId="167" fontId="22" fillId="0" borderId="1" xfId="6" applyNumberFormat="1" applyBorder="1" applyAlignment="1">
      <alignment horizontal="center" vertical="center"/>
    </xf>
    <xf numFmtId="6" fontId="40" fillId="0" borderId="0" xfId="0" applyNumberFormat="1" applyFont="1" applyBorder="1" applyAlignment="1">
      <alignment vertical="top"/>
    </xf>
    <xf numFmtId="6" fontId="10" fillId="0" borderId="17" xfId="0" applyNumberFormat="1" applyFont="1" applyBorder="1" applyAlignment="1">
      <alignment vertical="top" wrapText="1"/>
    </xf>
    <xf numFmtId="167" fontId="10" fillId="0" borderId="17" xfId="4" applyNumberFormat="1" applyFont="1" applyBorder="1" applyAlignment="1">
      <alignment vertical="top" wrapText="1"/>
    </xf>
    <xf numFmtId="0" fontId="43" fillId="0" borderId="1" xfId="0" applyFont="1" applyBorder="1" applyAlignment="1">
      <alignment vertical="top"/>
    </xf>
    <xf numFmtId="6" fontId="43" fillId="8" borderId="1" xfId="0" applyNumberFormat="1" applyFont="1" applyFill="1" applyBorder="1" applyAlignment="1">
      <alignment vertical="top"/>
    </xf>
    <xf numFmtId="0" fontId="43" fillId="0" borderId="1" xfId="0" applyFont="1" applyBorder="1" applyAlignment="1">
      <alignment vertical="top" wrapText="1"/>
    </xf>
    <xf numFmtId="0" fontId="40" fillId="0" borderId="1" xfId="0" applyFont="1" applyBorder="1" applyAlignment="1">
      <alignment vertical="top"/>
    </xf>
    <xf numFmtId="6" fontId="40" fillId="0" borderId="1" xfId="0" applyNumberFormat="1" applyFont="1" applyBorder="1" applyAlignment="1">
      <alignment vertical="top" wrapText="1"/>
    </xf>
    <xf numFmtId="0" fontId="40" fillId="0" borderId="1" xfId="0" applyFont="1" applyBorder="1" applyAlignment="1">
      <alignment vertical="top" wrapText="1"/>
    </xf>
    <xf numFmtId="6" fontId="40" fillId="0" borderId="1" xfId="0" applyNumberFormat="1" applyFont="1" applyBorder="1" applyAlignment="1">
      <alignment vertical="top"/>
    </xf>
    <xf numFmtId="0" fontId="0" fillId="0" borderId="1" xfId="0" applyBorder="1" applyAlignment="1">
      <alignment vertical="top"/>
    </xf>
    <xf numFmtId="6" fontId="19" fillId="8" borderId="1" xfId="0" applyNumberFormat="1" applyFont="1" applyFill="1" applyBorder="1" applyAlignment="1">
      <alignment vertical="top"/>
    </xf>
    <xf numFmtId="5" fontId="22" fillId="8" borderId="1" xfId="6" applyNumberFormat="1" applyFill="1" applyBorder="1" applyAlignment="1">
      <alignment horizontal="center" vertical="center"/>
    </xf>
    <xf numFmtId="0" fontId="22" fillId="0" borderId="17" xfId="6" applyBorder="1" applyAlignment="1"/>
    <xf numFmtId="9" fontId="22" fillId="0" borderId="1" xfId="6" applyNumberFormat="1" applyBorder="1" applyAlignment="1">
      <alignment horizontal="center" vertical="center"/>
    </xf>
    <xf numFmtId="9" fontId="0" fillId="0" borderId="1" xfId="0" quotePrefix="1" applyNumberFormat="1" applyBorder="1" applyAlignment="1">
      <alignment horizontal="center" vertical="center"/>
    </xf>
    <xf numFmtId="0" fontId="23" fillId="0" borderId="0" xfId="2" applyAlignment="1">
      <alignment horizontal="left"/>
    </xf>
    <xf numFmtId="0" fontId="3" fillId="2" borderId="1" xfId="0" applyFont="1" applyFill="1" applyBorder="1" applyAlignment="1">
      <alignment horizontal="center" wrapText="1"/>
    </xf>
    <xf numFmtId="0" fontId="12" fillId="2" borderId="1" xfId="0" applyFont="1" applyFill="1" applyBorder="1" applyAlignment="1">
      <alignment horizontal="center" wrapText="1"/>
    </xf>
    <xf numFmtId="0" fontId="0" fillId="13" borderId="1" xfId="0" applyFill="1" applyBorder="1" applyAlignment="1">
      <alignment horizontal="center"/>
    </xf>
    <xf numFmtId="0" fontId="21" fillId="4" borderId="4" xfId="0" applyFont="1" applyFill="1" applyBorder="1" applyAlignment="1">
      <alignment horizontal="center"/>
    </xf>
    <xf numFmtId="0" fontId="21" fillId="4" borderId="3" xfId="0" applyFont="1" applyFill="1" applyBorder="1" applyAlignment="1">
      <alignment horizontal="center"/>
    </xf>
    <xf numFmtId="0" fontId="21" fillId="4" borderId="27" xfId="0" applyFont="1" applyFill="1" applyBorder="1" applyAlignment="1">
      <alignment horizontal="center"/>
    </xf>
    <xf numFmtId="0" fontId="21" fillId="3" borderId="1" xfId="0" applyFont="1" applyFill="1" applyBorder="1" applyAlignment="1">
      <alignment horizontal="center"/>
    </xf>
    <xf numFmtId="0" fontId="24" fillId="9" borderId="1" xfId="0" applyFont="1" applyFill="1" applyBorder="1" applyAlignment="1">
      <alignment horizontal="center"/>
    </xf>
    <xf numFmtId="0" fontId="38" fillId="21" borderId="1" xfId="0" applyFont="1" applyFill="1" applyBorder="1" applyAlignment="1">
      <alignment horizontal="left" vertical="top" wrapText="1"/>
    </xf>
    <xf numFmtId="0" fontId="23" fillId="19" borderId="1" xfId="2" applyFill="1" applyBorder="1" applyAlignment="1">
      <alignment horizontal="left" vertical="center" wrapText="1"/>
    </xf>
    <xf numFmtId="0" fontId="0" fillId="24" borderId="1" xfId="0" applyFill="1" applyBorder="1" applyAlignment="1">
      <alignment horizontal="left" wrapText="1"/>
    </xf>
    <xf numFmtId="3" fontId="0" fillId="20" borderId="1" xfId="0" applyNumberFormat="1" applyFill="1" applyBorder="1" applyAlignment="1">
      <alignment horizontal="left" wrapText="1"/>
    </xf>
    <xf numFmtId="44" fontId="21" fillId="6" borderId="4" xfId="4" applyFont="1" applyFill="1" applyBorder="1" applyAlignment="1">
      <alignment horizontal="center" vertical="center"/>
    </xf>
    <xf numFmtId="44" fontId="21" fillId="6" borderId="3" xfId="4" applyFont="1" applyFill="1" applyBorder="1" applyAlignment="1">
      <alignment horizontal="center" vertical="center"/>
    </xf>
    <xf numFmtId="0" fontId="22" fillId="0" borderId="1" xfId="6" applyBorder="1" applyAlignment="1">
      <alignment horizontal="center" wrapText="1"/>
    </xf>
    <xf numFmtId="0" fontId="22" fillId="0" borderId="1" xfId="6" applyBorder="1" applyAlignment="1">
      <alignment horizontal="left" wrapText="1"/>
    </xf>
    <xf numFmtId="0" fontId="19" fillId="10" borderId="4" xfId="0" applyFont="1" applyFill="1" applyBorder="1" applyAlignment="1">
      <alignment horizontal="left"/>
    </xf>
    <xf numFmtId="0" fontId="19" fillId="10" borderId="3" xfId="0" applyFont="1" applyFill="1" applyBorder="1" applyAlignment="1">
      <alignment horizontal="left"/>
    </xf>
    <xf numFmtId="0" fontId="19" fillId="10" borderId="7" xfId="0" applyFont="1" applyFill="1" applyBorder="1" applyAlignment="1">
      <alignment horizontal="center" wrapText="1"/>
    </xf>
    <xf numFmtId="0" fontId="19" fillId="10" borderId="0" xfId="0" applyFont="1" applyFill="1" applyBorder="1" applyAlignment="1">
      <alignment horizontal="center" wrapText="1"/>
    </xf>
    <xf numFmtId="0" fontId="22" fillId="0" borderId="1" xfId="6" applyBorder="1" applyAlignment="1">
      <alignment horizontal="left"/>
    </xf>
    <xf numFmtId="0" fontId="22" fillId="5" borderId="1" xfId="6" applyFill="1" applyBorder="1" applyAlignment="1">
      <alignment horizontal="center" wrapText="1"/>
    </xf>
    <xf numFmtId="0" fontId="22" fillId="10" borderId="1" xfId="6" applyFill="1" applyBorder="1" applyAlignment="1">
      <alignment horizontal="left"/>
    </xf>
    <xf numFmtId="0" fontId="22" fillId="10" borderId="1" xfId="6" applyFill="1" applyBorder="1" applyAlignment="1">
      <alignment horizontal="left" wrapText="1"/>
    </xf>
    <xf numFmtId="0" fontId="22" fillId="0" borderId="1" xfId="6" applyBorder="1" applyAlignment="1">
      <alignment wrapText="1"/>
    </xf>
    <xf numFmtId="0" fontId="41" fillId="0" borderId="1" xfId="0" applyFont="1" applyBorder="1" applyAlignment="1">
      <alignment horizontal="center" vertical="center"/>
    </xf>
    <xf numFmtId="0" fontId="19" fillId="10" borderId="1" xfId="0" applyFont="1" applyFill="1" applyBorder="1" applyAlignment="1">
      <alignment horizontal="right"/>
    </xf>
    <xf numFmtId="0" fontId="19" fillId="8" borderId="1" xfId="0" applyFont="1" applyFill="1" applyBorder="1" applyAlignment="1">
      <alignment horizontal="right"/>
    </xf>
  </cellXfs>
  <cellStyles count="11">
    <cellStyle name="Comma" xfId="1" builtinId="3"/>
    <cellStyle name="Comma 2" xfId="8" xr:uid="{D097F2C6-7BA5-453E-B734-19535A6E4D27}"/>
    <cellStyle name="Currency" xfId="4" builtinId="4"/>
    <cellStyle name="Currency 2" xfId="9" xr:uid="{37C8F659-BFCA-43B9-A6D5-17D00F06B843}"/>
    <cellStyle name="Hyperlink" xfId="2" builtinId="8"/>
    <cellStyle name="Normal" xfId="0" builtinId="0"/>
    <cellStyle name="Normal 2" xfId="5" xr:uid="{3A90B075-0650-4B27-8FCE-429343EBBB7F}"/>
    <cellStyle name="Normal 2 2" xfId="6" xr:uid="{0A1D23A8-0D2F-40F6-BC20-10239F5DCC3D}"/>
    <cellStyle name="Percent" xfId="3" builtinId="5"/>
    <cellStyle name="Percent 2" xfId="7" xr:uid="{FB86D139-D554-49F2-87AE-DDA5DBEE0068}"/>
    <cellStyle name="Percent 3" xfId="10" xr:uid="{F98BA2E9-DE3A-4AA8-BE4F-447BEA0A4993}"/>
  </cellStyles>
  <dxfs count="0"/>
  <tableStyles count="0" defaultTableStyle="TableStyleMedium2" defaultPivotStyle="PivotStyleLight16"/>
  <colors>
    <mruColors>
      <color rgb="FFFF9999"/>
      <color rgb="FFFF7C80"/>
      <color rgb="FF00E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1323975</xdr:colOff>
      <xdr:row>16</xdr:row>
      <xdr:rowOff>190500</xdr:rowOff>
    </xdr:from>
    <xdr:to>
      <xdr:col>2</xdr:col>
      <xdr:colOff>981075</xdr:colOff>
      <xdr:row>18</xdr:row>
      <xdr:rowOff>66675</xdr:rowOff>
    </xdr:to>
    <xdr:sp macro="" textlink="">
      <xdr:nvSpPr>
        <xdr:cNvPr id="2" name="TextBox 1">
          <a:extLst>
            <a:ext uri="{FF2B5EF4-FFF2-40B4-BE49-F238E27FC236}">
              <a16:creationId xmlns:a16="http://schemas.microsoft.com/office/drawing/2014/main" id="{FAEAE332-1873-409B-A5FA-E87EE3FF575E}"/>
            </a:ext>
          </a:extLst>
        </xdr:cNvPr>
        <xdr:cNvSpPr txBox="1"/>
      </xdr:nvSpPr>
      <xdr:spPr>
        <a:xfrm>
          <a:off x="1325880" y="4777740"/>
          <a:ext cx="3360420" cy="4114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Summary table is </a:t>
          </a:r>
          <a:r>
            <a:rPr lang="en-GB" sz="1100" b="1"/>
            <a:t>Total</a:t>
          </a:r>
          <a:r>
            <a:rPr lang="en-GB" sz="1100" b="1" baseline="0"/>
            <a:t> gains </a:t>
          </a:r>
          <a:r>
            <a:rPr lang="en-GB" sz="1100" b="0" baseline="0"/>
            <a:t>less </a:t>
          </a:r>
          <a:r>
            <a:rPr lang="en-GB" sz="1100" b="1" baseline="0"/>
            <a:t>Net costs.  </a:t>
          </a:r>
          <a:endParaRPr lang="en-GB" sz="1100"/>
        </a:p>
      </xdr:txBody>
    </xdr:sp>
    <xdr:clientData/>
  </xdr:twoCellAnchor>
  <xdr:twoCellAnchor>
    <xdr:from>
      <xdr:col>3</xdr:col>
      <xdr:colOff>960120</xdr:colOff>
      <xdr:row>23</xdr:row>
      <xdr:rowOff>249555</xdr:rowOff>
    </xdr:from>
    <xdr:to>
      <xdr:col>5</xdr:col>
      <xdr:colOff>779145</xdr:colOff>
      <xdr:row>28</xdr:row>
      <xdr:rowOff>142875</xdr:rowOff>
    </xdr:to>
    <xdr:sp macro="" textlink="">
      <xdr:nvSpPr>
        <xdr:cNvPr id="3" name="TextBox 2">
          <a:extLst>
            <a:ext uri="{FF2B5EF4-FFF2-40B4-BE49-F238E27FC236}">
              <a16:creationId xmlns:a16="http://schemas.microsoft.com/office/drawing/2014/main" id="{6C1E2292-A9EC-4C45-B42F-0E74AB3A43D7}"/>
            </a:ext>
          </a:extLst>
        </xdr:cNvPr>
        <xdr:cNvSpPr txBox="1"/>
      </xdr:nvSpPr>
      <xdr:spPr>
        <a:xfrm>
          <a:off x="6071235" y="6707505"/>
          <a:ext cx="4183380" cy="2245995"/>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All</a:t>
          </a:r>
          <a:r>
            <a:rPr lang="en-GB" sz="1100" baseline="0"/>
            <a:t> costs are real.  Y0 costs are unrounded figures.</a:t>
          </a:r>
        </a:p>
        <a:p>
          <a:endParaRPr lang="en-GB" sz="1100" baseline="0"/>
        </a:p>
        <a:p>
          <a:r>
            <a:rPr lang="en-GB" sz="1100" baseline="0"/>
            <a:t> </a:t>
          </a:r>
          <a:r>
            <a:rPr lang="en-GB" sz="1100"/>
            <a:t>Child benefit costs do not fall over time, as number of children is assumed to be constant.</a:t>
          </a:r>
        </a:p>
        <a:p>
          <a:endParaRPr lang="en-GB" sz="1100"/>
        </a:p>
        <a:p>
          <a:r>
            <a:rPr lang="en-GB" sz="1100" b="0" i="0"/>
            <a:t>Cost</a:t>
          </a:r>
          <a:r>
            <a:rPr lang="en-GB" sz="1100" b="0" i="0" baseline="0"/>
            <a:t> of other benefits, and of BAU, falls over time in scenarios where migration policy affects number of UC-eligible migrants -- ie where value in </a:t>
          </a:r>
          <a:r>
            <a:rPr lang="en-GB" sz="1100" b="1" i="0" baseline="0"/>
            <a:t>cell f2</a:t>
          </a:r>
          <a:r>
            <a:rPr lang="en-GB" sz="1100" b="0" i="0" baseline="0"/>
            <a:t> is greater than zero.</a:t>
          </a:r>
          <a:endParaRPr lang="en-GB" sz="1100" b="0" i="0"/>
        </a:p>
      </xdr:txBody>
    </xdr:sp>
    <xdr:clientData/>
  </xdr:twoCellAnchor>
  <xdr:twoCellAnchor>
    <xdr:from>
      <xdr:col>5</xdr:col>
      <xdr:colOff>972820</xdr:colOff>
      <xdr:row>23</xdr:row>
      <xdr:rowOff>264160</xdr:rowOff>
    </xdr:from>
    <xdr:to>
      <xdr:col>8</xdr:col>
      <xdr:colOff>929005</xdr:colOff>
      <xdr:row>28</xdr:row>
      <xdr:rowOff>231775</xdr:rowOff>
    </xdr:to>
    <xdr:sp macro="" textlink="">
      <xdr:nvSpPr>
        <xdr:cNvPr id="4" name="TextBox 3">
          <a:extLst>
            <a:ext uri="{FF2B5EF4-FFF2-40B4-BE49-F238E27FC236}">
              <a16:creationId xmlns:a16="http://schemas.microsoft.com/office/drawing/2014/main" id="{8D2D675E-FD85-41BF-8EDD-50B3AE3AFE57}"/>
            </a:ext>
          </a:extLst>
        </xdr:cNvPr>
        <xdr:cNvSpPr txBox="1"/>
      </xdr:nvSpPr>
      <xdr:spPr>
        <a:xfrm>
          <a:off x="10161270" y="6760210"/>
          <a:ext cx="4058285" cy="2298065"/>
        </a:xfrm>
        <a:prstGeom prst="rect">
          <a:avLst/>
        </a:prstGeom>
        <a:solidFill>
          <a:schemeClr val="accent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Gains are real.  Health-related</a:t>
          </a:r>
          <a:r>
            <a:rPr lang="en-GB" sz="1100" baseline="0"/>
            <a:t> gains assumed equally likely to accrue to all households, not only those eligible for UC, therefore do not decline over time in scenarios where UC numbers expected to fall.</a:t>
          </a:r>
        </a:p>
        <a:p>
          <a:endParaRPr lang="en-GB" sz="1100" baseline="0"/>
        </a:p>
        <a:p>
          <a:r>
            <a:rPr lang="en-GB" sz="1100" baseline="0"/>
            <a:t>Non-health-related gains relate to both child benefit (numbers of eligible individuals constant over time) and other benefits (numbers of eligible individuals declines in some migration scenarios).  Child benefit makes up 44% of gross public sector costs in Year 0--roughly half.  We assume in the model that non-health related gains decline over time in lower-migration scenarios.  The decline is modelled as </a:t>
          </a:r>
          <a:r>
            <a:rPr lang="en-GB" sz="1100" b="1" baseline="0"/>
            <a:t>half the rate of decline </a:t>
          </a:r>
          <a:r>
            <a:rPr lang="en-GB" sz="1100" b="0" baseline="0"/>
            <a:t>in UC-eligible cases, to account for gains attributable to child benefit.</a:t>
          </a:r>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rads\Documents\Working%20documents\CBA%20Option%202%20ALL%20HoHods%208%20De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 all"/>
      <sheetName val="A fiscal"/>
      <sheetName val="B"/>
      <sheetName val="C"/>
      <sheetName val="D"/>
      <sheetName val="BAUa"/>
      <sheetName val="BAUb"/>
      <sheetName val="BAUc"/>
      <sheetName val="1a"/>
      <sheetName val="1b"/>
      <sheetName val="2a"/>
      <sheetName val="2b"/>
      <sheetName val="3a"/>
      <sheetName val="3b"/>
      <sheetName val="4a"/>
      <sheetName val="4b"/>
      <sheetName val="5a"/>
      <sheetName val="5b"/>
      <sheetName val="6a"/>
      <sheetName val="6b"/>
    </sheetNames>
    <sheetDataSet>
      <sheetData sheetId="0" refreshError="1"/>
      <sheetData sheetId="1">
        <row r="14">
          <cell r="B14">
            <v>526000000</v>
          </cell>
        </row>
        <row r="15">
          <cell r="B15">
            <v>-160000000</v>
          </cell>
        </row>
        <row r="16">
          <cell r="B16">
            <v>366000000</v>
          </cell>
          <cell r="F16">
            <v>428000000</v>
          </cell>
        </row>
        <row r="41">
          <cell r="D41">
            <v>3898000000</v>
          </cell>
        </row>
        <row r="45">
          <cell r="D45">
            <v>2797000000</v>
          </cell>
        </row>
        <row r="54">
          <cell r="D54">
            <v>3225000000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ons.gov.uk/file?uri=%2fpeoplepopulationandcommunity%2fbirthsdeathsandmarriages%2ffamilies%2fdatasets%2ffamiliesandhouseholdsfamiliesandhouseholds%2fcurrent/familiesandhouseholds2020.xlsx" TargetMode="External"/><Relationship Id="rId1" Type="http://schemas.openxmlformats.org/officeDocument/2006/relationships/hyperlink" Target="https://committees.parliament.uk/publications/6564/documents/71253/default/,%20p.%202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nrpfnetwork.org.uk/-/media/microsites/nrpf/documents/policy/policy-issues-and-nrpf-overview.pdf?la=en&amp;hash=C78B5C26A9AF924764084F0CA6D31D651BBF8FAD" TargetMode="External"/><Relationship Id="rId2" Type="http://schemas.openxmlformats.org/officeDocument/2006/relationships/hyperlink" Target="https://assets.publishing.service.gov.uk/government/uploads/system/uploads/attachment_data/file/904641/No_Recourse_to_Public_Funds__NRPF__-_Applications_to_change_conditions_of_leave_Q2_2020.pdf" TargetMode="External"/><Relationship Id="rId1" Type="http://schemas.openxmlformats.org/officeDocument/2006/relationships/hyperlink" Target="https://assets.publishing.service.gov.uk/government/uploads/system/uploads/attachment_data/file/904641/No_Recourse_to_Public_Funds__NRPF__-_Applications_to_change_conditions_of_leave_Q2_2020.pdf%20Note%20number%20relates%20to%20claims%20not%20individuals" TargetMode="External"/><Relationship Id="rId4"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6E17-DF19-440B-8F95-2AE9DE49EDD0}">
  <sheetPr>
    <tabColor theme="0"/>
  </sheetPr>
  <dimension ref="A1:H24"/>
  <sheetViews>
    <sheetView tabSelected="1" workbookViewId="0"/>
  </sheetViews>
  <sheetFormatPr defaultColWidth="8.625" defaultRowHeight="21"/>
  <cols>
    <col min="8" max="8" width="12.1875" customWidth="1"/>
  </cols>
  <sheetData>
    <row r="1" spans="1:8">
      <c r="A1" t="s">
        <v>0</v>
      </c>
    </row>
    <row r="2" spans="1:8">
      <c r="B2" s="394" t="s">
        <v>498</v>
      </c>
      <c r="C2" s="527" t="s">
        <v>500</v>
      </c>
      <c r="D2" s="527"/>
      <c r="E2" s="527"/>
      <c r="F2" s="527"/>
    </row>
    <row r="3" spans="1:8">
      <c r="B3" s="18" t="s">
        <v>474</v>
      </c>
      <c r="C3" s="527" t="s">
        <v>499</v>
      </c>
      <c r="D3" s="527"/>
      <c r="E3" s="527"/>
    </row>
    <row r="4" spans="1:8">
      <c r="B4" s="18" t="s">
        <v>475</v>
      </c>
      <c r="C4" s="320" t="s">
        <v>476</v>
      </c>
      <c r="D4" s="320"/>
      <c r="E4" s="320"/>
      <c r="F4" s="320"/>
      <c r="G4" s="320"/>
      <c r="H4" s="320"/>
    </row>
    <row r="5" spans="1:8">
      <c r="B5" s="18" t="s">
        <v>1</v>
      </c>
      <c r="C5" s="527" t="s">
        <v>2</v>
      </c>
      <c r="D5" s="527"/>
      <c r="E5" s="527"/>
      <c r="F5" s="527"/>
      <c r="G5" s="527"/>
      <c r="H5" s="527"/>
    </row>
    <row r="6" spans="1:8">
      <c r="B6" s="18" t="s">
        <v>3</v>
      </c>
      <c r="C6" s="527" t="s">
        <v>4</v>
      </c>
      <c r="D6" s="527"/>
      <c r="E6" s="527"/>
      <c r="F6" s="527"/>
      <c r="G6" s="527"/>
      <c r="H6" s="527"/>
    </row>
    <row r="7" spans="1:8">
      <c r="B7" s="18" t="s">
        <v>5</v>
      </c>
      <c r="C7" s="527" t="s">
        <v>542</v>
      </c>
      <c r="D7" s="527"/>
      <c r="E7" s="527"/>
      <c r="F7" s="527"/>
      <c r="G7" s="527"/>
      <c r="H7" s="527"/>
    </row>
    <row r="9" spans="1:8">
      <c r="A9" t="s">
        <v>6</v>
      </c>
    </row>
    <row r="10" spans="1:8">
      <c r="B10" t="s">
        <v>7</v>
      </c>
      <c r="C10" s="527" t="s">
        <v>8</v>
      </c>
      <c r="D10" s="527"/>
      <c r="E10" s="527"/>
      <c r="F10" s="527"/>
      <c r="G10" s="527"/>
      <c r="H10" s="527"/>
    </row>
    <row r="11" spans="1:8">
      <c r="B11" t="s">
        <v>9</v>
      </c>
      <c r="C11" s="527" t="s">
        <v>10</v>
      </c>
      <c r="D11" s="527"/>
      <c r="E11" s="527"/>
      <c r="F11" s="527"/>
      <c r="G11" s="527"/>
      <c r="H11" s="527"/>
    </row>
    <row r="12" spans="1:8">
      <c r="B12" t="s">
        <v>371</v>
      </c>
      <c r="C12" s="527" t="s">
        <v>372</v>
      </c>
      <c r="D12" s="527"/>
      <c r="E12" s="527"/>
      <c r="F12" s="527"/>
      <c r="G12" s="527"/>
      <c r="H12" s="527"/>
    </row>
    <row r="13" spans="1:8">
      <c r="B13" s="23" t="s">
        <v>11</v>
      </c>
      <c r="C13" s="527" t="s">
        <v>12</v>
      </c>
      <c r="D13" s="527"/>
      <c r="E13" s="527"/>
      <c r="F13" s="527"/>
      <c r="G13" s="527"/>
      <c r="H13" s="527"/>
    </row>
    <row r="14" spans="1:8">
      <c r="B14" s="23" t="s">
        <v>13</v>
      </c>
      <c r="C14" s="282" t="s">
        <v>14</v>
      </c>
    </row>
    <row r="15" spans="1:8">
      <c r="B15" s="24" t="s">
        <v>15</v>
      </c>
      <c r="C15" s="527" t="s">
        <v>16</v>
      </c>
      <c r="D15" s="527"/>
      <c r="E15" s="527"/>
      <c r="F15" s="527"/>
      <c r="G15" s="527"/>
      <c r="H15" s="527"/>
    </row>
    <row r="16" spans="1:8">
      <c r="B16" s="24" t="s">
        <v>17</v>
      </c>
      <c r="C16" s="527" t="s">
        <v>18</v>
      </c>
      <c r="D16" s="527"/>
      <c r="E16" s="527"/>
      <c r="F16" s="527"/>
      <c r="G16" s="527"/>
      <c r="H16" s="527"/>
    </row>
    <row r="17" spans="2:8">
      <c r="B17" s="25" t="s">
        <v>547</v>
      </c>
      <c r="C17" s="527" t="s">
        <v>19</v>
      </c>
      <c r="D17" s="527"/>
      <c r="E17" s="527"/>
      <c r="F17" s="527"/>
      <c r="G17" s="527"/>
      <c r="H17" s="527"/>
    </row>
    <row r="18" spans="2:8">
      <c r="B18" s="25" t="s">
        <v>20</v>
      </c>
      <c r="C18" s="527" t="s">
        <v>21</v>
      </c>
      <c r="D18" s="527"/>
      <c r="E18" s="527"/>
      <c r="F18" s="527"/>
      <c r="G18" s="527"/>
      <c r="H18" s="527"/>
    </row>
    <row r="19" spans="2:8">
      <c r="B19" s="11" t="s">
        <v>548</v>
      </c>
      <c r="C19" s="527" t="s">
        <v>22</v>
      </c>
      <c r="D19" s="527"/>
      <c r="E19" s="527"/>
      <c r="F19" s="527"/>
      <c r="G19" s="527"/>
      <c r="H19" s="527"/>
    </row>
    <row r="20" spans="2:8">
      <c r="B20" s="11" t="s">
        <v>23</v>
      </c>
      <c r="C20" s="527" t="s">
        <v>24</v>
      </c>
      <c r="D20" s="527"/>
      <c r="E20" s="527"/>
      <c r="F20" s="527"/>
      <c r="G20" s="527"/>
      <c r="H20" s="527"/>
    </row>
    <row r="21" spans="2:8">
      <c r="B21" s="26" t="s">
        <v>549</v>
      </c>
      <c r="C21" s="527" t="s">
        <v>25</v>
      </c>
      <c r="D21" s="527"/>
      <c r="E21" s="527"/>
      <c r="F21" s="527"/>
      <c r="G21" s="527"/>
      <c r="H21" s="527"/>
    </row>
    <row r="22" spans="2:8">
      <c r="B22" s="26" t="s">
        <v>26</v>
      </c>
      <c r="C22" s="527" t="s">
        <v>27</v>
      </c>
      <c r="D22" s="527"/>
      <c r="E22" s="527"/>
      <c r="F22" s="527"/>
      <c r="G22" s="527"/>
      <c r="H22" s="527"/>
    </row>
    <row r="23" spans="2:8">
      <c r="B23" s="86" t="s">
        <v>373</v>
      </c>
      <c r="C23" s="527" t="s">
        <v>28</v>
      </c>
      <c r="D23" s="527"/>
      <c r="E23" s="527"/>
      <c r="F23" s="527"/>
      <c r="G23" s="527"/>
      <c r="H23" s="527"/>
    </row>
    <row r="24" spans="2:8">
      <c r="B24" s="86" t="s">
        <v>29</v>
      </c>
      <c r="C24" s="527" t="s">
        <v>30</v>
      </c>
      <c r="D24" s="527"/>
      <c r="E24" s="527"/>
      <c r="F24" s="527"/>
      <c r="G24" s="527"/>
      <c r="H24" s="527"/>
    </row>
  </sheetData>
  <mergeCells count="19">
    <mergeCell ref="C6:H6"/>
    <mergeCell ref="C7:H7"/>
    <mergeCell ref="C10:H10"/>
    <mergeCell ref="C2:F2"/>
    <mergeCell ref="C24:H24"/>
    <mergeCell ref="C12:H12"/>
    <mergeCell ref="C13:H13"/>
    <mergeCell ref="C15:H15"/>
    <mergeCell ref="C16:H16"/>
    <mergeCell ref="C17:H17"/>
    <mergeCell ref="C18:H18"/>
    <mergeCell ref="C19:H19"/>
    <mergeCell ref="C20:H20"/>
    <mergeCell ref="C21:H21"/>
    <mergeCell ref="C22:H22"/>
    <mergeCell ref="C23:H23"/>
    <mergeCell ref="C3:E3"/>
    <mergeCell ref="C11:H11"/>
    <mergeCell ref="C5:H5"/>
  </mergeCells>
  <hyperlinks>
    <hyperlink ref="C5" location="B!A1" display="Numbers of individuals and households: UK population and NRPF " xr:uid="{16DAE420-3B95-485F-8CF1-1CD4A9519829}"/>
    <hyperlink ref="C6" location="'C'!A1" display="Historic GDP deflator values" xr:uid="{24060C89-F55B-4822-8C1A-9C4617D58F1B}"/>
    <hyperlink ref="C7" location="D!A1" display="Costs of 'public funds' benefits: per hhld and total" xr:uid="{EDEB828E-98F3-4D05-B651-8B5B34840D4F}"/>
    <hyperlink ref="C10" location="BAUa!A1" display="Business as usual inputs" xr:uid="{7B630C84-6411-422F-B59A-297219E73AC3}"/>
    <hyperlink ref="C11" location="BAUb!A1" display="Business as usual model" xr:uid="{8D9E81B8-BD37-4977-BBCD-9C899B6D6505}"/>
    <hyperlink ref="C12" location="BAUc!A1" display="Business as usual government and NHS spend" xr:uid="{16405997-A348-4C2F-A24F-5CE42154E5DC}"/>
    <hyperlink ref="C13" location="'1a'!A1" display="Work &amp; productivity inputs" xr:uid="{70676E37-75EA-4801-A40A-D79E32F2DF99}"/>
    <hyperlink ref="C14" location="'1b'!A1" display="Work &amp; productivity model" xr:uid="{FA649A34-E58F-42C4-98CC-1AFEF0A41B6F}"/>
    <hyperlink ref="C15" location="'2a'!A1" display="Housing inputs" xr:uid="{AF46E73F-0E25-46CE-A0A7-6C9A3E89BCDD}"/>
    <hyperlink ref="C16" location="'2b'!A1" display="Housing model" xr:uid="{C075E3C3-D4CE-4ED8-A0D1-A9E9BAF5104F}"/>
    <hyperlink ref="C17" location="'3a'!A1" display="Earlier health diagnosis inputs" xr:uid="{E8F3143C-3298-4CF6-BD32-CDDFAE0D85A6}"/>
    <hyperlink ref="C18" location="'3b'!A1" display="Earlier health diagnosis model" xr:uid="{4AEEE178-FEA0-4B5F-B991-88CBF4170CF7}"/>
    <hyperlink ref="C19" location="'4a'!A1" display="Education &amp; childhood development inputs" xr:uid="{D7233828-7D00-445F-AB8E-A27CACD2F865}"/>
    <hyperlink ref="C20" location="'4b'!A1" display="Education and childhood development model" xr:uid="{FB5C7B97-4A69-4E31-AE41-8EB76D9E5B29}"/>
    <hyperlink ref="C21" location="'5a'!A1" display="Relief of problem debt inputs" xr:uid="{C80C5745-3F68-458D-8FC5-13003E586878}"/>
    <hyperlink ref="C22" location="'5b'!A1" display="Relief of problem debt model" xr:uid="{4DC0FD5F-12DA-4122-B2F8-4C9A563F1DBB}"/>
    <hyperlink ref="C23" location="'6a'!A1" display="Reduction in domestic abuse inputs" xr:uid="{6BFD5F9D-6643-432F-B4A8-7C720AED6D5E}"/>
    <hyperlink ref="C24" location="'6b'!A1" display="Reduction in domestic abuse model" xr:uid="{6272B29A-95C1-4C03-BD38-7B16E7251662}"/>
    <hyperlink ref="C3" location="' A all'!A1" display="Overall summary" xr:uid="{3F8133D9-45CF-48D8-AE2E-B9F24D6EA360}"/>
    <hyperlink ref="C4" location="'A fiscal'!A1" display="Public sector impacts" xr:uid="{EE3B3C60-3C05-4D33-B4AF-DB1BA865C98F}"/>
    <hyperlink ref="C2:F2" location="Summary!A1" display="Summary table of CAB Outcome" xr:uid="{4B6CEE69-DFD4-4FD1-B102-EB507D6059F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BE11-F08C-4378-B5CE-2572C98DC434}">
  <sheetPr>
    <tabColor theme="0"/>
  </sheetPr>
  <dimension ref="A1:F14"/>
  <sheetViews>
    <sheetView zoomScale="75" zoomScaleNormal="75" workbookViewId="0"/>
  </sheetViews>
  <sheetFormatPr defaultColWidth="8.625" defaultRowHeight="21"/>
  <cols>
    <col min="1" max="1" width="35.625" customWidth="1"/>
    <col min="2" max="2" width="10.625" customWidth="1"/>
    <col min="3" max="3" width="10" customWidth="1"/>
    <col min="4" max="4" width="15.625" customWidth="1"/>
    <col min="5" max="5" width="12" bestFit="1" customWidth="1"/>
    <col min="6" max="6" width="9.75" bestFit="1" customWidth="1"/>
  </cols>
  <sheetData>
    <row r="1" spans="1:6">
      <c r="A1" s="150" t="s">
        <v>314</v>
      </c>
      <c r="B1" s="150"/>
      <c r="C1" s="150"/>
      <c r="D1" s="15"/>
    </row>
    <row r="2" spans="1:6" ht="86.15" customHeight="1">
      <c r="A2" s="161" t="s">
        <v>205</v>
      </c>
      <c r="B2" s="160" t="s">
        <v>206</v>
      </c>
      <c r="C2" s="160" t="s">
        <v>207</v>
      </c>
      <c r="D2" s="160" t="s">
        <v>504</v>
      </c>
      <c r="E2" s="160" t="s">
        <v>505</v>
      </c>
    </row>
    <row r="3" spans="1:6" ht="38.65" customHeight="1">
      <c r="A3" s="100" t="s">
        <v>210</v>
      </c>
      <c r="B3" s="154">
        <f>BAUa!B3*(1+BAUa!B4)*BAUa!B6</f>
        <v>5469.2876712328771</v>
      </c>
      <c r="C3" s="159">
        <f>BAUa!C7</f>
        <v>17870.579382994732</v>
      </c>
      <c r="D3" s="159">
        <f>B3*C3</f>
        <v>97739339.497201532</v>
      </c>
      <c r="E3" s="159">
        <f>ROUND(D3,-6)</f>
        <v>98000000</v>
      </c>
    </row>
    <row r="4" spans="1:6" ht="32.5" hidden="1">
      <c r="A4" s="322" t="s">
        <v>417</v>
      </c>
      <c r="B4" s="155"/>
      <c r="C4" s="155"/>
      <c r="D4" s="155"/>
      <c r="E4" s="332">
        <v>0</v>
      </c>
    </row>
    <row r="5" spans="1:6">
      <c r="C5" s="339" t="s">
        <v>307</v>
      </c>
      <c r="D5" s="340"/>
      <c r="E5" s="164">
        <f>E3+E4</f>
        <v>98000000</v>
      </c>
    </row>
    <row r="7" spans="1:6">
      <c r="B7" s="164" t="s">
        <v>308</v>
      </c>
      <c r="C7" s="134"/>
      <c r="D7" s="134"/>
      <c r="E7" s="164">
        <f>ROUND(E5,-6)</f>
        <v>98000000</v>
      </c>
    </row>
    <row r="9" spans="1:6">
      <c r="F9" s="148"/>
    </row>
    <row r="10" spans="1:6">
      <c r="A10" s="540" t="s">
        <v>315</v>
      </c>
      <c r="B10" s="541"/>
      <c r="C10" s="15"/>
      <c r="E10" s="15"/>
    </row>
    <row r="11" spans="1:6" ht="32.5">
      <c r="A11" s="100" t="s">
        <v>325</v>
      </c>
      <c r="B11" s="155"/>
      <c r="C11" s="155"/>
      <c r="D11" s="343">
        <f>BAUa!C9</f>
        <v>0.05</v>
      </c>
      <c r="E11" s="15"/>
    </row>
    <row r="12" spans="1:6">
      <c r="A12" s="15"/>
      <c r="B12" s="15"/>
      <c r="C12" s="15"/>
      <c r="D12" s="163" t="s">
        <v>326</v>
      </c>
      <c r="E12" s="164">
        <f>E7*D11</f>
        <v>4900000</v>
      </c>
    </row>
    <row r="13" spans="1:6">
      <c r="A13" s="15"/>
      <c r="B13" s="15"/>
      <c r="C13" s="15"/>
      <c r="D13" s="378"/>
      <c r="E13" s="164"/>
    </row>
    <row r="14" spans="1:6">
      <c r="A14" s="15"/>
      <c r="B14" s="15"/>
      <c r="C14" s="155"/>
      <c r="D14" s="163" t="s">
        <v>327</v>
      </c>
      <c r="E14" s="164">
        <f>ROUND(E12,-6)</f>
        <v>5000000</v>
      </c>
    </row>
  </sheetData>
  <mergeCells count="1">
    <mergeCell ref="A10:B1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8FA2-FF54-40C4-80CF-54B2C3D3C887}">
  <sheetPr>
    <tabColor theme="2" tint="-0.249977111117893"/>
    <pageSetUpPr fitToPage="1"/>
  </sheetPr>
  <dimension ref="A1:N61"/>
  <sheetViews>
    <sheetView zoomScale="75" zoomScaleNormal="75" workbookViewId="0"/>
  </sheetViews>
  <sheetFormatPr defaultColWidth="8.625" defaultRowHeight="21"/>
  <cols>
    <col min="1" max="1" width="37.1875" customWidth="1"/>
    <col min="2" max="2" width="13.4375" customWidth="1"/>
    <col min="3" max="3" width="66.8125" style="94" customWidth="1"/>
    <col min="5" max="5" width="7.1875" customWidth="1"/>
    <col min="6" max="6" width="9.75" customWidth="1"/>
    <col min="7" max="7" width="13.625" customWidth="1"/>
    <col min="8" max="8" width="15" customWidth="1"/>
    <col min="11" max="11" width="12.1875" customWidth="1"/>
    <col min="12" max="12" width="8.1875" customWidth="1"/>
    <col min="13" max="13" width="9.1875" customWidth="1"/>
    <col min="14" max="14" width="9" customWidth="1"/>
    <col min="15" max="15" width="12.1875" customWidth="1"/>
    <col min="17" max="17" width="13.1875" bestFit="1" customWidth="1"/>
  </cols>
  <sheetData>
    <row r="1" spans="1:4" ht="21" customHeight="1">
      <c r="A1" s="3" t="s">
        <v>211</v>
      </c>
    </row>
    <row r="2" spans="1:4" ht="36" customHeight="1">
      <c r="A2" s="95" t="s">
        <v>212</v>
      </c>
      <c r="B2" s="95" t="s">
        <v>213</v>
      </c>
      <c r="C2" s="92" t="s">
        <v>183</v>
      </c>
      <c r="D2" s="16"/>
    </row>
    <row r="3" spans="1:4" ht="29">
      <c r="A3" s="140" t="s">
        <v>214</v>
      </c>
      <c r="B3" s="141">
        <v>13.34</v>
      </c>
      <c r="C3" s="146" t="s">
        <v>215</v>
      </c>
    </row>
    <row r="4" spans="1:4" ht="29">
      <c r="A4" s="140" t="s">
        <v>216</v>
      </c>
      <c r="B4" s="141">
        <v>14.67</v>
      </c>
      <c r="C4" s="146" t="s">
        <v>217</v>
      </c>
    </row>
    <row r="5" spans="1:4" ht="43.5">
      <c r="A5" s="140" t="s">
        <v>218</v>
      </c>
      <c r="B5" s="101">
        <v>35</v>
      </c>
      <c r="C5" s="146" t="s">
        <v>219</v>
      </c>
      <c r="D5" s="174"/>
    </row>
    <row r="6" spans="1:4" ht="29">
      <c r="A6" s="223" t="s">
        <v>220</v>
      </c>
      <c r="B6" s="252">
        <v>3.5000000000000003E-2</v>
      </c>
      <c r="C6" s="254" t="s">
        <v>335</v>
      </c>
    </row>
    <row r="7" spans="1:4" ht="46.5">
      <c r="A7" s="140" t="s">
        <v>221</v>
      </c>
      <c r="B7" s="102">
        <f>16.3/35</f>
        <v>0.46571428571428575</v>
      </c>
      <c r="C7" s="229" t="s">
        <v>328</v>
      </c>
    </row>
    <row r="8" spans="1:4" ht="31">
      <c r="A8" s="140" t="s">
        <v>222</v>
      </c>
      <c r="B8" s="252">
        <v>0.14399999999999999</v>
      </c>
      <c r="C8" s="253" t="s">
        <v>341</v>
      </c>
    </row>
    <row r="9" spans="1:4" ht="32.5">
      <c r="A9" s="437" t="s">
        <v>546</v>
      </c>
      <c r="B9" s="100" t="s">
        <v>223</v>
      </c>
      <c r="C9" s="230" t="s">
        <v>224</v>
      </c>
    </row>
    <row r="10" spans="1:4" ht="31">
      <c r="A10" s="140" t="s">
        <v>225</v>
      </c>
      <c r="B10" s="103" t="s">
        <v>226</v>
      </c>
      <c r="C10" s="7"/>
    </row>
    <row r="11" spans="1:4" ht="63.5">
      <c r="A11" s="228" t="s">
        <v>227</v>
      </c>
      <c r="B11" s="104" t="s">
        <v>228</v>
      </c>
      <c r="C11" s="229" t="s">
        <v>229</v>
      </c>
    </row>
    <row r="12" spans="1:4" ht="50.25" customHeight="1">
      <c r="A12" s="19"/>
    </row>
    <row r="13" spans="1:4" ht="50.25" customHeight="1"/>
    <row r="14" spans="1:4" ht="50.25" customHeight="1"/>
    <row r="15" spans="1:4" ht="50.25" customHeight="1"/>
    <row r="16" spans="1:4" ht="50.25" customHeight="1"/>
    <row r="40" spans="4:14" ht="71.650000000000006" customHeight="1"/>
    <row r="44" spans="4:14">
      <c r="D44" s="9"/>
    </row>
    <row r="45" spans="4:14">
      <c r="F45" s="174"/>
      <c r="N45" s="174"/>
    </row>
    <row r="46" spans="4:14">
      <c r="F46" s="174"/>
      <c r="N46" s="174"/>
    </row>
    <row r="47" spans="4:14" ht="21" customHeight="1">
      <c r="F47" s="174"/>
      <c r="N47" s="174"/>
    </row>
    <row r="48" spans="4:14">
      <c r="D48" s="174"/>
      <c r="E48" s="174"/>
      <c r="F48" s="174"/>
      <c r="L48" s="174"/>
      <c r="M48" s="174"/>
      <c r="N48" s="174"/>
    </row>
    <row r="54" spans="4:14">
      <c r="D54" s="174"/>
      <c r="E54" s="174"/>
      <c r="F54" s="8"/>
      <c r="G54" s="8"/>
      <c r="L54" s="174"/>
      <c r="M54" s="174"/>
      <c r="N54" s="174"/>
    </row>
    <row r="55" spans="4:14">
      <c r="D55" s="174"/>
      <c r="E55" s="174"/>
      <c r="F55" s="8"/>
      <c r="G55" s="8"/>
      <c r="L55" s="174"/>
      <c r="M55" s="174"/>
      <c r="N55" s="174"/>
    </row>
    <row r="56" spans="4:14">
      <c r="D56" s="174"/>
      <c r="E56" s="174"/>
      <c r="F56" s="8"/>
      <c r="G56" s="8"/>
      <c r="L56" s="174"/>
      <c r="M56" s="174"/>
      <c r="N56" s="174"/>
    </row>
    <row r="57" spans="4:14">
      <c r="D57" s="174"/>
      <c r="E57" s="174"/>
      <c r="F57" s="8"/>
      <c r="G57" s="8"/>
      <c r="L57" s="174"/>
      <c r="M57" s="174"/>
      <c r="N57" s="174"/>
    </row>
    <row r="58" spans="4:14">
      <c r="D58" s="174"/>
      <c r="E58" s="174"/>
      <c r="F58" s="8"/>
      <c r="G58" s="8"/>
      <c r="L58" s="174"/>
      <c r="M58" s="174"/>
      <c r="N58" s="174"/>
    </row>
    <row r="59" spans="4:14">
      <c r="D59" s="174"/>
      <c r="E59" s="174"/>
      <c r="F59" s="8"/>
      <c r="G59" s="8"/>
      <c r="L59" s="174"/>
      <c r="M59" s="174"/>
      <c r="N59" s="174"/>
    </row>
    <row r="60" spans="4:14">
      <c r="D60" s="174"/>
      <c r="E60" s="174"/>
      <c r="F60" s="8"/>
      <c r="G60" s="8"/>
      <c r="L60" s="174"/>
      <c r="M60" s="174"/>
      <c r="N60" s="174"/>
    </row>
    <row r="61" spans="4:14">
      <c r="D61" s="174"/>
      <c r="E61" s="174"/>
      <c r="F61" s="8"/>
      <c r="G61" s="8"/>
      <c r="L61" s="174"/>
      <c r="M61" s="174"/>
      <c r="N61" s="174"/>
    </row>
  </sheetData>
  <printOptions headings="1"/>
  <pageMargins left="0.70866141732283472" right="0.70866141732283472" top="0.74803149606299213" bottom="0.74803149606299213" header="0.31496062992125984" footer="0.31496062992125984"/>
  <pageSetup paperSize="9" scale="3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4FC0-00C4-472F-9832-2710B6967A7A}">
  <sheetPr>
    <tabColor theme="2" tint="-0.249977111117893"/>
  </sheetPr>
  <dimension ref="A1:T21"/>
  <sheetViews>
    <sheetView zoomScale="75" zoomScaleNormal="75" workbookViewId="0">
      <pane xSplit="1" ySplit="3" topLeftCell="B4" activePane="bottomRight" state="frozen"/>
      <selection pane="topRight" activeCell="B1" sqref="B1"/>
      <selection pane="bottomLeft" activeCell="A4" sqref="A4"/>
      <selection pane="bottomRight"/>
    </sheetView>
  </sheetViews>
  <sheetFormatPr defaultColWidth="8.625" defaultRowHeight="21"/>
  <cols>
    <col min="1" max="1" width="16.375" customWidth="1"/>
    <col min="4" max="4" width="11.4375" customWidth="1"/>
    <col min="8" max="8" width="10" bestFit="1" customWidth="1"/>
    <col min="11" max="12" width="13.1875" customWidth="1"/>
    <col min="13" max="13" width="0.625" style="20" customWidth="1"/>
    <col min="16" max="16" width="11.625" customWidth="1"/>
    <col min="17" max="17" width="19.4375" customWidth="1"/>
    <col min="18" max="18" width="13.1875" customWidth="1"/>
    <col min="19" max="19" width="0.8125" style="20" customWidth="1"/>
    <col min="20" max="20" width="10.8125" bestFit="1" customWidth="1"/>
  </cols>
  <sheetData>
    <row r="1" spans="1:20">
      <c r="A1" s="3" t="s">
        <v>230</v>
      </c>
      <c r="F1" t="s">
        <v>231</v>
      </c>
    </row>
    <row r="2" spans="1:20">
      <c r="A2" s="3"/>
      <c r="G2" s="3" t="s">
        <v>232</v>
      </c>
      <c r="H2" s="3"/>
      <c r="I2" s="3"/>
      <c r="N2" s="3" t="s">
        <v>377</v>
      </c>
      <c r="O2" s="3"/>
      <c r="P2" s="3"/>
    </row>
    <row r="3" spans="1:20" ht="43.5">
      <c r="A3" s="17" t="s">
        <v>233</v>
      </c>
      <c r="B3" s="17" t="s">
        <v>234</v>
      </c>
      <c r="C3" s="17" t="s">
        <v>235</v>
      </c>
      <c r="D3" s="17" t="s">
        <v>236</v>
      </c>
      <c r="E3" s="17" t="s">
        <v>237</v>
      </c>
      <c r="F3" s="17" t="s">
        <v>238</v>
      </c>
      <c r="G3" s="17" t="s">
        <v>239</v>
      </c>
      <c r="H3" s="17" t="s">
        <v>240</v>
      </c>
      <c r="I3" s="17" t="s">
        <v>241</v>
      </c>
      <c r="J3" s="17" t="s">
        <v>242</v>
      </c>
      <c r="K3" s="17" t="s">
        <v>243</v>
      </c>
      <c r="L3" s="17" t="s">
        <v>244</v>
      </c>
      <c r="N3" s="17" t="s">
        <v>245</v>
      </c>
      <c r="O3" s="17" t="s">
        <v>246</v>
      </c>
      <c r="P3" s="17" t="s">
        <v>247</v>
      </c>
      <c r="Q3" s="17" t="s">
        <v>248</v>
      </c>
      <c r="R3" s="17" t="s">
        <v>486</v>
      </c>
      <c r="T3" s="68"/>
    </row>
    <row r="4" spans="1:20" ht="65.25" customHeight="1">
      <c r="A4" s="255" t="s">
        <v>339</v>
      </c>
      <c r="B4" s="260" t="s">
        <v>249</v>
      </c>
      <c r="C4" s="257">
        <f>B!E26</f>
        <v>730.11651861021608</v>
      </c>
      <c r="D4" s="337" t="s">
        <v>421</v>
      </c>
      <c r="E4" s="258">
        <f>'1a'!B6</f>
        <v>3.5000000000000003E-2</v>
      </c>
      <c r="F4" s="273">
        <f>(C4*E4)*D!C6</f>
        <v>18.526706659734234</v>
      </c>
      <c r="G4" s="256">
        <f>'1a'!B3</f>
        <v>13.34</v>
      </c>
      <c r="H4" s="256">
        <v>0</v>
      </c>
      <c r="I4" s="256">
        <f>G4*('1a'!B5*'1a'!B7)*52</f>
        <v>11306.984</v>
      </c>
      <c r="J4" s="256">
        <f>I4-H4</f>
        <v>11306.984</v>
      </c>
      <c r="K4" s="259">
        <f>J4*F4-R4</f>
        <v>128743.97128998653</v>
      </c>
      <c r="L4" s="259">
        <f>ROUND(K4,-5)</f>
        <v>100000</v>
      </c>
      <c r="M4" s="21"/>
      <c r="N4" s="256">
        <f>(0.12*((I4/52)-183)*52)</f>
        <v>214.91808000000006</v>
      </c>
      <c r="O4" s="256">
        <f>0.2*(IF(I4&gt;12570,I4-12570,0))</f>
        <v>0</v>
      </c>
      <c r="P4" s="256">
        <f>I4*(103.81*I4^-0.605)</f>
        <v>4142.9640826077439</v>
      </c>
      <c r="Q4" s="256">
        <f>SUM(N4:P4)</f>
        <v>4357.8821626077442</v>
      </c>
      <c r="R4" s="259">
        <f>F4*Q4</f>
        <v>80737.204484321919</v>
      </c>
      <c r="S4" s="67"/>
    </row>
    <row r="5" spans="1:20" ht="48">
      <c r="A5" s="142" t="s">
        <v>250</v>
      </c>
      <c r="B5" s="12" t="s">
        <v>249</v>
      </c>
      <c r="C5" s="145">
        <f>B!$E$25</f>
        <v>3344.1139309183968</v>
      </c>
      <c r="D5" s="338" t="s">
        <v>420</v>
      </c>
      <c r="E5" s="64">
        <f>'1a'!B8</f>
        <v>0.14399999999999999</v>
      </c>
      <c r="F5" s="13">
        <f>(C5*E5)</f>
        <v>481.55240605224913</v>
      </c>
      <c r="G5" s="12">
        <f>'1a'!B4</f>
        <v>14.67</v>
      </c>
      <c r="H5" s="14">
        <f>'1a'!B3*'1a'!B5*52</f>
        <v>24278.799999999999</v>
      </c>
      <c r="I5" s="14">
        <f>G5*'1a'!B5*52</f>
        <v>26699.4</v>
      </c>
      <c r="J5" s="14">
        <f>I5-H5</f>
        <v>2420.6000000000022</v>
      </c>
      <c r="K5" s="259">
        <f>J5*F5-R5</f>
        <v>689430.24680136167</v>
      </c>
      <c r="L5" s="65">
        <f t="shared" ref="L5:L7" si="0">ROUND(K5,-5)</f>
        <v>700000</v>
      </c>
      <c r="M5" s="21"/>
      <c r="N5" s="14">
        <f>(0.12*((I5/52)-183)*52)-(0.12*((H5/52)-183)*52)</f>
        <v>290.47200000000043</v>
      </c>
      <c r="O5" s="14">
        <f>(0.2*(IF(I5&gt;12570,I5-12570,0)))-(0.2*(IF(H5&gt;12570,H5-12570,0)))</f>
        <v>484.1200000000008</v>
      </c>
      <c r="P5" s="14">
        <f>(I5*(103.81*I5^-0.605))-(H5*(103.81*H5^-0.605))</f>
        <v>214.32530433394004</v>
      </c>
      <c r="Q5" s="12">
        <f t="shared" ref="Q5:Q6" si="1">SUM(N5:P5)</f>
        <v>988.91730433394127</v>
      </c>
      <c r="R5" s="65">
        <f>F5*Q5</f>
        <v>476215.50728871371</v>
      </c>
    </row>
    <row r="6" spans="1:20" ht="48" customHeight="1">
      <c r="A6" s="255" t="s">
        <v>338</v>
      </c>
      <c r="B6" s="256" t="s">
        <v>251</v>
      </c>
      <c r="C6" s="257">
        <f>B!E28</f>
        <v>6345.3249538244427</v>
      </c>
      <c r="D6" s="337" t="s">
        <v>419</v>
      </c>
      <c r="E6" s="258">
        <f>'1a'!B6</f>
        <v>3.5000000000000003E-2</v>
      </c>
      <c r="F6" s="273">
        <f>(C6*E6)*D!C6</f>
        <v>161.01262070329525</v>
      </c>
      <c r="G6" s="256">
        <f>'1a'!B3</f>
        <v>13.34</v>
      </c>
      <c r="H6" s="256">
        <v>0</v>
      </c>
      <c r="I6" s="256">
        <f>G4*('1a'!B5*'1a'!B7)*52</f>
        <v>11306.984</v>
      </c>
      <c r="J6" s="256">
        <f>I6-H6</f>
        <v>11306.984</v>
      </c>
      <c r="K6" s="259">
        <f>J6*F6-R6</f>
        <v>1118893.0983726117</v>
      </c>
      <c r="L6" s="259">
        <f t="shared" si="0"/>
        <v>1100000</v>
      </c>
      <c r="M6" s="21"/>
      <c r="N6" s="256">
        <f>(0.12*((I4/52)-183)*52)</f>
        <v>214.91808000000006</v>
      </c>
      <c r="O6" s="256">
        <f>(0.2*(IF(I6&gt;12570,I6-12570,0)))-(0.2*(IF(H6&gt;12570,H6-12570,0)))</f>
        <v>0</v>
      </c>
      <c r="P6" s="256">
        <f>I4*(103.81*I4^-0.605)</f>
        <v>4142.9640826077439</v>
      </c>
      <c r="Q6" s="256">
        <f t="shared" si="1"/>
        <v>4357.8821626077442</v>
      </c>
      <c r="R6" s="259">
        <f>F6*Q6</f>
        <v>701674.02771761676</v>
      </c>
    </row>
    <row r="7" spans="1:20">
      <c r="J7" s="3" t="s">
        <v>252</v>
      </c>
      <c r="K7" s="10">
        <f>SUM(K4:K6)</f>
        <v>1937067.3164639599</v>
      </c>
      <c r="L7" s="65">
        <f t="shared" si="0"/>
        <v>1900000</v>
      </c>
      <c r="M7" s="261"/>
      <c r="N7" s="71"/>
      <c r="O7" s="71"/>
      <c r="P7" s="71"/>
      <c r="Q7" s="71"/>
      <c r="R7" s="74">
        <f>SUM(R4:R6)</f>
        <v>1258626.7394906525</v>
      </c>
      <c r="S7" s="72"/>
    </row>
    <row r="8" spans="1:20">
      <c r="H8" s="29"/>
      <c r="J8" s="69"/>
      <c r="K8" s="69"/>
      <c r="L8" s="69"/>
      <c r="M8" s="262"/>
      <c r="N8" s="70"/>
      <c r="O8" s="70"/>
      <c r="P8" s="70"/>
      <c r="Q8" s="71"/>
      <c r="R8" s="71"/>
    </row>
    <row r="9" spans="1:20">
      <c r="M9" s="262"/>
      <c r="N9" s="70"/>
      <c r="O9" s="73"/>
      <c r="P9" s="73"/>
      <c r="Q9" s="10" t="s">
        <v>343</v>
      </c>
      <c r="R9" s="10">
        <f>SUM(K1:K6)</f>
        <v>1937067.3164639599</v>
      </c>
      <c r="T9" s="148"/>
    </row>
    <row r="10" spans="1:20" ht="21.5" thickBot="1">
      <c r="K10" s="73"/>
      <c r="L10" s="73"/>
      <c r="M10" s="262"/>
      <c r="N10" s="70"/>
      <c r="O10" s="73"/>
      <c r="P10" s="73"/>
      <c r="Q10" s="74" t="s">
        <v>253</v>
      </c>
      <c r="R10" s="74">
        <f>R7</f>
        <v>1258626.7394906525</v>
      </c>
      <c r="T10" s="148"/>
    </row>
    <row r="11" spans="1:20">
      <c r="M11" s="262"/>
      <c r="N11" s="70"/>
      <c r="O11" s="37"/>
      <c r="P11" s="76"/>
      <c r="Q11" s="77" t="s">
        <v>254</v>
      </c>
      <c r="R11" s="78">
        <f>R9+R10</f>
        <v>3195694.0559546123</v>
      </c>
    </row>
    <row r="12" spans="1:20" ht="21.5" thickBot="1">
      <c r="M12" s="262"/>
      <c r="N12" s="70"/>
      <c r="P12" s="5"/>
      <c r="Q12" s="79" t="s">
        <v>255</v>
      </c>
      <c r="R12" s="80">
        <f>ROUND(R11,-6)</f>
        <v>3000000</v>
      </c>
    </row>
    <row r="13" spans="1:20">
      <c r="M13" s="262"/>
      <c r="N13" s="70"/>
      <c r="P13" s="31"/>
      <c r="Q13" s="289"/>
      <c r="R13" s="147"/>
    </row>
    <row r="14" spans="1:20">
      <c r="M14" s="262"/>
      <c r="N14" s="70"/>
      <c r="O14" s="134" t="s">
        <v>380</v>
      </c>
      <c r="P14" s="134"/>
      <c r="Q14" s="163"/>
      <c r="R14" s="164"/>
    </row>
    <row r="15" spans="1:20">
      <c r="M15" s="262"/>
      <c r="N15" s="70"/>
      <c r="O15" s="134"/>
      <c r="P15" s="134"/>
      <c r="Q15" s="196" t="s">
        <v>378</v>
      </c>
      <c r="R15" s="291" t="s">
        <v>379</v>
      </c>
    </row>
    <row r="16" spans="1:20" ht="59.15" customHeight="1">
      <c r="M16" s="262"/>
      <c r="N16" s="70"/>
      <c r="O16" s="543" t="s">
        <v>319</v>
      </c>
      <c r="P16" s="543"/>
      <c r="Q16" s="288">
        <v>0.5</v>
      </c>
      <c r="R16" s="292">
        <v>-0.05</v>
      </c>
    </row>
    <row r="17" spans="13:18">
      <c r="M17" s="262"/>
      <c r="N17" s="70"/>
      <c r="O17" s="542" t="s">
        <v>318</v>
      </c>
      <c r="P17" s="542"/>
      <c r="Q17" s="198">
        <v>0.05</v>
      </c>
      <c r="R17" s="292">
        <v>-0.05</v>
      </c>
    </row>
    <row r="18" spans="13:18" ht="21" customHeight="1">
      <c r="M18" s="262"/>
      <c r="N18" s="70"/>
      <c r="O18" s="134"/>
      <c r="P18" s="200" t="s">
        <v>320</v>
      </c>
      <c r="Q18" s="438">
        <f>R11+(R11*Q16)+(R11*Q17)</f>
        <v>4953325.7867296487</v>
      </c>
      <c r="R18" s="290">
        <f>ROUND(Q18,-6)</f>
        <v>5000000</v>
      </c>
    </row>
    <row r="19" spans="13:18">
      <c r="M19" s="262"/>
      <c r="N19" s="70"/>
      <c r="O19" s="134"/>
      <c r="P19" s="200" t="s">
        <v>321</v>
      </c>
      <c r="Q19" s="290">
        <f>(R11*(1+R16))*(1+R17)</f>
        <v>2884113.8854990373</v>
      </c>
      <c r="R19" s="290">
        <f>ROUND(Q19,-6)</f>
        <v>3000000</v>
      </c>
    </row>
    <row r="20" spans="13:18">
      <c r="M20" s="262"/>
      <c r="N20" s="70"/>
    </row>
    <row r="21" spans="13:18">
      <c r="M21" s="262"/>
      <c r="N21" s="70"/>
    </row>
  </sheetData>
  <mergeCells count="2">
    <mergeCell ref="O17:P17"/>
    <mergeCell ref="O16:P1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6F08-AD8D-48E8-BD90-2753C2C2ACE3}">
  <sheetPr>
    <tabColor theme="7" tint="0.59999389629810485"/>
    <pageSetUpPr fitToPage="1"/>
  </sheetPr>
  <dimension ref="A1:C7"/>
  <sheetViews>
    <sheetView zoomScale="80" zoomScaleNormal="80" workbookViewId="0"/>
  </sheetViews>
  <sheetFormatPr defaultColWidth="8.625" defaultRowHeight="21"/>
  <cols>
    <col min="1" max="1" width="31" customWidth="1"/>
    <col min="2" max="2" width="10.75" style="93" customWidth="1"/>
    <col min="3" max="3" width="61.1875" style="94" customWidth="1"/>
  </cols>
  <sheetData>
    <row r="1" spans="1:3">
      <c r="A1" s="3" t="s">
        <v>256</v>
      </c>
    </row>
    <row r="3" spans="1:3" ht="45" customHeight="1">
      <c r="A3" s="95" t="s">
        <v>212</v>
      </c>
      <c r="B3" s="92" t="s">
        <v>213</v>
      </c>
      <c r="C3" s="92" t="s">
        <v>183</v>
      </c>
    </row>
    <row r="4" spans="1:3" ht="77.5">
      <c r="A4" s="96" t="s">
        <v>257</v>
      </c>
      <c r="B4" s="115">
        <f>0.235*2</f>
        <v>0.47</v>
      </c>
      <c r="C4" s="97" t="s">
        <v>329</v>
      </c>
    </row>
    <row r="5" spans="1:3" ht="58">
      <c r="A5" s="98" t="s">
        <v>258</v>
      </c>
      <c r="B5" s="115">
        <v>0.2</v>
      </c>
      <c r="C5" s="146" t="s">
        <v>259</v>
      </c>
    </row>
    <row r="6" spans="1:3" ht="31">
      <c r="A6" s="271" t="s">
        <v>368</v>
      </c>
      <c r="B6" s="99">
        <f>7347*(100+'C'!B78)/100*(100+'C'!B79)/100*(100+'C'!B80)/100</f>
        <v>8095.6289715839994</v>
      </c>
      <c r="C6" s="403" t="s">
        <v>509</v>
      </c>
    </row>
    <row r="7" spans="1:3" ht="63.5">
      <c r="A7" s="404" t="s">
        <v>510</v>
      </c>
      <c r="B7" s="99">
        <f>8036*(100+'C'!B78)/100*(100+'C'!B79)/100*(100+'C'!B80)/100</f>
        <v>8854.8352273920009</v>
      </c>
      <c r="C7" s="97" t="s">
        <v>260</v>
      </c>
    </row>
  </sheetData>
  <printOptions headings="1"/>
  <pageMargins left="0.70866141732283472" right="0.70866141732283472" top="0.74803149606299213" bottom="0.74803149606299213" header="0.31496062992125984" footer="0.31496062992125984"/>
  <pageSetup paperSize="9" scale="8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385A-7062-44D9-A785-03359DD818DA}">
  <sheetPr>
    <tabColor theme="7" tint="0.59999389629810485"/>
  </sheetPr>
  <dimension ref="A1:E16"/>
  <sheetViews>
    <sheetView zoomScale="75" zoomScaleNormal="75" workbookViewId="0"/>
  </sheetViews>
  <sheetFormatPr defaultColWidth="8.625" defaultRowHeight="21"/>
  <cols>
    <col min="1" max="1" width="29.375" customWidth="1"/>
    <col min="2" max="2" width="13.4375" style="105" customWidth="1"/>
    <col min="3" max="3" width="13.1875" style="234" customWidth="1"/>
    <col min="4" max="4" width="11.1875" customWidth="1"/>
    <col min="5" max="5" width="11.8125" customWidth="1"/>
  </cols>
  <sheetData>
    <row r="1" spans="1:5">
      <c r="A1" s="3" t="s">
        <v>261</v>
      </c>
      <c r="E1" t="s">
        <v>231</v>
      </c>
    </row>
    <row r="2" spans="1:5" ht="38.65" customHeight="1">
      <c r="A2" s="92" t="s">
        <v>262</v>
      </c>
      <c r="B2" s="92" t="s">
        <v>263</v>
      </c>
      <c r="C2" s="95" t="s">
        <v>369</v>
      </c>
      <c r="D2" s="92" t="s">
        <v>487</v>
      </c>
      <c r="E2" s="92" t="s">
        <v>50</v>
      </c>
    </row>
    <row r="3" spans="1:5" s="234" customFormat="1" ht="47.25" customHeight="1">
      <c r="A3" s="232" t="s">
        <v>266</v>
      </c>
      <c r="B3" s="233">
        <f>'2a'!B4</f>
        <v>0.47</v>
      </c>
      <c r="C3" s="503">
        <f>B3*B!E24</f>
        <v>4236.478564775327</v>
      </c>
      <c r="D3" s="235">
        <f>'2a'!B6</f>
        <v>8095.6289715839994</v>
      </c>
      <c r="E3" s="235">
        <f>C3*D3</f>
        <v>34296958.60648974</v>
      </c>
    </row>
    <row r="4" spans="1:5" s="234" customFormat="1" ht="51.75" customHeight="1">
      <c r="A4" s="232" t="s">
        <v>267</v>
      </c>
      <c r="B4" s="233">
        <f>'2a'!B5</f>
        <v>0.2</v>
      </c>
      <c r="C4" s="503">
        <f>B4*B!E24</f>
        <v>1802.7568360746075</v>
      </c>
      <c r="D4" s="235">
        <f>'2a'!B7</f>
        <v>8854.8352273920009</v>
      </c>
      <c r="E4" s="235">
        <f>C4*D4</f>
        <v>15963114.73849518</v>
      </c>
    </row>
    <row r="5" spans="1:5">
      <c r="A5" s="32"/>
      <c r="B5" s="106"/>
      <c r="C5" s="504"/>
      <c r="D5" s="237" t="s">
        <v>50</v>
      </c>
      <c r="E5" s="236">
        <f>SUM(E3:E4)</f>
        <v>50260073.344984919</v>
      </c>
    </row>
    <row r="6" spans="1:5" ht="21.5" thickBot="1">
      <c r="A6" s="33"/>
      <c r="B6" s="107"/>
      <c r="C6" s="506"/>
      <c r="D6" s="75" t="s">
        <v>265</v>
      </c>
      <c r="E6" s="236">
        <f>ROUND(E5,-6)</f>
        <v>50000000</v>
      </c>
    </row>
    <row r="7" spans="1:5" ht="21" customHeight="1">
      <c r="A7" s="31"/>
      <c r="B7" s="47"/>
      <c r="C7" s="507"/>
      <c r="D7" s="31"/>
      <c r="E7" s="31"/>
    </row>
    <row r="8" spans="1:5">
      <c r="A8" s="195" t="s">
        <v>316</v>
      </c>
      <c r="B8" s="196" t="s">
        <v>317</v>
      </c>
    </row>
    <row r="9" spans="1:5">
      <c r="A9" s="195"/>
      <c r="B9" s="196" t="s">
        <v>378</v>
      </c>
      <c r="C9" s="508"/>
    </row>
    <row r="10" spans="1:5">
      <c r="A10" s="197" t="s">
        <v>318</v>
      </c>
      <c r="B10" s="198">
        <v>0.05</v>
      </c>
      <c r="C10" s="509">
        <v>-0.05</v>
      </c>
    </row>
    <row r="11" spans="1:5" ht="42">
      <c r="A11" s="199" t="s">
        <v>319</v>
      </c>
      <c r="B11" s="333">
        <v>0.15</v>
      </c>
      <c r="C11" s="505">
        <v>-0.15</v>
      </c>
    </row>
    <row r="12" spans="1:5">
      <c r="A12" s="200" t="s">
        <v>320</v>
      </c>
      <c r="B12" s="201">
        <f>E6+(E6*B10)+(E6*B11)</f>
        <v>60000000</v>
      </c>
      <c r="C12" s="510">
        <f>ROUND(B12,-6)</f>
        <v>60000000</v>
      </c>
    </row>
    <row r="13" spans="1:5">
      <c r="A13" s="200" t="s">
        <v>321</v>
      </c>
      <c r="B13" s="201">
        <f>E6-(E6*B10)-(E6*B11)</f>
        <v>40000000</v>
      </c>
      <c r="C13" s="510">
        <f>ROUND(B13,-6)</f>
        <v>40000000</v>
      </c>
    </row>
    <row r="15" spans="1:5">
      <c r="A15" s="287"/>
      <c r="B15" s="334"/>
    </row>
    <row r="16" spans="1:5">
      <c r="A16" s="287"/>
      <c r="B16" s="334"/>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B6D17-1229-4178-9764-C4690E229F22}">
  <sheetPr>
    <tabColor rgb="FF00B0F0"/>
    <pageSetUpPr fitToPage="1"/>
  </sheetPr>
  <dimension ref="A1:C9"/>
  <sheetViews>
    <sheetView zoomScale="75" zoomScaleNormal="75" workbookViewId="0">
      <selection sqref="A1:C1"/>
    </sheetView>
  </sheetViews>
  <sheetFormatPr defaultColWidth="8.625" defaultRowHeight="21"/>
  <cols>
    <col min="1" max="1" width="16.1875" customWidth="1"/>
    <col min="2" max="2" width="8.625" style="93"/>
    <col min="3" max="3" width="32.1875" customWidth="1"/>
  </cols>
  <sheetData>
    <row r="1" spans="1:3">
      <c r="A1" s="544" t="s">
        <v>268</v>
      </c>
      <c r="B1" s="545"/>
      <c r="C1" s="545"/>
    </row>
    <row r="3" spans="1:3" ht="43.5">
      <c r="A3" s="108" t="s">
        <v>212</v>
      </c>
      <c r="B3" s="92" t="s">
        <v>213</v>
      </c>
      <c r="C3" s="108" t="s">
        <v>183</v>
      </c>
    </row>
    <row r="4" spans="1:3" ht="77.5">
      <c r="A4" s="239" t="s">
        <v>349</v>
      </c>
      <c r="B4" s="110">
        <v>0.3</v>
      </c>
      <c r="C4" s="97" t="s">
        <v>269</v>
      </c>
    </row>
    <row r="5" spans="1:3" ht="71.25" customHeight="1">
      <c r="A5" s="239" t="s">
        <v>351</v>
      </c>
      <c r="B5" s="110">
        <v>0.5</v>
      </c>
      <c r="C5" s="319" t="s">
        <v>481</v>
      </c>
    </row>
    <row r="6" spans="1:3" ht="65.650000000000006" customHeight="1">
      <c r="A6" s="239" t="s">
        <v>347</v>
      </c>
      <c r="B6" s="240">
        <v>3.2000000000000001E-2</v>
      </c>
      <c r="C6" s="239" t="s">
        <v>345</v>
      </c>
    </row>
    <row r="7" spans="1:3" ht="102.75" customHeight="1">
      <c r="A7" s="221" t="s">
        <v>270</v>
      </c>
      <c r="B7" s="222">
        <v>4124</v>
      </c>
      <c r="C7" s="238" t="s">
        <v>344</v>
      </c>
    </row>
    <row r="8" spans="1:3" s="89" customFormat="1" ht="31">
      <c r="A8" s="269" t="s">
        <v>488</v>
      </c>
      <c r="B8" s="111">
        <f>20141*(100+'C'!B77)/100*(100+'C'!B78)/100*(100+'C'!B79)/100</f>
        <v>21415.679136698</v>
      </c>
      <c r="C8" s="239" t="s">
        <v>350</v>
      </c>
    </row>
    <row r="9" spans="1:3" ht="100.5" customHeight="1">
      <c r="A9" s="319" t="s">
        <v>415</v>
      </c>
      <c r="B9" s="319">
        <v>1.3</v>
      </c>
      <c r="C9" s="269" t="s">
        <v>482</v>
      </c>
    </row>
  </sheetData>
  <mergeCells count="1">
    <mergeCell ref="A1:C1"/>
  </mergeCells>
  <printOptions headings="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6FA2-BBA8-461A-95AA-D807E4418DD4}">
  <sheetPr>
    <tabColor rgb="FF00B0F0"/>
  </sheetPr>
  <dimension ref="A1:F13"/>
  <sheetViews>
    <sheetView zoomScale="75" zoomScaleNormal="75" workbookViewId="0">
      <selection sqref="A1:C1"/>
    </sheetView>
  </sheetViews>
  <sheetFormatPr defaultColWidth="8.625" defaultRowHeight="21"/>
  <cols>
    <col min="1" max="1" width="14.4375" customWidth="1"/>
    <col min="2" max="2" width="10.1875" customWidth="1"/>
    <col min="3" max="3" width="9.625" customWidth="1"/>
    <col min="4" max="4" width="13.1875" customWidth="1"/>
    <col min="5" max="5" width="13" customWidth="1"/>
    <col min="6" max="6" width="12.1875" bestFit="1" customWidth="1"/>
  </cols>
  <sheetData>
    <row r="1" spans="1:6" ht="21" customHeight="1" thickBot="1">
      <c r="A1" s="546" t="s">
        <v>271</v>
      </c>
      <c r="B1" s="547"/>
      <c r="C1" s="547"/>
      <c r="D1" s="31"/>
      <c r="E1" s="31" t="s">
        <v>306</v>
      </c>
      <c r="F1" s="31"/>
    </row>
    <row r="2" spans="1:6" ht="58">
      <c r="A2" s="243" t="s">
        <v>272</v>
      </c>
      <c r="B2" s="244" t="s">
        <v>346</v>
      </c>
      <c r="C2" s="244" t="s">
        <v>273</v>
      </c>
      <c r="D2" s="244" t="s">
        <v>425</v>
      </c>
      <c r="E2" s="245" t="s">
        <v>416</v>
      </c>
    </row>
    <row r="3" spans="1:6" ht="62">
      <c r="A3" s="383" t="s">
        <v>489</v>
      </c>
      <c r="B3" s="241">
        <f>B4</f>
        <v>1363.169336787565</v>
      </c>
      <c r="C3" s="65">
        <f>('3a'!B8)/2</f>
        <v>10707.839568349</v>
      </c>
      <c r="D3" s="65">
        <f>C3*B3</f>
        <v>14596598.562813953</v>
      </c>
      <c r="E3" s="65">
        <f>D3*'3a'!B9</f>
        <v>18975578.131658141</v>
      </c>
    </row>
    <row r="4" spans="1:6" ht="46.5">
      <c r="A4" s="246" t="s">
        <v>348</v>
      </c>
      <c r="B4" s="241">
        <f>(B!H23*'3a'!B4*'3a'!B6)*'3a'!B5</f>
        <v>1363.169336787565</v>
      </c>
      <c r="C4" s="65">
        <f>'3a'!B7</f>
        <v>4124</v>
      </c>
      <c r="D4" s="65">
        <f>C4*B4</f>
        <v>5621710.344911918</v>
      </c>
      <c r="E4" s="65">
        <f>D4*'3a'!B9</f>
        <v>7308223.4483854938</v>
      </c>
      <c r="F4" s="148"/>
    </row>
    <row r="5" spans="1:6">
      <c r="A5" s="247"/>
      <c r="B5" s="31"/>
      <c r="D5" s="413" t="s">
        <v>473</v>
      </c>
      <c r="E5" s="65">
        <f t="shared" ref="E5" si="0">SUM(E3:E4)</f>
        <v>26283801.580043636</v>
      </c>
    </row>
    <row r="6" spans="1:6">
      <c r="A6" s="247"/>
      <c r="D6" s="242"/>
    </row>
    <row r="7" spans="1:6" ht="21.5" thickBot="1">
      <c r="A7" s="5"/>
      <c r="B7" s="81"/>
      <c r="D7" s="248" t="s">
        <v>265</v>
      </c>
      <c r="E7" s="347">
        <f>ROUND(E5,-6)</f>
        <v>26000000</v>
      </c>
    </row>
    <row r="9" spans="1:6" ht="37.5" customHeight="1">
      <c r="B9" s="549" t="s">
        <v>316</v>
      </c>
      <c r="C9" s="549"/>
      <c r="D9" s="196" t="s">
        <v>317</v>
      </c>
    </row>
    <row r="10" spans="1:6">
      <c r="B10" s="550" t="s">
        <v>318</v>
      </c>
      <c r="C10" s="550"/>
      <c r="D10" s="198">
        <v>0.05</v>
      </c>
    </row>
    <row r="11" spans="1:6" ht="38.25" customHeight="1">
      <c r="B11" s="551" t="s">
        <v>319</v>
      </c>
      <c r="C11" s="551"/>
      <c r="D11" s="198">
        <v>0.15</v>
      </c>
      <c r="E11" s="203" t="s">
        <v>322</v>
      </c>
    </row>
    <row r="12" spans="1:6">
      <c r="B12" s="548" t="s">
        <v>320</v>
      </c>
      <c r="C12" s="548"/>
      <c r="D12" s="201">
        <f>E5+(E5*D10)+(E5*D11)</f>
        <v>31540561.896052364</v>
      </c>
      <c r="E12" s="201">
        <f>ROUND(D12,-6)</f>
        <v>32000000</v>
      </c>
    </row>
    <row r="13" spans="1:6">
      <c r="B13" s="548" t="s">
        <v>321</v>
      </c>
      <c r="C13" s="548"/>
      <c r="D13" s="201">
        <f>E5-(E5*D10)-(E5*D11)</f>
        <v>21027041.264034908</v>
      </c>
      <c r="E13" s="201">
        <f>ROUND(D13,-6)</f>
        <v>21000000</v>
      </c>
    </row>
  </sheetData>
  <mergeCells count="6">
    <mergeCell ref="A1:C1"/>
    <mergeCell ref="B13:C13"/>
    <mergeCell ref="B9:C9"/>
    <mergeCell ref="B10:C10"/>
    <mergeCell ref="B11:C11"/>
    <mergeCell ref="B12:C12"/>
  </mergeCells>
  <pageMargins left="0.7" right="0.7" top="0.75" bottom="0.75" header="0.3" footer="0.3"/>
  <pageSetup paperSize="9"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8CCD2-DCCD-426C-83FE-5D82F2F50DD0}">
  <sheetPr>
    <tabColor theme="9" tint="0.59999389629810485"/>
    <pageSetUpPr fitToPage="1"/>
  </sheetPr>
  <dimension ref="A1:L148"/>
  <sheetViews>
    <sheetView zoomScale="90" zoomScaleNormal="90" workbookViewId="0"/>
  </sheetViews>
  <sheetFormatPr defaultColWidth="8.625" defaultRowHeight="30" customHeight="1"/>
  <cols>
    <col min="1" max="1" width="24.1875" customWidth="1"/>
    <col min="2" max="2" width="11" customWidth="1"/>
    <col min="3" max="3" width="8.1875" customWidth="1"/>
    <col min="4" max="4" width="51.5625" customWidth="1"/>
    <col min="5" max="5" width="10.8125" customWidth="1"/>
    <col min="6" max="6" width="9.75" bestFit="1" customWidth="1"/>
    <col min="7" max="7" width="9.25" bestFit="1" customWidth="1"/>
  </cols>
  <sheetData>
    <row r="1" spans="1:12" ht="30" customHeight="1">
      <c r="A1" s="3" t="s">
        <v>275</v>
      </c>
    </row>
    <row r="2" spans="1:12" ht="11.25" customHeight="1"/>
    <row r="3" spans="1:12" ht="43.5" customHeight="1">
      <c r="A3" s="92" t="s">
        <v>212</v>
      </c>
      <c r="B3" s="92" t="s">
        <v>213</v>
      </c>
      <c r="C3" s="92" t="s">
        <v>276</v>
      </c>
      <c r="D3" s="92" t="s">
        <v>183</v>
      </c>
      <c r="F3" s="400"/>
      <c r="G3" s="401"/>
      <c r="L3" s="148">
        <f>B8</f>
        <v>1424.000809866714</v>
      </c>
    </row>
    <row r="4" spans="1:12" ht="63" customHeight="1">
      <c r="A4" s="293" t="s">
        <v>410</v>
      </c>
      <c r="B4" s="175">
        <f>D!B18*0.9849</f>
        <v>1671.0621018000002</v>
      </c>
      <c r="C4" s="176" t="s">
        <v>277</v>
      </c>
      <c r="D4" s="267" t="s">
        <v>355</v>
      </c>
      <c r="E4" s="149"/>
      <c r="F4" s="149"/>
      <c r="G4" s="149"/>
      <c r="H4" s="149"/>
      <c r="L4" s="148">
        <f>L3</f>
        <v>1424.000809866714</v>
      </c>
    </row>
    <row r="5" spans="1:12" ht="45" customHeight="1">
      <c r="A5" s="293" t="s">
        <v>395</v>
      </c>
      <c r="B5" s="294">
        <f>B!B12*B!E27</f>
        <v>21880.430875256701</v>
      </c>
      <c r="C5" s="293" t="s">
        <v>381</v>
      </c>
      <c r="D5" s="364" t="s">
        <v>451</v>
      </c>
      <c r="L5" s="148">
        <f t="shared" ref="L5:L68" si="0">L4</f>
        <v>1424.000809866714</v>
      </c>
    </row>
    <row r="6" spans="1:12" ht="48" customHeight="1">
      <c r="A6" s="293" t="s">
        <v>382</v>
      </c>
      <c r="B6" s="310">
        <f>27000*(100+'C'!B74)/100*(100+'C'!B75)/100*(100+'C'!B76)/100*(100+'C'!B77)/100*(100+'C'!B78)/100*(100+'C'!B79)/100*(100+'C'!B80)/100</f>
        <v>31730.71245699143</v>
      </c>
      <c r="C6" s="295" t="s">
        <v>381</v>
      </c>
      <c r="D6" s="381" t="s">
        <v>483</v>
      </c>
      <c r="L6" s="148">
        <f t="shared" si="0"/>
        <v>1424.000809866714</v>
      </c>
    </row>
    <row r="7" spans="1:12" ht="30" customHeight="1">
      <c r="A7" s="293" t="s">
        <v>396</v>
      </c>
      <c r="B7" s="294">
        <v>44</v>
      </c>
      <c r="C7" s="295"/>
      <c r="D7" s="364" t="s">
        <v>452</v>
      </c>
      <c r="L7" s="148">
        <f t="shared" si="0"/>
        <v>1424.000809866714</v>
      </c>
    </row>
    <row r="8" spans="1:12" ht="49.5" customHeight="1">
      <c r="A8" s="381" t="s">
        <v>484</v>
      </c>
      <c r="B8" s="380">
        <f>-PMT(' A all'!$C$25,$B$7,B6,0,0)</f>
        <v>1424.000809866714</v>
      </c>
      <c r="C8" s="295"/>
      <c r="D8" s="364" t="s">
        <v>455</v>
      </c>
      <c r="L8" s="148">
        <f t="shared" si="0"/>
        <v>1424.000809866714</v>
      </c>
    </row>
    <row r="9" spans="1:12" ht="30" customHeight="1">
      <c r="A9" s="293" t="s">
        <v>383</v>
      </c>
      <c r="B9" s="310">
        <f>11000*(100+'C'!B74)/100*(100+'C'!B75)/100*(100+'C'!B76)/100*(100+'C'!B77)/100*(100+'C'!B78)/100*(100+'C'!B79)/100*(100+'C'!B80)/100</f>
        <v>12927.327297292803</v>
      </c>
      <c r="C9" s="295" t="s">
        <v>384</v>
      </c>
      <c r="D9" s="364" t="s">
        <v>453</v>
      </c>
      <c r="L9" s="148">
        <f t="shared" si="0"/>
        <v>1424.000809866714</v>
      </c>
    </row>
    <row r="10" spans="1:12" ht="30" customHeight="1">
      <c r="A10" s="364" t="s">
        <v>462</v>
      </c>
      <c r="B10" s="380">
        <f>-PMT(' A all'!$C$25,$B$7,B9,0,0)</f>
        <v>580.14847809384628</v>
      </c>
      <c r="C10" s="295"/>
      <c r="D10" s="364" t="s">
        <v>455</v>
      </c>
      <c r="L10" s="148">
        <f t="shared" si="0"/>
        <v>1424.000809866714</v>
      </c>
    </row>
    <row r="11" spans="1:12" ht="45.75" customHeight="1">
      <c r="A11" s="293" t="s">
        <v>385</v>
      </c>
      <c r="B11" s="296">
        <v>0.72</v>
      </c>
      <c r="C11" s="297" t="s">
        <v>277</v>
      </c>
      <c r="D11" s="293" t="s">
        <v>386</v>
      </c>
      <c r="L11" s="148">
        <f t="shared" si="0"/>
        <v>1424.000809866714</v>
      </c>
    </row>
    <row r="12" spans="1:12" ht="30" customHeight="1">
      <c r="A12" s="298" t="s">
        <v>387</v>
      </c>
      <c r="B12" s="299">
        <f>B!H22*B!D11*B!D12</f>
        <v>9342.8399999999983</v>
      </c>
      <c r="C12" s="300"/>
      <c r="D12" s="298" t="s">
        <v>388</v>
      </c>
      <c r="L12" s="148">
        <f t="shared" si="0"/>
        <v>1424.000809866714</v>
      </c>
    </row>
    <row r="13" spans="1:12" ht="49.5" customHeight="1">
      <c r="A13" s="298" t="s">
        <v>389</v>
      </c>
      <c r="B13" s="301">
        <v>0.2</v>
      </c>
      <c r="C13" s="302"/>
      <c r="D13" s="298" t="s">
        <v>397</v>
      </c>
      <c r="L13" s="148">
        <f t="shared" si="0"/>
        <v>1424.000809866714</v>
      </c>
    </row>
    <row r="14" spans="1:12" ht="76.5" customHeight="1">
      <c r="A14" s="293" t="s">
        <v>390</v>
      </c>
      <c r="B14" s="310">
        <f>183000*(100+'C'!B73)/100*(100+'C'!B74)/100*(100+'C'!B75)/100*(100+'C'!B76)/100*(100+'C'!B77)/100*(100+'C'!B78)/100*(100+'C'!B79)/100*(100+'C'!B80)/100</f>
        <v>218934.86468380596</v>
      </c>
      <c r="C14" s="295" t="s">
        <v>384</v>
      </c>
      <c r="D14" s="293" t="s">
        <v>413</v>
      </c>
      <c r="L14" s="148">
        <f t="shared" si="0"/>
        <v>1424.000809866714</v>
      </c>
    </row>
    <row r="15" spans="1:12" ht="35.25" customHeight="1">
      <c r="A15" s="364" t="s">
        <v>454</v>
      </c>
      <c r="B15" s="380">
        <f>-PMT(' A all'!C25,B7,B14,0,0)</f>
        <v>9825.2891434559115</v>
      </c>
      <c r="C15" s="295"/>
      <c r="D15" s="364" t="s">
        <v>455</v>
      </c>
      <c r="L15" s="148">
        <f t="shared" si="0"/>
        <v>1424.000809866714</v>
      </c>
    </row>
    <row r="16" spans="1:12" ht="75.75" customHeight="1">
      <c r="A16" s="293" t="s">
        <v>391</v>
      </c>
      <c r="B16" s="365">
        <f>285000*(100+'C'!B73)/100*(100+'C'!B74)/100*(100+'C'!B75)/100*(100+'C'!B76)/100*(100+'C'!B77)/100*(100+'C'!B78)/100*(100+'C'!B79)/100*(100+'C'!B80)/100</f>
        <v>340964.13352396013</v>
      </c>
      <c r="C16" s="295" t="s">
        <v>384</v>
      </c>
      <c r="D16" s="405" t="s">
        <v>414</v>
      </c>
      <c r="L16" s="148">
        <f t="shared" si="0"/>
        <v>1424.000809866714</v>
      </c>
    </row>
    <row r="17" spans="1:12" ht="30" customHeight="1">
      <c r="A17" s="384" t="s">
        <v>456</v>
      </c>
      <c r="B17" s="380">
        <f>-PMT(' A all'!C25,B7,B16,0,0)</f>
        <v>15301.679813578878</v>
      </c>
      <c r="C17" s="385"/>
      <c r="D17" s="364" t="s">
        <v>455</v>
      </c>
      <c r="L17" s="148">
        <f t="shared" si="0"/>
        <v>1424.000809866714</v>
      </c>
    </row>
    <row r="18" spans="1:12" ht="30" customHeight="1">
      <c r="L18" s="148">
        <f t="shared" si="0"/>
        <v>1424.000809866714</v>
      </c>
    </row>
    <row r="19" spans="1:12" ht="30" customHeight="1">
      <c r="L19" s="148">
        <f t="shared" si="0"/>
        <v>1424.000809866714</v>
      </c>
    </row>
    <row r="20" spans="1:12" ht="30" customHeight="1">
      <c r="L20" s="148">
        <f t="shared" si="0"/>
        <v>1424.000809866714</v>
      </c>
    </row>
    <row r="21" spans="1:12" ht="30" customHeight="1">
      <c r="L21" s="148">
        <f t="shared" si="0"/>
        <v>1424.000809866714</v>
      </c>
    </row>
    <row r="22" spans="1:12" ht="30" customHeight="1">
      <c r="L22" s="148">
        <f t="shared" si="0"/>
        <v>1424.000809866714</v>
      </c>
    </row>
    <row r="23" spans="1:12" ht="30" customHeight="1">
      <c r="L23" s="148">
        <f t="shared" si="0"/>
        <v>1424.000809866714</v>
      </c>
    </row>
    <row r="24" spans="1:12" ht="30" customHeight="1">
      <c r="L24" s="148">
        <f t="shared" si="0"/>
        <v>1424.000809866714</v>
      </c>
    </row>
    <row r="25" spans="1:12" ht="30" customHeight="1">
      <c r="L25" s="148">
        <f t="shared" si="0"/>
        <v>1424.000809866714</v>
      </c>
    </row>
    <row r="26" spans="1:12" ht="30" customHeight="1">
      <c r="L26" s="148">
        <f t="shared" si="0"/>
        <v>1424.000809866714</v>
      </c>
    </row>
    <row r="27" spans="1:12" ht="30" customHeight="1">
      <c r="L27" s="148">
        <f t="shared" si="0"/>
        <v>1424.000809866714</v>
      </c>
    </row>
    <row r="28" spans="1:12" ht="30" customHeight="1">
      <c r="L28" s="148">
        <f t="shared" si="0"/>
        <v>1424.000809866714</v>
      </c>
    </row>
    <row r="29" spans="1:12" ht="30" customHeight="1">
      <c r="L29" s="148">
        <f t="shared" si="0"/>
        <v>1424.000809866714</v>
      </c>
    </row>
    <row r="30" spans="1:12" ht="30" customHeight="1">
      <c r="L30" s="148">
        <f t="shared" si="0"/>
        <v>1424.000809866714</v>
      </c>
    </row>
    <row r="31" spans="1:12" ht="30" customHeight="1">
      <c r="L31" s="148">
        <f t="shared" si="0"/>
        <v>1424.000809866714</v>
      </c>
    </row>
    <row r="32" spans="1:12" ht="30" customHeight="1">
      <c r="L32" s="148">
        <f t="shared" si="0"/>
        <v>1424.000809866714</v>
      </c>
    </row>
    <row r="33" spans="12:12" ht="30" customHeight="1">
      <c r="L33" s="148">
        <f t="shared" si="0"/>
        <v>1424.000809866714</v>
      </c>
    </row>
    <row r="34" spans="12:12" ht="30" customHeight="1">
      <c r="L34" s="148">
        <f t="shared" si="0"/>
        <v>1424.000809866714</v>
      </c>
    </row>
    <row r="35" spans="12:12" ht="30" customHeight="1">
      <c r="L35" s="148">
        <f t="shared" si="0"/>
        <v>1424.000809866714</v>
      </c>
    </row>
    <row r="36" spans="12:12" ht="30" customHeight="1">
      <c r="L36" s="148">
        <f t="shared" si="0"/>
        <v>1424.000809866714</v>
      </c>
    </row>
    <row r="37" spans="12:12" ht="30" customHeight="1">
      <c r="L37" s="148">
        <f t="shared" si="0"/>
        <v>1424.000809866714</v>
      </c>
    </row>
    <row r="38" spans="12:12" ht="30" customHeight="1">
      <c r="L38" s="148">
        <f t="shared" si="0"/>
        <v>1424.000809866714</v>
      </c>
    </row>
    <row r="39" spans="12:12" ht="30" customHeight="1">
      <c r="L39" s="148">
        <f t="shared" si="0"/>
        <v>1424.000809866714</v>
      </c>
    </row>
    <row r="40" spans="12:12" ht="30" customHeight="1">
      <c r="L40" s="148">
        <f t="shared" si="0"/>
        <v>1424.000809866714</v>
      </c>
    </row>
    <row r="41" spans="12:12" ht="30" customHeight="1">
      <c r="L41" s="148">
        <f t="shared" si="0"/>
        <v>1424.000809866714</v>
      </c>
    </row>
    <row r="42" spans="12:12" ht="30" customHeight="1">
      <c r="L42" s="148">
        <f t="shared" si="0"/>
        <v>1424.000809866714</v>
      </c>
    </row>
    <row r="43" spans="12:12" ht="30" customHeight="1">
      <c r="L43" s="148">
        <f t="shared" si="0"/>
        <v>1424.000809866714</v>
      </c>
    </row>
    <row r="44" spans="12:12" ht="30" customHeight="1">
      <c r="L44" s="148">
        <f t="shared" si="0"/>
        <v>1424.000809866714</v>
      </c>
    </row>
    <row r="45" spans="12:12" ht="30" customHeight="1">
      <c r="L45" s="148">
        <f t="shared" si="0"/>
        <v>1424.000809866714</v>
      </c>
    </row>
    <row r="46" spans="12:12" ht="30" customHeight="1">
      <c r="L46" s="148">
        <f t="shared" si="0"/>
        <v>1424.000809866714</v>
      </c>
    </row>
    <row r="47" spans="12:12" ht="30" customHeight="1">
      <c r="L47" s="148">
        <f t="shared" si="0"/>
        <v>1424.000809866714</v>
      </c>
    </row>
    <row r="48" spans="12:12" ht="30" customHeight="1">
      <c r="L48" s="148">
        <f t="shared" si="0"/>
        <v>1424.000809866714</v>
      </c>
    </row>
    <row r="49" spans="12:12" ht="30" customHeight="1">
      <c r="L49" s="148">
        <f t="shared" si="0"/>
        <v>1424.000809866714</v>
      </c>
    </row>
    <row r="50" spans="12:12" ht="30" customHeight="1">
      <c r="L50" s="148">
        <f t="shared" si="0"/>
        <v>1424.000809866714</v>
      </c>
    </row>
    <row r="51" spans="12:12" ht="30" customHeight="1">
      <c r="L51" s="148">
        <f t="shared" si="0"/>
        <v>1424.000809866714</v>
      </c>
    </row>
    <row r="52" spans="12:12" ht="30" customHeight="1">
      <c r="L52" s="148">
        <f t="shared" si="0"/>
        <v>1424.000809866714</v>
      </c>
    </row>
    <row r="53" spans="12:12" ht="30" customHeight="1">
      <c r="L53" s="148">
        <f t="shared" si="0"/>
        <v>1424.000809866714</v>
      </c>
    </row>
    <row r="54" spans="12:12" ht="30" customHeight="1">
      <c r="L54" s="148">
        <f t="shared" si="0"/>
        <v>1424.000809866714</v>
      </c>
    </row>
    <row r="55" spans="12:12" ht="30" customHeight="1">
      <c r="L55" s="148">
        <f t="shared" si="0"/>
        <v>1424.000809866714</v>
      </c>
    </row>
    <row r="56" spans="12:12" ht="30" customHeight="1">
      <c r="L56" s="148">
        <f t="shared" si="0"/>
        <v>1424.000809866714</v>
      </c>
    </row>
    <row r="57" spans="12:12" ht="30" customHeight="1">
      <c r="L57" s="148">
        <f t="shared" si="0"/>
        <v>1424.000809866714</v>
      </c>
    </row>
    <row r="58" spans="12:12" ht="30" customHeight="1">
      <c r="L58" s="148">
        <f t="shared" si="0"/>
        <v>1424.000809866714</v>
      </c>
    </row>
    <row r="59" spans="12:12" ht="30" customHeight="1">
      <c r="L59" s="148">
        <f t="shared" si="0"/>
        <v>1424.000809866714</v>
      </c>
    </row>
    <row r="60" spans="12:12" ht="30" customHeight="1">
      <c r="L60" s="148">
        <f t="shared" si="0"/>
        <v>1424.000809866714</v>
      </c>
    </row>
    <row r="61" spans="12:12" ht="30" customHeight="1">
      <c r="L61" s="148">
        <f t="shared" si="0"/>
        <v>1424.000809866714</v>
      </c>
    </row>
    <row r="62" spans="12:12" ht="30" customHeight="1">
      <c r="L62" s="148">
        <f t="shared" si="0"/>
        <v>1424.000809866714</v>
      </c>
    </row>
    <row r="63" spans="12:12" ht="30" customHeight="1">
      <c r="L63" s="148">
        <f t="shared" si="0"/>
        <v>1424.000809866714</v>
      </c>
    </row>
    <row r="64" spans="12:12" ht="30" customHeight="1">
      <c r="L64" s="148">
        <f t="shared" si="0"/>
        <v>1424.000809866714</v>
      </c>
    </row>
    <row r="65" spans="12:12" ht="30" customHeight="1">
      <c r="L65" s="148">
        <f t="shared" si="0"/>
        <v>1424.000809866714</v>
      </c>
    </row>
    <row r="66" spans="12:12" ht="30" customHeight="1">
      <c r="L66" s="148">
        <f t="shared" si="0"/>
        <v>1424.000809866714</v>
      </c>
    </row>
    <row r="67" spans="12:12" ht="30" customHeight="1">
      <c r="L67" s="148">
        <f t="shared" si="0"/>
        <v>1424.000809866714</v>
      </c>
    </row>
    <row r="68" spans="12:12" ht="30" customHeight="1">
      <c r="L68" s="148">
        <f t="shared" si="0"/>
        <v>1424.000809866714</v>
      </c>
    </row>
    <row r="69" spans="12:12" ht="30" customHeight="1">
      <c r="L69" s="148">
        <f t="shared" ref="L69:L132" si="1">L68</f>
        <v>1424.000809866714</v>
      </c>
    </row>
    <row r="70" spans="12:12" ht="30" customHeight="1">
      <c r="L70" s="148">
        <f t="shared" si="1"/>
        <v>1424.000809866714</v>
      </c>
    </row>
    <row r="71" spans="12:12" ht="30" customHeight="1">
      <c r="L71" s="148">
        <f t="shared" si="1"/>
        <v>1424.000809866714</v>
      </c>
    </row>
    <row r="72" spans="12:12" ht="30" customHeight="1">
      <c r="L72" s="148">
        <f t="shared" si="1"/>
        <v>1424.000809866714</v>
      </c>
    </row>
    <row r="73" spans="12:12" ht="30" customHeight="1">
      <c r="L73" s="148">
        <f t="shared" si="1"/>
        <v>1424.000809866714</v>
      </c>
    </row>
    <row r="74" spans="12:12" ht="30" customHeight="1">
      <c r="L74" s="148">
        <f t="shared" si="1"/>
        <v>1424.000809866714</v>
      </c>
    </row>
    <row r="75" spans="12:12" ht="30" customHeight="1">
      <c r="L75" s="148">
        <f t="shared" si="1"/>
        <v>1424.000809866714</v>
      </c>
    </row>
    <row r="76" spans="12:12" ht="30" customHeight="1">
      <c r="L76" s="148">
        <f t="shared" si="1"/>
        <v>1424.000809866714</v>
      </c>
    </row>
    <row r="77" spans="12:12" ht="30" customHeight="1">
      <c r="L77" s="148">
        <f t="shared" si="1"/>
        <v>1424.000809866714</v>
      </c>
    </row>
    <row r="78" spans="12:12" ht="30" customHeight="1">
      <c r="L78" s="148">
        <f t="shared" si="1"/>
        <v>1424.000809866714</v>
      </c>
    </row>
    <row r="79" spans="12:12" ht="30" customHeight="1">
      <c r="L79" s="148">
        <f t="shared" si="1"/>
        <v>1424.000809866714</v>
      </c>
    </row>
    <row r="80" spans="12:12" ht="30" customHeight="1">
      <c r="L80" s="148">
        <f t="shared" si="1"/>
        <v>1424.000809866714</v>
      </c>
    </row>
    <row r="81" spans="12:12" ht="30" customHeight="1">
      <c r="L81" s="148">
        <f t="shared" si="1"/>
        <v>1424.000809866714</v>
      </c>
    </row>
    <row r="82" spans="12:12" ht="30" customHeight="1">
      <c r="L82" s="148">
        <f t="shared" si="1"/>
        <v>1424.000809866714</v>
      </c>
    </row>
    <row r="83" spans="12:12" ht="30" customHeight="1">
      <c r="L83" s="148">
        <f t="shared" si="1"/>
        <v>1424.000809866714</v>
      </c>
    </row>
    <row r="84" spans="12:12" ht="30" customHeight="1">
      <c r="L84" s="148">
        <f t="shared" si="1"/>
        <v>1424.000809866714</v>
      </c>
    </row>
    <row r="85" spans="12:12" ht="30" customHeight="1">
      <c r="L85" s="148">
        <f t="shared" si="1"/>
        <v>1424.000809866714</v>
      </c>
    </row>
    <row r="86" spans="12:12" ht="30" customHeight="1">
      <c r="L86" s="148">
        <f t="shared" si="1"/>
        <v>1424.000809866714</v>
      </c>
    </row>
    <row r="87" spans="12:12" ht="30" customHeight="1">
      <c r="L87" s="148">
        <f t="shared" si="1"/>
        <v>1424.000809866714</v>
      </c>
    </row>
    <row r="88" spans="12:12" ht="30" customHeight="1">
      <c r="L88" s="148">
        <f t="shared" si="1"/>
        <v>1424.000809866714</v>
      </c>
    </row>
    <row r="89" spans="12:12" ht="30" customHeight="1">
      <c r="L89" s="148">
        <f t="shared" si="1"/>
        <v>1424.000809866714</v>
      </c>
    </row>
    <row r="90" spans="12:12" ht="30" customHeight="1">
      <c r="L90" s="148">
        <f t="shared" si="1"/>
        <v>1424.000809866714</v>
      </c>
    </row>
    <row r="91" spans="12:12" ht="30" customHeight="1">
      <c r="L91" s="148">
        <f t="shared" si="1"/>
        <v>1424.000809866714</v>
      </c>
    </row>
    <row r="92" spans="12:12" ht="30" customHeight="1">
      <c r="L92" s="148">
        <f t="shared" si="1"/>
        <v>1424.000809866714</v>
      </c>
    </row>
    <row r="93" spans="12:12" ht="30" customHeight="1">
      <c r="L93" s="148">
        <f t="shared" si="1"/>
        <v>1424.000809866714</v>
      </c>
    </row>
    <row r="94" spans="12:12" ht="30" customHeight="1">
      <c r="L94" s="148">
        <f t="shared" si="1"/>
        <v>1424.000809866714</v>
      </c>
    </row>
    <row r="95" spans="12:12" ht="30" customHeight="1">
      <c r="L95" s="148">
        <f t="shared" si="1"/>
        <v>1424.000809866714</v>
      </c>
    </row>
    <row r="96" spans="12:12" ht="30" customHeight="1">
      <c r="L96" s="148">
        <f t="shared" si="1"/>
        <v>1424.000809866714</v>
      </c>
    </row>
    <row r="97" spans="12:12" ht="30" customHeight="1">
      <c r="L97" s="148">
        <f t="shared" si="1"/>
        <v>1424.000809866714</v>
      </c>
    </row>
    <row r="98" spans="12:12" ht="30" customHeight="1">
      <c r="L98" s="148">
        <f t="shared" si="1"/>
        <v>1424.000809866714</v>
      </c>
    </row>
    <row r="99" spans="12:12" ht="30" customHeight="1">
      <c r="L99" s="148">
        <f t="shared" si="1"/>
        <v>1424.000809866714</v>
      </c>
    </row>
    <row r="100" spans="12:12" ht="30" customHeight="1">
      <c r="L100" s="148">
        <f t="shared" si="1"/>
        <v>1424.000809866714</v>
      </c>
    </row>
    <row r="101" spans="12:12" ht="30" customHeight="1">
      <c r="L101" s="148">
        <f t="shared" si="1"/>
        <v>1424.000809866714</v>
      </c>
    </row>
    <row r="102" spans="12:12" ht="30" customHeight="1">
      <c r="L102" s="148">
        <f t="shared" si="1"/>
        <v>1424.000809866714</v>
      </c>
    </row>
    <row r="103" spans="12:12" ht="30" customHeight="1">
      <c r="L103" s="148">
        <f t="shared" si="1"/>
        <v>1424.000809866714</v>
      </c>
    </row>
    <row r="104" spans="12:12" ht="30" customHeight="1">
      <c r="L104" s="148">
        <f t="shared" si="1"/>
        <v>1424.000809866714</v>
      </c>
    </row>
    <row r="105" spans="12:12" ht="30" customHeight="1">
      <c r="L105" s="148">
        <f t="shared" si="1"/>
        <v>1424.000809866714</v>
      </c>
    </row>
    <row r="106" spans="12:12" ht="30" customHeight="1">
      <c r="L106" s="148">
        <f t="shared" si="1"/>
        <v>1424.000809866714</v>
      </c>
    </row>
    <row r="107" spans="12:12" ht="30" customHeight="1">
      <c r="L107" s="148">
        <f t="shared" si="1"/>
        <v>1424.000809866714</v>
      </c>
    </row>
    <row r="108" spans="12:12" ht="30" customHeight="1">
      <c r="L108" s="148">
        <f t="shared" si="1"/>
        <v>1424.000809866714</v>
      </c>
    </row>
    <row r="109" spans="12:12" ht="30" customHeight="1">
      <c r="L109" s="148">
        <f t="shared" si="1"/>
        <v>1424.000809866714</v>
      </c>
    </row>
    <row r="110" spans="12:12" ht="30" customHeight="1">
      <c r="L110" s="148">
        <f t="shared" si="1"/>
        <v>1424.000809866714</v>
      </c>
    </row>
    <row r="111" spans="12:12" ht="30" customHeight="1">
      <c r="L111" s="148">
        <f t="shared" si="1"/>
        <v>1424.000809866714</v>
      </c>
    </row>
    <row r="112" spans="12:12" ht="30" customHeight="1">
      <c r="L112" s="148">
        <f t="shared" si="1"/>
        <v>1424.000809866714</v>
      </c>
    </row>
    <row r="113" spans="12:12" ht="30" customHeight="1">
      <c r="L113" s="148">
        <f t="shared" si="1"/>
        <v>1424.000809866714</v>
      </c>
    </row>
    <row r="114" spans="12:12" ht="30" customHeight="1">
      <c r="L114" s="148">
        <f t="shared" si="1"/>
        <v>1424.000809866714</v>
      </c>
    </row>
    <row r="115" spans="12:12" ht="30" customHeight="1">
      <c r="L115" s="148">
        <f t="shared" si="1"/>
        <v>1424.000809866714</v>
      </c>
    </row>
    <row r="116" spans="12:12" ht="30" customHeight="1">
      <c r="L116" s="148">
        <f t="shared" si="1"/>
        <v>1424.000809866714</v>
      </c>
    </row>
    <row r="117" spans="12:12" ht="30" customHeight="1">
      <c r="L117" s="148">
        <f t="shared" si="1"/>
        <v>1424.000809866714</v>
      </c>
    </row>
    <row r="118" spans="12:12" ht="30" customHeight="1">
      <c r="L118" s="148">
        <f t="shared" si="1"/>
        <v>1424.000809866714</v>
      </c>
    </row>
    <row r="119" spans="12:12" ht="30" customHeight="1">
      <c r="L119" s="148">
        <f t="shared" si="1"/>
        <v>1424.000809866714</v>
      </c>
    </row>
    <row r="120" spans="12:12" ht="30" customHeight="1">
      <c r="L120" s="148">
        <f t="shared" si="1"/>
        <v>1424.000809866714</v>
      </c>
    </row>
    <row r="121" spans="12:12" ht="30" customHeight="1">
      <c r="L121" s="148">
        <f t="shared" si="1"/>
        <v>1424.000809866714</v>
      </c>
    </row>
    <row r="122" spans="12:12" ht="30" customHeight="1">
      <c r="L122" s="148">
        <f t="shared" si="1"/>
        <v>1424.000809866714</v>
      </c>
    </row>
    <row r="123" spans="12:12" ht="30" customHeight="1">
      <c r="L123" s="148">
        <f t="shared" si="1"/>
        <v>1424.000809866714</v>
      </c>
    </row>
    <row r="124" spans="12:12" ht="30" customHeight="1">
      <c r="L124" s="148">
        <f t="shared" si="1"/>
        <v>1424.000809866714</v>
      </c>
    </row>
    <row r="125" spans="12:12" ht="30" customHeight="1">
      <c r="L125" s="148">
        <f t="shared" si="1"/>
        <v>1424.000809866714</v>
      </c>
    </row>
    <row r="126" spans="12:12" ht="30" customHeight="1">
      <c r="L126" s="148">
        <f t="shared" si="1"/>
        <v>1424.000809866714</v>
      </c>
    </row>
    <row r="127" spans="12:12" ht="30" customHeight="1">
      <c r="L127" s="148">
        <f t="shared" si="1"/>
        <v>1424.000809866714</v>
      </c>
    </row>
    <row r="128" spans="12:12" ht="30" customHeight="1">
      <c r="L128" s="148">
        <f t="shared" si="1"/>
        <v>1424.000809866714</v>
      </c>
    </row>
    <row r="129" spans="12:12" ht="30" customHeight="1">
      <c r="L129" s="148">
        <f t="shared" si="1"/>
        <v>1424.000809866714</v>
      </c>
    </row>
    <row r="130" spans="12:12" ht="30" customHeight="1">
      <c r="L130" s="148">
        <f t="shared" si="1"/>
        <v>1424.000809866714</v>
      </c>
    </row>
    <row r="131" spans="12:12" ht="30" customHeight="1">
      <c r="L131" s="148">
        <f t="shared" si="1"/>
        <v>1424.000809866714</v>
      </c>
    </row>
    <row r="132" spans="12:12" ht="30" customHeight="1">
      <c r="L132" s="148">
        <f t="shared" si="1"/>
        <v>1424.000809866714</v>
      </c>
    </row>
    <row r="133" spans="12:12" ht="30" customHeight="1">
      <c r="L133" s="148">
        <f t="shared" ref="L133:L146" si="2">L132</f>
        <v>1424.000809866714</v>
      </c>
    </row>
    <row r="134" spans="12:12" ht="30" customHeight="1">
      <c r="L134" s="148">
        <f t="shared" si="2"/>
        <v>1424.000809866714</v>
      </c>
    </row>
    <row r="135" spans="12:12" ht="30" customHeight="1">
      <c r="L135" s="148">
        <f t="shared" si="2"/>
        <v>1424.000809866714</v>
      </c>
    </row>
    <row r="136" spans="12:12" ht="30" customHeight="1">
      <c r="L136" s="148">
        <f t="shared" si="2"/>
        <v>1424.000809866714</v>
      </c>
    </row>
    <row r="137" spans="12:12" ht="30" customHeight="1">
      <c r="L137" s="148">
        <f t="shared" si="2"/>
        <v>1424.000809866714</v>
      </c>
    </row>
    <row r="138" spans="12:12" ht="30" customHeight="1">
      <c r="L138" s="148">
        <f t="shared" si="2"/>
        <v>1424.000809866714</v>
      </c>
    </row>
    <row r="139" spans="12:12" ht="30" customHeight="1">
      <c r="L139" s="148">
        <f t="shared" si="2"/>
        <v>1424.000809866714</v>
      </c>
    </row>
    <row r="140" spans="12:12" ht="30" customHeight="1">
      <c r="L140" s="148">
        <f t="shared" si="2"/>
        <v>1424.000809866714</v>
      </c>
    </row>
    <row r="141" spans="12:12" ht="30" customHeight="1">
      <c r="L141" s="148">
        <f t="shared" si="2"/>
        <v>1424.000809866714</v>
      </c>
    </row>
    <row r="142" spans="12:12" ht="30" customHeight="1">
      <c r="L142" s="148">
        <f t="shared" si="2"/>
        <v>1424.000809866714</v>
      </c>
    </row>
    <row r="143" spans="12:12" ht="30" customHeight="1">
      <c r="L143" s="148">
        <f t="shared" si="2"/>
        <v>1424.000809866714</v>
      </c>
    </row>
    <row r="144" spans="12:12" ht="30" customHeight="1">
      <c r="L144" s="148">
        <f t="shared" si="2"/>
        <v>1424.000809866714</v>
      </c>
    </row>
    <row r="145" spans="12:12" ht="30" customHeight="1">
      <c r="L145" s="148">
        <f t="shared" si="2"/>
        <v>1424.000809866714</v>
      </c>
    </row>
    <row r="146" spans="12:12" ht="30" customHeight="1">
      <c r="L146" s="148">
        <f t="shared" si="2"/>
        <v>1424.000809866714</v>
      </c>
    </row>
    <row r="147" spans="12:12" ht="30" customHeight="1">
      <c r="L147" s="148"/>
    </row>
    <row r="148" spans="12:12" ht="30" customHeight="1">
      <c r="L148" s="148"/>
    </row>
  </sheetData>
  <printOptions headings="1"/>
  <pageMargins left="0.70866141732283472" right="0.70866141732283472" top="0.74803149606299213" bottom="0.74803149606299213" header="0.31496062992125984" footer="0.31496062992125984"/>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C2FD0-FDDA-42A2-BC3E-4C086A2C8879}">
  <sheetPr>
    <tabColor theme="9" tint="0.59999389629810485"/>
  </sheetPr>
  <dimension ref="A1:N19"/>
  <sheetViews>
    <sheetView zoomScale="90" zoomScaleNormal="90" workbookViewId="0"/>
  </sheetViews>
  <sheetFormatPr defaultColWidth="8.625" defaultRowHeight="21"/>
  <cols>
    <col min="1" max="1" width="23.1875" style="89" customWidth="1"/>
    <col min="2" max="2" width="11" style="89" customWidth="1"/>
    <col min="3" max="4" width="8.75" style="89" customWidth="1"/>
    <col min="5" max="5" width="12" style="89" customWidth="1"/>
    <col min="6" max="6" width="12.9375" style="89" customWidth="1"/>
    <col min="7" max="7" width="13.75" style="89" customWidth="1"/>
    <col min="8" max="8" width="12.1875" customWidth="1"/>
    <col min="10" max="10" width="15.5" customWidth="1"/>
    <col min="11" max="12" width="12" bestFit="1" customWidth="1"/>
  </cols>
  <sheetData>
    <row r="1" spans="1:14">
      <c r="A1" s="91" t="s">
        <v>278</v>
      </c>
    </row>
    <row r="2" spans="1:14" ht="43.5">
      <c r="A2" s="92" t="s">
        <v>279</v>
      </c>
      <c r="B2" s="92" t="s">
        <v>394</v>
      </c>
      <c r="C2" s="92" t="s">
        <v>280</v>
      </c>
      <c r="D2" s="92" t="s">
        <v>398</v>
      </c>
      <c r="E2" s="92" t="s">
        <v>400</v>
      </c>
      <c r="F2" s="92" t="s">
        <v>401</v>
      </c>
      <c r="G2" s="92" t="s">
        <v>377</v>
      </c>
      <c r="H2" s="149"/>
      <c r="I2" s="149"/>
      <c r="J2" s="149"/>
      <c r="K2" s="149"/>
      <c r="L2" s="149"/>
      <c r="M2" s="149"/>
    </row>
    <row r="3" spans="1:14" ht="36.4" customHeight="1">
      <c r="A3" s="293" t="s">
        <v>402</v>
      </c>
      <c r="B3" s="177">
        <f>B!B14</f>
        <v>0.91200000000000003</v>
      </c>
      <c r="C3" s="178">
        <f>B!E22*B3</f>
        <v>96712.602029414236</v>
      </c>
      <c r="D3" s="178"/>
      <c r="E3" s="179">
        <f>'4a'!B4</f>
        <v>1671.0621018000002</v>
      </c>
      <c r="F3" s="180">
        <f>C3*E3</f>
        <v>161612764.01781991</v>
      </c>
      <c r="H3" s="311"/>
      <c r="I3" s="312"/>
      <c r="J3" s="312"/>
      <c r="K3" s="149"/>
      <c r="L3" s="149"/>
      <c r="M3" s="149"/>
    </row>
    <row r="4" spans="1:14" ht="29">
      <c r="A4" s="364" t="s">
        <v>457</v>
      </c>
      <c r="B4" s="307">
        <f>'4a'!B13</f>
        <v>0.2</v>
      </c>
      <c r="C4" s="303">
        <f>'4a'!B12*B4</f>
        <v>1868.5679999999998</v>
      </c>
      <c r="D4" s="303"/>
      <c r="E4" s="439">
        <f>'4a'!B15</f>
        <v>9825.2891434559115</v>
      </c>
      <c r="F4" s="439">
        <f>E4*C4</f>
        <v>18359220.884209123</v>
      </c>
      <c r="G4" s="305"/>
      <c r="H4" s="316"/>
      <c r="I4" s="315"/>
      <c r="J4" s="312"/>
      <c r="K4" s="149"/>
      <c r="L4" s="149"/>
      <c r="M4" s="149"/>
      <c r="N4" s="149"/>
    </row>
    <row r="5" spans="1:14" ht="37" customHeight="1">
      <c r="A5" s="293" t="s">
        <v>392</v>
      </c>
      <c r="B5" s="296">
        <f>'4a'!B13</f>
        <v>0.2</v>
      </c>
      <c r="C5" s="303">
        <f>'4a'!B12*B5</f>
        <v>1868.5679999999998</v>
      </c>
      <c r="D5" s="303"/>
      <c r="E5" s="512">
        <f>'4a'!B17</f>
        <v>15301.679813578878</v>
      </c>
      <c r="F5" s="513"/>
      <c r="G5" s="512">
        <f>C5*E5</f>
        <v>28592229.245899454</v>
      </c>
      <c r="H5" s="316"/>
      <c r="I5" s="315"/>
      <c r="J5" s="31"/>
    </row>
    <row r="6" spans="1:14" ht="21" customHeight="1">
      <c r="D6" s="309"/>
      <c r="E6" s="514" t="s">
        <v>403</v>
      </c>
      <c r="F6" s="515">
        <f>SUM(F3:F5)</f>
        <v>179971984.90202904</v>
      </c>
      <c r="G6" s="516"/>
      <c r="H6" s="511"/>
      <c r="I6" s="313"/>
      <c r="J6" s="31"/>
    </row>
    <row r="7" spans="1:14">
      <c r="E7" s="514" t="s">
        <v>404</v>
      </c>
      <c r="F7" s="514"/>
      <c r="G7" s="515">
        <f>SUM(G3:G5)</f>
        <v>28592229.245899454</v>
      </c>
      <c r="H7" s="308"/>
      <c r="I7" s="134" t="s">
        <v>380</v>
      </c>
      <c r="J7" s="134"/>
      <c r="K7" s="163"/>
      <c r="L7" s="164"/>
    </row>
    <row r="8" spans="1:14">
      <c r="E8" s="517" t="s">
        <v>426</v>
      </c>
      <c r="F8" s="517"/>
      <c r="G8" s="518">
        <f>F6+G7</f>
        <v>208564214.14792848</v>
      </c>
      <c r="H8" s="89"/>
      <c r="I8" s="134"/>
      <c r="J8" s="134"/>
      <c r="K8" s="196" t="s">
        <v>378</v>
      </c>
      <c r="L8" s="291" t="s">
        <v>379</v>
      </c>
    </row>
    <row r="9" spans="1:14" ht="44.5" customHeight="1">
      <c r="E9" s="519" t="s">
        <v>405</v>
      </c>
      <c r="F9" s="520">
        <f>ROUND(F6,-6)</f>
        <v>180000000</v>
      </c>
      <c r="G9" s="519"/>
      <c r="H9" s="89"/>
      <c r="I9" s="552" t="s">
        <v>319</v>
      </c>
      <c r="J9" s="552"/>
      <c r="K9" s="525">
        <v>0.2</v>
      </c>
      <c r="L9" s="526">
        <v>-0.2</v>
      </c>
    </row>
    <row r="10" spans="1:14" ht="55.5">
      <c r="E10" s="519" t="s">
        <v>406</v>
      </c>
      <c r="F10" s="517"/>
      <c r="G10" s="520">
        <f>ROUND(G7,-6)</f>
        <v>29000000</v>
      </c>
      <c r="H10" s="89"/>
      <c r="I10" s="552" t="s">
        <v>318</v>
      </c>
      <c r="J10" s="552"/>
      <c r="K10" s="198">
        <v>0.03</v>
      </c>
      <c r="L10" s="292">
        <v>-0.03</v>
      </c>
    </row>
    <row r="11" spans="1:14">
      <c r="E11" s="521" t="s">
        <v>265</v>
      </c>
      <c r="F11" s="521"/>
      <c r="G11" s="522">
        <f>ROUND(G8,-6)</f>
        <v>209000000</v>
      </c>
      <c r="I11" s="524" t="s">
        <v>407</v>
      </c>
      <c r="J11" s="89"/>
      <c r="K11" s="290">
        <f>G11*(1+K9)*(1+K10)</f>
        <v>258324000</v>
      </c>
      <c r="L11" s="290">
        <f>G11*(1+L9)*(1+L10)</f>
        <v>162184000</v>
      </c>
    </row>
    <row r="12" spans="1:14" ht="39.5" customHeight="1">
      <c r="G12" s="317"/>
      <c r="I12" s="542" t="s">
        <v>408</v>
      </c>
      <c r="J12" s="542"/>
      <c r="K12" s="523">
        <f>ROUND(K11,-6)</f>
        <v>258000000</v>
      </c>
      <c r="L12" s="523">
        <f>ROUND(L11,-6)</f>
        <v>162000000</v>
      </c>
    </row>
    <row r="13" spans="1:14">
      <c r="A13" s="91" t="s">
        <v>458</v>
      </c>
    </row>
    <row r="14" spans="1:14" ht="61.5" customHeight="1">
      <c r="A14" s="92" t="s">
        <v>279</v>
      </c>
      <c r="B14" s="92" t="s">
        <v>394</v>
      </c>
      <c r="C14" s="92" t="s">
        <v>280</v>
      </c>
      <c r="D14" s="92" t="s">
        <v>398</v>
      </c>
      <c r="E14" s="92" t="s">
        <v>459</v>
      </c>
      <c r="F14" s="92" t="s">
        <v>401</v>
      </c>
      <c r="G14" s="92" t="s">
        <v>377</v>
      </c>
      <c r="H14" s="316"/>
      <c r="I14" s="314"/>
      <c r="J14" s="312"/>
      <c r="K14" s="149"/>
      <c r="L14" s="149"/>
      <c r="M14" s="149"/>
      <c r="N14" s="149"/>
    </row>
    <row r="15" spans="1:14" ht="58">
      <c r="A15" s="364" t="s">
        <v>460</v>
      </c>
      <c r="B15" s="293" t="s">
        <v>399</v>
      </c>
      <c r="C15" s="303">
        <f>B!E27*B!B12</f>
        <v>21880.430875256701</v>
      </c>
      <c r="D15" s="303">
        <f>C15-C4</f>
        <v>20011.862875256702</v>
      </c>
      <c r="E15" s="304">
        <f>'4a'!B8*(1.035^18)</f>
        <v>2645.0661187324131</v>
      </c>
      <c r="F15" s="304">
        <f>D15*E15</f>
        <v>52932700.464060515</v>
      </c>
      <c r="G15" s="305"/>
      <c r="H15" s="316"/>
      <c r="I15" s="314"/>
      <c r="J15" s="312"/>
      <c r="K15" s="149"/>
      <c r="L15" s="149"/>
      <c r="M15" s="149"/>
      <c r="N15" s="149"/>
    </row>
    <row r="16" spans="1:14" ht="43.5">
      <c r="A16" s="364" t="s">
        <v>461</v>
      </c>
      <c r="B16" s="306">
        <f>'4a'!B11</f>
        <v>0.72</v>
      </c>
      <c r="C16" s="303">
        <f>B!E27*B!B12</f>
        <v>21880.430875256701</v>
      </c>
      <c r="D16" s="303">
        <f>C16-C4</f>
        <v>20011.862875256702</v>
      </c>
      <c r="E16" s="304">
        <f>'4a'!B10*(1.035^18)</f>
        <v>1077.6195298539458</v>
      </c>
      <c r="F16" s="304"/>
      <c r="G16" s="304">
        <f>D16*E16</f>
        <v>21565174.263135757</v>
      </c>
    </row>
    <row r="17" spans="1:7">
      <c r="A17" s="553" t="s">
        <v>393</v>
      </c>
      <c r="B17" s="553"/>
      <c r="C17" s="553"/>
      <c r="E17" s="514" t="s">
        <v>403</v>
      </c>
      <c r="F17" s="515">
        <f>SUM(F14:F16)</f>
        <v>52932700.464060515</v>
      </c>
      <c r="G17" s="516"/>
    </row>
    <row r="18" spans="1:7">
      <c r="E18" s="514" t="s">
        <v>404</v>
      </c>
      <c r="F18" s="514"/>
      <c r="G18" s="515">
        <f>SUM(G14:G16)</f>
        <v>21565174.263135757</v>
      </c>
    </row>
    <row r="19" spans="1:7">
      <c r="E19" s="517" t="s">
        <v>426</v>
      </c>
      <c r="F19" s="517"/>
      <c r="G19" s="518">
        <f>F17+G18</f>
        <v>74497874.727196276</v>
      </c>
    </row>
  </sheetData>
  <mergeCells count="4">
    <mergeCell ref="I9:J9"/>
    <mergeCell ref="I10:J10"/>
    <mergeCell ref="A17:C17"/>
    <mergeCell ref="I12:J12"/>
  </mergeCells>
  <pageMargins left="0.7" right="0.7" top="0.75" bottom="0.75" header="0.3" footer="0.3"/>
  <pageSetup paperSize="9" orientation="portrait" horizont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DEF3-1F59-4B3E-957E-1A7CDF11E934}">
  <sheetPr>
    <tabColor theme="7" tint="-0.249977111117893"/>
    <pageSetUpPr fitToPage="1"/>
  </sheetPr>
  <dimension ref="A1:G7"/>
  <sheetViews>
    <sheetView zoomScale="75" zoomScaleNormal="75" workbookViewId="0"/>
  </sheetViews>
  <sheetFormatPr defaultColWidth="8.625" defaultRowHeight="21"/>
  <cols>
    <col min="1" max="1" width="29.4375" customWidth="1"/>
    <col min="2" max="2" width="8.625" style="105"/>
    <col min="3" max="3" width="33.8125" customWidth="1"/>
  </cols>
  <sheetData>
    <row r="1" spans="1:7">
      <c r="A1" s="3" t="s">
        <v>281</v>
      </c>
    </row>
    <row r="3" spans="1:7" ht="43.5">
      <c r="A3" s="92" t="s">
        <v>212</v>
      </c>
      <c r="B3" s="92" t="s">
        <v>213</v>
      </c>
      <c r="C3" s="92" t="s">
        <v>183</v>
      </c>
      <c r="D3" s="149"/>
      <c r="E3" s="149"/>
      <c r="F3" s="149"/>
      <c r="G3" s="149"/>
    </row>
    <row r="4" spans="1:7" ht="62.65" customHeight="1">
      <c r="A4" s="97" t="s">
        <v>282</v>
      </c>
      <c r="B4" s="111">
        <f>1037*(1+('C'!B80/100))</f>
        <v>1095.0720000000001</v>
      </c>
      <c r="C4" s="269" t="s">
        <v>490</v>
      </c>
      <c r="D4" s="181"/>
      <c r="E4" s="181"/>
      <c r="F4" s="149"/>
      <c r="G4" s="149"/>
    </row>
    <row r="5" spans="1:7" ht="31">
      <c r="A5" s="109" t="s">
        <v>283</v>
      </c>
      <c r="B5" s="111">
        <f>2142*(1+('C'!B80/100))</f>
        <v>2261.9520000000002</v>
      </c>
      <c r="C5" s="269" t="s">
        <v>491</v>
      </c>
      <c r="D5" s="6"/>
      <c r="E5" s="6"/>
    </row>
    <row r="6" spans="1:7" ht="64.900000000000006" customHeight="1">
      <c r="A6" s="109" t="s">
        <v>284</v>
      </c>
      <c r="B6" s="110">
        <v>0.17399999999999999</v>
      </c>
      <c r="C6" s="239" t="s">
        <v>352</v>
      </c>
    </row>
    <row r="7" spans="1:7" ht="77.150000000000006" customHeight="1">
      <c r="A7" s="269" t="s">
        <v>365</v>
      </c>
      <c r="B7" s="110">
        <v>0.7</v>
      </c>
      <c r="C7" s="382" t="s">
        <v>485</v>
      </c>
    </row>
  </sheetData>
  <printOptions headings="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52029-970B-43A7-B5E1-2542AB9891EF}">
  <sheetPr>
    <tabColor rgb="FF0070C0"/>
    <pageSetUpPr fitToPage="1"/>
  </sheetPr>
  <dimension ref="A1:I18"/>
  <sheetViews>
    <sheetView zoomScaleNormal="100" workbookViewId="0"/>
  </sheetViews>
  <sheetFormatPr defaultRowHeight="21"/>
  <cols>
    <col min="1" max="1" width="3.625" customWidth="1"/>
    <col min="2" max="2" width="35.1875" customWidth="1"/>
    <col min="3" max="3" width="15.0625" customWidth="1"/>
    <col min="4" max="4" width="13.0625" customWidth="1"/>
    <col min="5" max="5" width="15.25" customWidth="1"/>
    <col min="7" max="7" width="19.8125" customWidth="1"/>
    <col min="8" max="10" width="16.0625" customWidth="1"/>
    <col min="11" max="11" width="16.25" customWidth="1"/>
  </cols>
  <sheetData>
    <row r="1" spans="1:9">
      <c r="H1" t="s">
        <v>543</v>
      </c>
    </row>
    <row r="2" spans="1:9">
      <c r="B2" s="530" t="s">
        <v>495</v>
      </c>
      <c r="C2" s="530"/>
      <c r="D2" s="530"/>
      <c r="H2" s="389" t="s">
        <v>492</v>
      </c>
      <c r="I2" s="390" t="s">
        <v>493</v>
      </c>
    </row>
    <row r="3" spans="1:9">
      <c r="B3" s="387"/>
      <c r="C3" s="389" t="s">
        <v>492</v>
      </c>
      <c r="D3" s="390" t="s">
        <v>493</v>
      </c>
      <c r="G3" s="422" t="s">
        <v>538</v>
      </c>
      <c r="H3" s="417">
        <f>C10</f>
        <v>2616000000</v>
      </c>
      <c r="I3" s="431">
        <f>D10</f>
        <v>3225000000</v>
      </c>
    </row>
    <row r="4" spans="1:9">
      <c r="B4" s="422" t="s">
        <v>521</v>
      </c>
      <c r="C4" s="417">
        <f>' A all'!F16</f>
        <v>341000000</v>
      </c>
      <c r="D4" s="417">
        <f>'[1]A all'!$F$16</f>
        <v>428000000</v>
      </c>
      <c r="G4" s="423" t="s">
        <v>537</v>
      </c>
      <c r="H4" s="417">
        <f>C13</f>
        <v>1744000000</v>
      </c>
      <c r="I4" s="431">
        <f>D13</f>
        <v>2797000000</v>
      </c>
    </row>
    <row r="5" spans="1:9">
      <c r="B5" s="425" t="s">
        <v>527</v>
      </c>
      <c r="C5" s="426">
        <f>' A all'!B14</f>
        <v>373000000</v>
      </c>
      <c r="D5" s="426">
        <f>'[1]A all'!$B$14</f>
        <v>526000000</v>
      </c>
      <c r="G5" s="424" t="s">
        <v>544</v>
      </c>
      <c r="H5" s="430">
        <f>H3/H4</f>
        <v>1.5</v>
      </c>
      <c r="I5" s="432">
        <f>I3/I4</f>
        <v>1.1530210940293171</v>
      </c>
    </row>
    <row r="6" spans="1:9">
      <c r="B6" s="425" t="s">
        <v>528</v>
      </c>
      <c r="C6" s="426">
        <f>' A all'!B15</f>
        <v>-160000000</v>
      </c>
      <c r="D6" s="426">
        <f>'[1]A all'!$B$15</f>
        <v>-160000000</v>
      </c>
    </row>
    <row r="7" spans="1:9">
      <c r="B7" s="423" t="s">
        <v>526</v>
      </c>
      <c r="C7" s="417">
        <f>' A all'!B16</f>
        <v>213000000</v>
      </c>
      <c r="D7" s="417">
        <f>'[1]A all'!$B$16</f>
        <v>366000000</v>
      </c>
    </row>
    <row r="8" spans="1:9" ht="21.75" customHeight="1">
      <c r="B8" s="424" t="s">
        <v>494</v>
      </c>
      <c r="C8" s="418">
        <f>C4-C7</f>
        <v>128000000</v>
      </c>
      <c r="D8" s="418">
        <f>D4-D7</f>
        <v>62000000</v>
      </c>
    </row>
    <row r="9" spans="1:9" s="416" customFormat="1" ht="5.25" customHeight="1">
      <c r="A9" s="414"/>
      <c r="B9" s="420"/>
      <c r="C9" s="421"/>
      <c r="D9" s="421"/>
      <c r="E9" s="415"/>
    </row>
    <row r="10" spans="1:9">
      <c r="B10" s="422" t="s">
        <v>522</v>
      </c>
      <c r="C10" s="417">
        <f>' A all'!D54</f>
        <v>2616000000</v>
      </c>
      <c r="D10" s="417">
        <f>'[1]A all'!$D$54</f>
        <v>3225000000</v>
      </c>
      <c r="E10" s="391"/>
    </row>
    <row r="11" spans="1:9">
      <c r="B11" s="425" t="s">
        <v>535</v>
      </c>
      <c r="C11" s="426">
        <f>' A all'!D42</f>
        <v>2846000000</v>
      </c>
      <c r="D11" s="426">
        <f>'[1]A all'!$D$41</f>
        <v>3898000000</v>
      </c>
      <c r="E11" s="391"/>
      <c r="H11">
        <f>2.6/1.7</f>
        <v>1.5294117647058825</v>
      </c>
    </row>
    <row r="12" spans="1:9">
      <c r="B12" s="425" t="s">
        <v>536</v>
      </c>
      <c r="C12" s="426">
        <f>' A all'!D44</f>
        <v>-1101000000</v>
      </c>
      <c r="D12" s="426">
        <f>' A all'!D44</f>
        <v>-1101000000</v>
      </c>
      <c r="E12" s="391"/>
    </row>
    <row r="13" spans="1:9">
      <c r="B13" s="423" t="s">
        <v>523</v>
      </c>
      <c r="C13" s="417">
        <f>' A all'!D46</f>
        <v>1744000000</v>
      </c>
      <c r="D13" s="417">
        <f>'[1]A all'!$D$45</f>
        <v>2797000000</v>
      </c>
      <c r="E13" s="391"/>
    </row>
    <row r="14" spans="1:9">
      <c r="B14" s="413" t="s">
        <v>525</v>
      </c>
      <c r="C14" s="418">
        <f>C10-C13</f>
        <v>872000000</v>
      </c>
      <c r="D14" s="418">
        <f>D10-D13</f>
        <v>428000000</v>
      </c>
    </row>
    <row r="15" spans="1:9">
      <c r="A15" s="412"/>
      <c r="B15" s="412"/>
    </row>
    <row r="16" spans="1:9" ht="49" customHeight="1">
      <c r="B16" s="528" t="s">
        <v>545</v>
      </c>
      <c r="C16" s="529"/>
    </row>
    <row r="17" spans="2:3">
      <c r="B17" s="392" t="s">
        <v>496</v>
      </c>
      <c r="C17" s="388">
        <f>' A all'!B15</f>
        <v>-160000000</v>
      </c>
    </row>
    <row r="18" spans="2:3">
      <c r="B18" s="393" t="s">
        <v>497</v>
      </c>
      <c r="C18" s="388">
        <f>' A all'!D44</f>
        <v>-1101000000</v>
      </c>
    </row>
  </sheetData>
  <mergeCells count="2">
    <mergeCell ref="B16:C16"/>
    <mergeCell ref="B2:D2"/>
  </mergeCells>
  <phoneticPr fontId="54" type="noConversion"/>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5EBE-117D-4126-8A81-F7E0FDD9B124}">
  <sheetPr>
    <tabColor theme="7" tint="-0.249977111117893"/>
  </sheetPr>
  <dimension ref="A1:G13"/>
  <sheetViews>
    <sheetView zoomScale="75" zoomScaleNormal="75" workbookViewId="0"/>
  </sheetViews>
  <sheetFormatPr defaultColWidth="8.625" defaultRowHeight="21"/>
  <cols>
    <col min="2" max="3" width="8.625" style="105"/>
    <col min="4" max="4" width="11" customWidth="1"/>
    <col min="5" max="5" width="12" bestFit="1" customWidth="1"/>
    <col min="6" max="6" width="14.5625" customWidth="1"/>
    <col min="7" max="7" width="10.75" bestFit="1" customWidth="1"/>
  </cols>
  <sheetData>
    <row r="1" spans="1:7">
      <c r="A1" s="3" t="s">
        <v>285</v>
      </c>
      <c r="F1" t="s">
        <v>231</v>
      </c>
    </row>
    <row r="2" spans="1:7" ht="58">
      <c r="A2" s="92" t="s">
        <v>279</v>
      </c>
      <c r="B2" s="92" t="s">
        <v>366</v>
      </c>
      <c r="C2" s="92" t="s">
        <v>367</v>
      </c>
      <c r="D2" s="92" t="s">
        <v>280</v>
      </c>
      <c r="E2" s="92" t="s">
        <v>264</v>
      </c>
      <c r="F2" s="92" t="s">
        <v>274</v>
      </c>
      <c r="G2" s="92" t="s">
        <v>72</v>
      </c>
    </row>
    <row r="3" spans="1:7" ht="31">
      <c r="A3" s="97" t="s">
        <v>286</v>
      </c>
      <c r="B3" s="115">
        <f>'5a'!B6</f>
        <v>0.17399999999999999</v>
      </c>
      <c r="C3" s="115">
        <f>'5a'!B7</f>
        <v>0.7</v>
      </c>
      <c r="D3" s="114">
        <f>B3*B!F22*C3</f>
        <v>12910.8</v>
      </c>
      <c r="E3" s="112">
        <f>'5a'!B4</f>
        <v>1095.0720000000001</v>
      </c>
      <c r="F3" s="112">
        <f>D3*E3</f>
        <v>14138255.5776</v>
      </c>
      <c r="G3" s="478">
        <f>ROUND(F3,-6)</f>
        <v>14000000</v>
      </c>
    </row>
    <row r="4" spans="1:7" ht="31">
      <c r="A4" s="97" t="s">
        <v>287</v>
      </c>
      <c r="B4" s="115">
        <f>'5a'!B6</f>
        <v>0.17399999999999999</v>
      </c>
      <c r="C4" s="115">
        <f>'5a'!B7</f>
        <v>0.7</v>
      </c>
      <c r="D4" s="114">
        <f>B4*B!F22*C3</f>
        <v>12910.8</v>
      </c>
      <c r="E4" s="112">
        <f>'5a'!B5</f>
        <v>2261.9520000000002</v>
      </c>
      <c r="F4" s="112">
        <f>D4*E4</f>
        <v>29203609.8816</v>
      </c>
      <c r="G4" s="478">
        <f>ROUND(F4,-6)</f>
        <v>29000000</v>
      </c>
    </row>
    <row r="5" spans="1:7">
      <c r="A5" s="15"/>
      <c r="B5" s="116"/>
      <c r="C5" s="116"/>
      <c r="D5" s="35"/>
      <c r="E5" s="34"/>
      <c r="F5" s="34"/>
    </row>
    <row r="6" spans="1:7">
      <c r="B6" s="554" t="s">
        <v>254</v>
      </c>
      <c r="C6" s="554"/>
      <c r="D6" s="554"/>
      <c r="E6" s="554"/>
      <c r="F6" s="249">
        <f>SUM(F3:F4)</f>
        <v>43341865.459200002</v>
      </c>
    </row>
    <row r="7" spans="1:7">
      <c r="B7" s="555" t="s">
        <v>255</v>
      </c>
      <c r="C7" s="555"/>
      <c r="D7" s="555"/>
      <c r="E7" s="555"/>
      <c r="F7" s="386">
        <f>ROUND(F6,-6)</f>
        <v>43000000</v>
      </c>
    </row>
    <row r="9" spans="1:7" ht="39.75" customHeight="1">
      <c r="B9" s="549" t="s">
        <v>316</v>
      </c>
      <c r="C9" s="549"/>
      <c r="D9" s="549"/>
      <c r="E9" s="196" t="s">
        <v>317</v>
      </c>
      <c r="F9" s="89"/>
    </row>
    <row r="10" spans="1:7">
      <c r="B10" s="551" t="s">
        <v>318</v>
      </c>
      <c r="C10" s="551"/>
      <c r="D10" s="551"/>
      <c r="E10" s="198">
        <v>0.05</v>
      </c>
      <c r="F10" s="89"/>
    </row>
    <row r="11" spans="1:7">
      <c r="B11" s="551" t="s">
        <v>319</v>
      </c>
      <c r="C11" s="551"/>
      <c r="D11" s="551"/>
      <c r="E11" s="198">
        <v>0.05</v>
      </c>
      <c r="F11" s="202" t="s">
        <v>72</v>
      </c>
    </row>
    <row r="12" spans="1:7">
      <c r="B12" s="543" t="s">
        <v>320</v>
      </c>
      <c r="C12" s="543"/>
      <c r="D12" s="543"/>
      <c r="E12" s="201">
        <f>F6+(F6*E10)+(F6*E11)</f>
        <v>47676052.005120002</v>
      </c>
      <c r="F12" s="201">
        <f>ROUND(E12,-6)</f>
        <v>48000000</v>
      </c>
    </row>
    <row r="13" spans="1:7">
      <c r="B13" s="543" t="s">
        <v>321</v>
      </c>
      <c r="C13" s="543"/>
      <c r="D13" s="543"/>
      <c r="E13" s="201">
        <f>F6-(F6*E10)-(F6*E11)</f>
        <v>39007678.913280003</v>
      </c>
      <c r="F13" s="201">
        <f>ROUND(E13,-6)</f>
        <v>39000000</v>
      </c>
    </row>
  </sheetData>
  <mergeCells count="7">
    <mergeCell ref="B12:D12"/>
    <mergeCell ref="B13:D13"/>
    <mergeCell ref="B6:E6"/>
    <mergeCell ref="B7:E7"/>
    <mergeCell ref="B9:D9"/>
    <mergeCell ref="B10:D10"/>
    <mergeCell ref="B11:D1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B337-A4F8-4B0F-B275-0AC447629A61}">
  <sheetPr>
    <tabColor rgb="FF7030A0"/>
    <pageSetUpPr fitToPage="1"/>
  </sheetPr>
  <dimension ref="A1:H7"/>
  <sheetViews>
    <sheetView zoomScale="90" zoomScaleNormal="90" workbookViewId="0"/>
  </sheetViews>
  <sheetFormatPr defaultColWidth="8.625" defaultRowHeight="21"/>
  <cols>
    <col min="1" max="1" width="27" style="89" customWidth="1"/>
    <col min="2" max="2" width="10.8125" style="93" bestFit="1" customWidth="1"/>
    <col min="3" max="3" width="67" customWidth="1"/>
  </cols>
  <sheetData>
    <row r="1" spans="1:8">
      <c r="A1" s="91" t="s">
        <v>288</v>
      </c>
      <c r="G1" s="4"/>
    </row>
    <row r="3" spans="1:8" ht="29">
      <c r="A3" s="92" t="s">
        <v>212</v>
      </c>
      <c r="B3" s="92" t="s">
        <v>213</v>
      </c>
      <c r="C3" s="92" t="s">
        <v>183</v>
      </c>
    </row>
    <row r="4" spans="1:8" ht="46.5">
      <c r="A4" s="97" t="s">
        <v>289</v>
      </c>
      <c r="B4" s="110">
        <v>5.5E-2</v>
      </c>
      <c r="C4" s="97" t="s">
        <v>330</v>
      </c>
      <c r="G4" s="15"/>
      <c r="H4" s="15"/>
    </row>
    <row r="5" spans="1:8" ht="83.65" customHeight="1">
      <c r="A5" s="239" t="s">
        <v>353</v>
      </c>
      <c r="B5" s="110">
        <v>0.13</v>
      </c>
      <c r="C5" s="269" t="s">
        <v>362</v>
      </c>
      <c r="G5" s="15"/>
      <c r="H5" s="15"/>
    </row>
    <row r="6" spans="1:8" ht="62">
      <c r="A6" s="97" t="s">
        <v>290</v>
      </c>
      <c r="B6" s="111">
        <f>38000/3</f>
        <v>12666.666666666666</v>
      </c>
      <c r="C6" s="434" t="s">
        <v>363</v>
      </c>
    </row>
    <row r="7" spans="1:8">
      <c r="A7" s="90"/>
      <c r="B7" s="117"/>
      <c r="C7" s="88"/>
    </row>
  </sheetData>
  <printOptions headings="1"/>
  <pageMargins left="0.70866141732283472" right="0.70866141732283472" top="0.74803149606299213" bottom="0.74803149606299213" header="0.31496062992125984" footer="0.31496062992125984"/>
  <pageSetup paperSize="9" scale="8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BE40-5C60-4113-9E46-900A850D70C7}">
  <sheetPr>
    <tabColor rgb="FF7030A0"/>
  </sheetPr>
  <dimension ref="A1:G12"/>
  <sheetViews>
    <sheetView workbookViewId="0"/>
  </sheetViews>
  <sheetFormatPr defaultColWidth="8.625" defaultRowHeight="21"/>
  <cols>
    <col min="1" max="1" width="13.625" customWidth="1"/>
    <col min="2" max="2" width="10.1875" customWidth="1"/>
    <col min="3" max="3" width="13.1875" customWidth="1"/>
    <col min="4" max="4" width="10.8125" bestFit="1" customWidth="1"/>
    <col min="5" max="5" width="12" bestFit="1" customWidth="1"/>
    <col min="6" max="6" width="13.4375" customWidth="1"/>
  </cols>
  <sheetData>
    <row r="1" spans="1:7">
      <c r="A1" s="3" t="s">
        <v>291</v>
      </c>
      <c r="F1" t="s">
        <v>292</v>
      </c>
      <c r="G1" s="4"/>
    </row>
    <row r="2" spans="1:7" ht="47.25" customHeight="1">
      <c r="A2" s="92" t="s">
        <v>262</v>
      </c>
      <c r="B2" s="92" t="s">
        <v>293</v>
      </c>
      <c r="C2" s="92" t="s">
        <v>294</v>
      </c>
      <c r="D2" s="92" t="s">
        <v>295</v>
      </c>
      <c r="E2" s="92" t="s">
        <v>50</v>
      </c>
    </row>
    <row r="3" spans="1:7" ht="34.5" customHeight="1">
      <c r="A3" s="97" t="s">
        <v>296</v>
      </c>
      <c r="B3" s="182">
        <f>B!F22*'6a'!B4</f>
        <v>5830</v>
      </c>
      <c r="C3" s="182">
        <f>B3*'6a'!B5</f>
        <v>757.9</v>
      </c>
      <c r="D3" s="175">
        <f>'6a'!B6</f>
        <v>12666.666666666666</v>
      </c>
      <c r="E3" s="175">
        <f>C3*D3</f>
        <v>9600066.666666666</v>
      </c>
    </row>
    <row r="5" spans="1:7">
      <c r="B5" s="31"/>
      <c r="C5" s="134"/>
      <c r="D5" s="435" t="s">
        <v>254</v>
      </c>
      <c r="E5" s="249">
        <f>E3</f>
        <v>9600066.666666666</v>
      </c>
    </row>
    <row r="6" spans="1:7">
      <c r="B6" s="31"/>
      <c r="C6" s="134"/>
      <c r="D6" s="435" t="s">
        <v>255</v>
      </c>
      <c r="E6" s="249">
        <f>ROUND(E5,-6)</f>
        <v>10000000</v>
      </c>
    </row>
    <row r="8" spans="1:7">
      <c r="C8" s="549" t="s">
        <v>316</v>
      </c>
      <c r="D8" s="549"/>
      <c r="E8" s="196" t="s">
        <v>317</v>
      </c>
      <c r="F8" s="89"/>
    </row>
    <row r="9" spans="1:7">
      <c r="C9" s="551" t="s">
        <v>318</v>
      </c>
      <c r="D9" s="551"/>
      <c r="E9" s="198">
        <v>0.05</v>
      </c>
      <c r="F9" s="89"/>
    </row>
    <row r="10" spans="1:7">
      <c r="C10" s="551" t="s">
        <v>319</v>
      </c>
      <c r="D10" s="551"/>
      <c r="E10" s="198">
        <v>0.05</v>
      </c>
      <c r="F10" s="202" t="s">
        <v>72</v>
      </c>
    </row>
    <row r="11" spans="1:7">
      <c r="C11" s="543" t="s">
        <v>320</v>
      </c>
      <c r="D11" s="543"/>
      <c r="E11" s="201">
        <f>E5+(E5*E9)+(E5*E10)</f>
        <v>10560073.333333334</v>
      </c>
      <c r="F11" s="201">
        <f>ROUND(E11,-6)</f>
        <v>11000000</v>
      </c>
    </row>
    <row r="12" spans="1:7">
      <c r="C12" s="543" t="s">
        <v>321</v>
      </c>
      <c r="D12" s="543"/>
      <c r="E12" s="201">
        <f>E5-(E5*E9)-(E5*E10)</f>
        <v>8640059.9999999981</v>
      </c>
      <c r="F12" s="201">
        <f>ROUND(E12,-6)</f>
        <v>9000000</v>
      </c>
    </row>
  </sheetData>
  <mergeCells count="5">
    <mergeCell ref="C8:D8"/>
    <mergeCell ref="C9:D9"/>
    <mergeCell ref="C10:D10"/>
    <mergeCell ref="C11:D11"/>
    <mergeCell ref="C12:D1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3DCE-053F-4220-8727-90E3F00745A0}">
  <sheetPr>
    <tabColor theme="5"/>
  </sheetPr>
  <dimension ref="A1:Q58"/>
  <sheetViews>
    <sheetView zoomScaleNormal="100" workbookViewId="0"/>
  </sheetViews>
  <sheetFormatPr defaultColWidth="8.625" defaultRowHeight="21"/>
  <cols>
    <col min="1" max="1" width="20.75" customWidth="1"/>
    <col min="2" max="2" width="14.625" customWidth="1"/>
    <col min="3" max="3" width="13.4375" customWidth="1"/>
    <col min="4" max="4" width="13.1875" customWidth="1"/>
    <col min="5" max="5" width="28.4375" customWidth="1"/>
    <col min="6" max="7" width="13.375" customWidth="1"/>
    <col min="8" max="8" width="13.625" customWidth="1"/>
    <col min="9" max="9" width="14.4375" customWidth="1"/>
    <col min="10" max="10" width="13.1875" bestFit="1" customWidth="1"/>
    <col min="11" max="11" width="12.375" customWidth="1"/>
    <col min="12" max="12" width="9.75" customWidth="1"/>
  </cols>
  <sheetData>
    <row r="1" spans="1:8" ht="21.5" thickBot="1">
      <c r="A1" s="3" t="s">
        <v>465</v>
      </c>
      <c r="F1" t="s">
        <v>428</v>
      </c>
    </row>
    <row r="2" spans="1:8" ht="21.5" thickBot="1">
      <c r="A2" s="3" t="s">
        <v>424</v>
      </c>
      <c r="F2" s="349">
        <v>0.01</v>
      </c>
      <c r="H2" s="3"/>
    </row>
    <row r="3" spans="1:8" ht="21.5" thickBot="1">
      <c r="A3" s="3"/>
    </row>
    <row r="4" spans="1:8" ht="24" thickBot="1">
      <c r="A4" s="376" t="s">
        <v>472</v>
      </c>
      <c r="B4" s="374"/>
      <c r="C4" s="375"/>
    </row>
    <row r="5" spans="1:8">
      <c r="A5" s="531" t="s">
        <v>478</v>
      </c>
      <c r="B5" s="532"/>
      <c r="C5" s="532"/>
      <c r="D5" s="532"/>
      <c r="E5" s="532"/>
      <c r="F5" s="532"/>
      <c r="G5" s="532"/>
      <c r="H5" s="533"/>
    </row>
    <row r="6" spans="1:8">
      <c r="A6" s="534" t="s">
        <v>31</v>
      </c>
      <c r="B6" s="534"/>
      <c r="C6" s="534"/>
      <c r="D6" s="534"/>
      <c r="E6" s="534" t="s">
        <v>409</v>
      </c>
      <c r="F6" s="534"/>
      <c r="G6" s="534"/>
      <c r="H6" s="534"/>
    </row>
    <row r="7" spans="1:8" ht="33" customHeight="1">
      <c r="A7" s="165" t="s">
        <v>32</v>
      </c>
      <c r="B7" s="165" t="s">
        <v>33</v>
      </c>
      <c r="C7" s="166" t="s">
        <v>34</v>
      </c>
      <c r="D7" s="166" t="s">
        <v>35</v>
      </c>
      <c r="E7" s="206" t="s">
        <v>32</v>
      </c>
      <c r="F7" s="206" t="s">
        <v>33</v>
      </c>
      <c r="G7" s="207" t="s">
        <v>422</v>
      </c>
      <c r="H7" s="207" t="s">
        <v>423</v>
      </c>
    </row>
    <row r="8" spans="1:8">
      <c r="A8" s="167" t="s">
        <v>36</v>
      </c>
      <c r="B8" s="168">
        <f>D!G4</f>
        <v>164000000</v>
      </c>
      <c r="C8" s="169">
        <f>B8*1.2</f>
        <v>196800000</v>
      </c>
      <c r="D8" s="169">
        <f>B8*0.8</f>
        <v>131200000</v>
      </c>
      <c r="E8" s="208" t="s">
        <v>37</v>
      </c>
      <c r="F8" s="185">
        <f>'1b'!R12</f>
        <v>3000000</v>
      </c>
      <c r="G8" s="204">
        <f>'1b'!R18</f>
        <v>5000000</v>
      </c>
      <c r="H8" s="204">
        <f>'1b'!R19</f>
        <v>3000000</v>
      </c>
    </row>
    <row r="9" spans="1:8">
      <c r="A9" s="167" t="s">
        <v>38</v>
      </c>
      <c r="B9" s="168">
        <f>D!G5</f>
        <v>143000000</v>
      </c>
      <c r="C9" s="169">
        <f>B9*1.2</f>
        <v>171600000</v>
      </c>
      <c r="D9" s="169">
        <f>B9*0.8</f>
        <v>114400000</v>
      </c>
      <c r="E9" s="208" t="s">
        <v>39</v>
      </c>
      <c r="F9" s="185">
        <f>'2b'!E6</f>
        <v>50000000</v>
      </c>
      <c r="G9" s="204">
        <f>'2b'!B12</f>
        <v>60000000</v>
      </c>
      <c r="H9" s="204">
        <f>'2b'!C13</f>
        <v>40000000</v>
      </c>
    </row>
    <row r="10" spans="1:8">
      <c r="A10" s="167" t="s">
        <v>40</v>
      </c>
      <c r="B10" s="168">
        <f>D!G6</f>
        <v>51000000</v>
      </c>
      <c r="C10" s="169">
        <f>B10*1.2</f>
        <v>61200000</v>
      </c>
      <c r="D10" s="169">
        <f>B10*0.8</f>
        <v>40800000</v>
      </c>
      <c r="E10" s="208" t="s">
        <v>41</v>
      </c>
      <c r="F10" s="185">
        <f>'3b'!E7</f>
        <v>26000000</v>
      </c>
      <c r="G10" s="204">
        <f>'3b'!E12</f>
        <v>32000000</v>
      </c>
      <c r="H10" s="204">
        <f>'3b'!E13</f>
        <v>21000000</v>
      </c>
    </row>
    <row r="11" spans="1:8">
      <c r="A11" s="167" t="s">
        <v>42</v>
      </c>
      <c r="B11" s="168">
        <f>D!G8</f>
        <v>4000000</v>
      </c>
      <c r="C11" s="169">
        <f>B11*1.2</f>
        <v>4800000</v>
      </c>
      <c r="D11" s="169">
        <f>B11*0.8</f>
        <v>3200000</v>
      </c>
      <c r="E11" s="208" t="s">
        <v>43</v>
      </c>
      <c r="F11" s="185">
        <f>'4b'!G11</f>
        <v>209000000</v>
      </c>
      <c r="G11" s="204">
        <f>'4b'!K12</f>
        <v>258000000</v>
      </c>
      <c r="H11" s="204">
        <f>'4b'!L12</f>
        <v>162000000</v>
      </c>
    </row>
    <row r="12" spans="1:8">
      <c r="A12" s="167" t="s">
        <v>44</v>
      </c>
      <c r="B12" s="168">
        <f>D!G7</f>
        <v>11000000</v>
      </c>
      <c r="C12" s="169">
        <f>B12*1.2</f>
        <v>13200000</v>
      </c>
      <c r="D12" s="169">
        <f>B12*0.8</f>
        <v>8800000</v>
      </c>
      <c r="E12" s="208" t="s">
        <v>45</v>
      </c>
      <c r="F12" s="185">
        <f>'5b'!F7</f>
        <v>43000000</v>
      </c>
      <c r="G12" s="204">
        <f>'5b'!F12</f>
        <v>48000000</v>
      </c>
      <c r="H12" s="204">
        <f>'5b'!F13</f>
        <v>39000000</v>
      </c>
    </row>
    <row r="13" spans="1:8">
      <c r="A13" s="167"/>
      <c r="B13" s="168"/>
      <c r="C13" s="169"/>
      <c r="D13" s="169"/>
      <c r="E13" s="208" t="s">
        <v>46</v>
      </c>
      <c r="F13" s="185">
        <f>'6b'!E6</f>
        <v>10000000</v>
      </c>
      <c r="G13" s="204">
        <f>'6b'!F11</f>
        <v>11000000</v>
      </c>
      <c r="H13" s="204">
        <f>'6b'!F12</f>
        <v>9000000</v>
      </c>
    </row>
    <row r="14" spans="1:8">
      <c r="A14" s="170" t="s">
        <v>47</v>
      </c>
      <c r="B14" s="171">
        <f>SUM(B8:B12)</f>
        <v>373000000</v>
      </c>
      <c r="C14" s="169">
        <f>B14*1.2</f>
        <v>447600000</v>
      </c>
      <c r="D14" s="169">
        <f>B14*0.8</f>
        <v>298400000</v>
      </c>
      <c r="E14" s="208"/>
      <c r="F14" s="185"/>
      <c r="G14" s="204"/>
      <c r="H14" s="204"/>
    </row>
    <row r="15" spans="1:8">
      <c r="A15" s="170" t="s">
        <v>48</v>
      </c>
      <c r="B15" s="171">
        <f>-BAUb!E5-BAUc!E7</f>
        <v>-160000000</v>
      </c>
      <c r="C15" s="169">
        <f>B15*1.2</f>
        <v>-192000000</v>
      </c>
      <c r="D15" s="169">
        <f>B15*0.8</f>
        <v>-128000000</v>
      </c>
      <c r="E15" s="209"/>
      <c r="F15" s="209"/>
      <c r="G15" s="209"/>
      <c r="H15" s="209"/>
    </row>
    <row r="16" spans="1:8" ht="33" customHeight="1">
      <c r="A16" s="173" t="s">
        <v>49</v>
      </c>
      <c r="B16" s="171">
        <f>B14+B15</f>
        <v>213000000</v>
      </c>
      <c r="C16" s="172">
        <f>C14+C15</f>
        <v>255600000</v>
      </c>
      <c r="D16" s="172">
        <f>D14+D15</f>
        <v>170400000</v>
      </c>
      <c r="E16" s="170" t="s">
        <v>50</v>
      </c>
      <c r="F16" s="171">
        <f>SUM(F8:F13)</f>
        <v>341000000</v>
      </c>
      <c r="G16" s="172">
        <f>SUM(G8:G13)</f>
        <v>414000000</v>
      </c>
      <c r="H16" s="172">
        <f>SUM(H8:H13)</f>
        <v>274000000</v>
      </c>
    </row>
    <row r="17" spans="1:12">
      <c r="G17" s="3" t="s">
        <v>463</v>
      </c>
      <c r="H17" s="2"/>
      <c r="I17" s="3"/>
      <c r="J17" s="3"/>
    </row>
    <row r="18" spans="1:12">
      <c r="F18" s="213"/>
      <c r="G18" s="216"/>
      <c r="H18" s="218"/>
      <c r="I18" s="219" t="s">
        <v>252</v>
      </c>
      <c r="J18" s="220"/>
    </row>
    <row r="19" spans="1:12">
      <c r="F19" s="214"/>
      <c r="G19" s="212"/>
      <c r="H19" s="217" t="s">
        <v>331</v>
      </c>
      <c r="I19" s="281" t="s">
        <v>332</v>
      </c>
      <c r="J19" s="277" t="s">
        <v>333</v>
      </c>
    </row>
    <row r="20" spans="1:12">
      <c r="F20" s="214"/>
      <c r="G20" s="212" t="s">
        <v>331</v>
      </c>
      <c r="H20" s="210">
        <f>F16-B16</f>
        <v>128000000</v>
      </c>
      <c r="I20" s="211">
        <f>G16-B16</f>
        <v>201000000</v>
      </c>
      <c r="J20" s="211">
        <f>H16-B16</f>
        <v>61000000</v>
      </c>
    </row>
    <row r="21" spans="1:12">
      <c r="F21" s="214" t="s">
        <v>334</v>
      </c>
      <c r="G21" s="275" t="s">
        <v>332</v>
      </c>
      <c r="H21" s="275"/>
      <c r="I21" s="275"/>
      <c r="J21" s="276">
        <f>H16-C16</f>
        <v>18400000</v>
      </c>
    </row>
    <row r="22" spans="1:12">
      <c r="F22" s="215"/>
      <c r="G22" s="278" t="s">
        <v>333</v>
      </c>
      <c r="H22" s="279"/>
      <c r="I22" s="280">
        <f>G16-D16</f>
        <v>243600000</v>
      </c>
      <c r="J22" s="211"/>
    </row>
    <row r="23" spans="1:12">
      <c r="A23" s="3" t="s">
        <v>297</v>
      </c>
    </row>
    <row r="24" spans="1:12">
      <c r="A24" s="3"/>
      <c r="B24" s="395" t="s">
        <v>300</v>
      </c>
      <c r="C24" s="134"/>
      <c r="E24" s="183"/>
      <c r="F24" s="184"/>
      <c r="I24" s="184"/>
    </row>
    <row r="25" spans="1:12">
      <c r="A25" s="150" t="s">
        <v>299</v>
      </c>
      <c r="B25" s="396" t="s">
        <v>301</v>
      </c>
      <c r="C25" s="397">
        <v>3.5000000000000003E-2</v>
      </c>
      <c r="E25" s="15"/>
      <c r="I25" s="184"/>
    </row>
    <row r="26" spans="1:12" ht="33" customHeight="1">
      <c r="A26" s="150"/>
      <c r="B26" s="98" t="s">
        <v>298</v>
      </c>
      <c r="C26" s="398">
        <v>1.4999999999999999E-2</v>
      </c>
      <c r="I26" s="184"/>
    </row>
    <row r="27" spans="1:12" ht="46.5">
      <c r="A27" s="150"/>
      <c r="B27" s="271" t="s">
        <v>430</v>
      </c>
      <c r="C27" s="399">
        <f>F2</f>
        <v>0.01</v>
      </c>
      <c r="E27" s="15"/>
      <c r="F27" s="15"/>
      <c r="I27" s="184"/>
    </row>
    <row r="28" spans="1:12" ht="62">
      <c r="A28" s="150"/>
      <c r="B28" s="271" t="s">
        <v>464</v>
      </c>
      <c r="C28" s="399">
        <f>C27/2</f>
        <v>5.0000000000000001E-3</v>
      </c>
      <c r="E28" s="15"/>
      <c r="F28" s="15"/>
      <c r="I28" s="184"/>
    </row>
    <row r="29" spans="1:12" ht="32.25" customHeight="1">
      <c r="A29" s="150"/>
      <c r="B29" s="322" t="s">
        <v>429</v>
      </c>
      <c r="C29" s="397">
        <f>B8/B14</f>
        <v>0.43967828418230565</v>
      </c>
      <c r="I29" s="184"/>
    </row>
    <row r="30" spans="1:12">
      <c r="A30" s="184"/>
      <c r="B30" s="350" t="s">
        <v>433</v>
      </c>
      <c r="C30" s="184"/>
      <c r="D30" s="184"/>
      <c r="E30" s="184"/>
      <c r="F30" s="184"/>
      <c r="G30" s="184"/>
      <c r="H30" s="184"/>
      <c r="I30" s="184"/>
    </row>
    <row r="31" spans="1:12">
      <c r="A31" s="440" t="s">
        <v>334</v>
      </c>
      <c r="B31" s="440">
        <v>0</v>
      </c>
      <c r="C31" s="441">
        <v>1</v>
      </c>
      <c r="D31" s="441">
        <f t="shared" ref="D31:L31" si="0">C31+1</f>
        <v>2</v>
      </c>
      <c r="E31" s="441">
        <f t="shared" si="0"/>
        <v>3</v>
      </c>
      <c r="F31" s="441">
        <f t="shared" si="0"/>
        <v>4</v>
      </c>
      <c r="G31" s="441">
        <f t="shared" si="0"/>
        <v>5</v>
      </c>
      <c r="H31" s="441">
        <f t="shared" si="0"/>
        <v>6</v>
      </c>
      <c r="I31" s="441">
        <f t="shared" si="0"/>
        <v>7</v>
      </c>
      <c r="J31" s="441">
        <f t="shared" si="0"/>
        <v>8</v>
      </c>
      <c r="K31" s="441">
        <f t="shared" si="0"/>
        <v>9</v>
      </c>
      <c r="L31" s="441">
        <f t="shared" si="0"/>
        <v>10</v>
      </c>
    </row>
    <row r="32" spans="1:12" s="419" customFormat="1" ht="50.25" customHeight="1">
      <c r="A32" s="442" t="s">
        <v>431</v>
      </c>
      <c r="B32" s="443">
        <f>D!F4</f>
        <v>164090531.03647062</v>
      </c>
      <c r="C32" s="443">
        <f t="shared" ref="C32:L32" si="1">B32</f>
        <v>164090531.03647062</v>
      </c>
      <c r="D32" s="443">
        <f t="shared" si="1"/>
        <v>164090531.03647062</v>
      </c>
      <c r="E32" s="443">
        <f t="shared" si="1"/>
        <v>164090531.03647062</v>
      </c>
      <c r="F32" s="443">
        <f t="shared" si="1"/>
        <v>164090531.03647062</v>
      </c>
      <c r="G32" s="443">
        <f t="shared" si="1"/>
        <v>164090531.03647062</v>
      </c>
      <c r="H32" s="443">
        <f t="shared" si="1"/>
        <v>164090531.03647062</v>
      </c>
      <c r="I32" s="443">
        <f t="shared" si="1"/>
        <v>164090531.03647062</v>
      </c>
      <c r="J32" s="443">
        <f t="shared" si="1"/>
        <v>164090531.03647062</v>
      </c>
      <c r="K32" s="443">
        <f t="shared" si="1"/>
        <v>164090531.03647062</v>
      </c>
      <c r="L32" s="443">
        <f t="shared" si="1"/>
        <v>164090531.03647062</v>
      </c>
    </row>
    <row r="33" spans="1:17" s="419" customFormat="1" ht="78.75" customHeight="1">
      <c r="A33" s="442" t="s">
        <v>506</v>
      </c>
      <c r="B33" s="443">
        <f>D!F10-B32</f>
        <v>214902270.04534587</v>
      </c>
      <c r="C33" s="443">
        <f>B33*((1/(1*(1+$C$27)^C$31)))</f>
        <v>212774524.79737216</v>
      </c>
      <c r="D33" s="443">
        <f t="shared" ref="D33:L33" si="2">C33*((1/(1*(1+$C$27)^D31)))</f>
        <v>208582026.07329884</v>
      </c>
      <c r="E33" s="443">
        <f t="shared" si="2"/>
        <v>202447659.54153094</v>
      </c>
      <c r="F33" s="443">
        <f t="shared" si="2"/>
        <v>194548221.60596031</v>
      </c>
      <c r="G33" s="443">
        <f t="shared" si="2"/>
        <v>185105957.44298518</v>
      </c>
      <c r="H33" s="443">
        <f t="shared" si="2"/>
        <v>174378185.22633213</v>
      </c>
      <c r="I33" s="443">
        <f t="shared" si="2"/>
        <v>162645681.70766506</v>
      </c>
      <c r="J33" s="443">
        <f t="shared" si="2"/>
        <v>150200558.26622698</v>
      </c>
      <c r="K33" s="443">
        <f t="shared" si="2"/>
        <v>137334352.04587877</v>
      </c>
      <c r="L33" s="443">
        <f t="shared" si="2"/>
        <v>124326997.33834764</v>
      </c>
    </row>
    <row r="34" spans="1:17" s="429" customFormat="1" ht="33.75" customHeight="1">
      <c r="A34" s="444" t="s">
        <v>434</v>
      </c>
      <c r="B34" s="445">
        <f>-BAUb!E3-BAUc!E5</f>
        <v>-159800000</v>
      </c>
      <c r="C34" s="445">
        <f>B34*((1/(1*(1+$C$27)^C$31)))</f>
        <v>-158217821.78217822</v>
      </c>
      <c r="D34" s="445">
        <f t="shared" ref="D34:L34" si="3">C34*((1/(1*(1+$C$27)^D$31)))</f>
        <v>-155100305.63883758</v>
      </c>
      <c r="E34" s="445">
        <f t="shared" si="3"/>
        <v>-150538828.59362224</v>
      </c>
      <c r="F34" s="445">
        <f t="shared" si="3"/>
        <v>-144664855.35993871</v>
      </c>
      <c r="G34" s="445">
        <f t="shared" si="3"/>
        <v>-137643646.07757497</v>
      </c>
      <c r="H34" s="445">
        <f t="shared" si="3"/>
        <v>-129666540.95039587</v>
      </c>
      <c r="I34" s="445">
        <f t="shared" si="3"/>
        <v>-120942323.83585636</v>
      </c>
      <c r="J34" s="445">
        <f t="shared" si="3"/>
        <v>-111688206.950436</v>
      </c>
      <c r="K34" s="445">
        <f t="shared" si="3"/>
        <v>-102120975.51273267</v>
      </c>
      <c r="L34" s="445">
        <f t="shared" si="3"/>
        <v>-92448786.932198465</v>
      </c>
    </row>
    <row r="35" spans="1:17" ht="32.5">
      <c r="A35" s="322" t="s">
        <v>448</v>
      </c>
      <c r="B35" s="446">
        <f>SUM(B32:B34)</f>
        <v>219192801.08181649</v>
      </c>
      <c r="C35" s="446">
        <f t="shared" ref="C35:L35" si="4">SUM(C32:C34)</f>
        <v>218647234.05166453</v>
      </c>
      <c r="D35" s="446">
        <f t="shared" si="4"/>
        <v>217572251.47093189</v>
      </c>
      <c r="E35" s="446">
        <f t="shared" si="4"/>
        <v>215999361.98437932</v>
      </c>
      <c r="F35" s="446">
        <f t="shared" si="4"/>
        <v>213973897.28249219</v>
      </c>
      <c r="G35" s="446">
        <f t="shared" si="4"/>
        <v>211552842.40188086</v>
      </c>
      <c r="H35" s="446">
        <f t="shared" si="4"/>
        <v>208802175.31240684</v>
      </c>
      <c r="I35" s="446">
        <f t="shared" si="4"/>
        <v>205793888.9082793</v>
      </c>
      <c r="J35" s="446">
        <f t="shared" si="4"/>
        <v>202602882.3522616</v>
      </c>
      <c r="K35" s="446">
        <f t="shared" si="4"/>
        <v>199303907.56961673</v>
      </c>
      <c r="L35" s="446">
        <f t="shared" si="4"/>
        <v>195968741.4426198</v>
      </c>
      <c r="M35" s="37"/>
      <c r="N35" s="37"/>
      <c r="O35" s="37"/>
      <c r="P35" s="37"/>
      <c r="Q35" s="37"/>
    </row>
    <row r="36" spans="1:17" ht="36.75" customHeight="1">
      <c r="A36" s="322" t="s">
        <v>435</v>
      </c>
      <c r="B36" s="446"/>
      <c r="C36" s="446">
        <f t="shared" ref="C36:L36" si="5">C35*((1/(1*(1+$C$25)^C31)))</f>
        <v>211253366.23349231</v>
      </c>
      <c r="D36" s="446">
        <f t="shared" si="5"/>
        <v>203106024.85092479</v>
      </c>
      <c r="E36" s="446">
        <f t="shared" si="5"/>
        <v>194819048.97075766</v>
      </c>
      <c r="F36" s="446">
        <f t="shared" si="5"/>
        <v>186465889.71720049</v>
      </c>
      <c r="G36" s="446">
        <f t="shared" si="5"/>
        <v>178121816.6750339</v>
      </c>
      <c r="H36" s="446">
        <f t="shared" si="5"/>
        <v>169860704.14950332</v>
      </c>
      <c r="I36" s="446">
        <f t="shared" si="5"/>
        <v>161752136.44587758</v>
      </c>
      <c r="J36" s="446">
        <f t="shared" si="5"/>
        <v>153858970.1810289</v>
      </c>
      <c r="K36" s="446">
        <f t="shared" si="5"/>
        <v>146235449.86224389</v>
      </c>
      <c r="L36" s="446">
        <f t="shared" si="5"/>
        <v>138925927.70769909</v>
      </c>
      <c r="M36" s="37"/>
      <c r="N36" s="37"/>
      <c r="O36" s="37"/>
      <c r="P36" s="37"/>
      <c r="Q36" s="37"/>
    </row>
    <row r="37" spans="1:17" ht="9" customHeight="1">
      <c r="A37" s="322"/>
      <c r="B37" s="446"/>
      <c r="C37" s="446"/>
      <c r="D37" s="446"/>
      <c r="E37" s="446"/>
      <c r="F37" s="446"/>
      <c r="G37" s="446"/>
      <c r="H37" s="446"/>
      <c r="I37" s="446"/>
      <c r="J37" s="446"/>
      <c r="K37" s="446"/>
      <c r="L37" s="446"/>
      <c r="M37" s="37"/>
      <c r="N37" s="37"/>
      <c r="O37" s="37"/>
      <c r="P37" s="37"/>
      <c r="Q37" s="37"/>
    </row>
    <row r="38" spans="1:17" ht="9" customHeight="1">
      <c r="A38" s="322"/>
      <c r="B38" s="446"/>
      <c r="C38" s="446"/>
      <c r="D38" s="446"/>
      <c r="E38" s="446"/>
      <c r="F38" s="446"/>
      <c r="G38" s="446"/>
      <c r="H38" s="446"/>
      <c r="I38" s="446"/>
      <c r="J38" s="446"/>
      <c r="K38" s="446"/>
      <c r="L38" s="446"/>
      <c r="M38" s="37"/>
      <c r="N38" s="37"/>
      <c r="O38" s="37"/>
      <c r="P38" s="37"/>
      <c r="Q38" s="37"/>
    </row>
    <row r="39" spans="1:17" s="419" customFormat="1" ht="36" customHeight="1">
      <c r="A39" s="447" t="s">
        <v>531</v>
      </c>
      <c r="B39" s="443">
        <f t="shared" ref="B39:L39" si="6">B32+B33</f>
        <v>378992801.08181649</v>
      </c>
      <c r="C39" s="443">
        <f t="shared" si="6"/>
        <v>376865055.83384275</v>
      </c>
      <c r="D39" s="443">
        <f t="shared" si="6"/>
        <v>372672557.10976946</v>
      </c>
      <c r="E39" s="443">
        <f t="shared" si="6"/>
        <v>366538190.57800156</v>
      </c>
      <c r="F39" s="443">
        <f t="shared" si="6"/>
        <v>358638752.6424309</v>
      </c>
      <c r="G39" s="443">
        <f t="shared" si="6"/>
        <v>349196488.47945583</v>
      </c>
      <c r="H39" s="443">
        <f t="shared" si="6"/>
        <v>338468716.26280272</v>
      </c>
      <c r="I39" s="443">
        <f t="shared" si="6"/>
        <v>326736212.74413568</v>
      </c>
      <c r="J39" s="443">
        <f t="shared" si="6"/>
        <v>314291089.3026976</v>
      </c>
      <c r="K39" s="443">
        <f t="shared" si="6"/>
        <v>301424883.08234942</v>
      </c>
      <c r="L39" s="443">
        <f t="shared" si="6"/>
        <v>288417528.37481827</v>
      </c>
    </row>
    <row r="40" spans="1:17">
      <c r="A40" s="448" t="s">
        <v>534</v>
      </c>
      <c r="B40" s="448"/>
      <c r="C40" s="448">
        <f>C39*((1/(1*(1+$C$25)^C31)))</f>
        <v>364120826.89260173</v>
      </c>
      <c r="D40" s="448">
        <f t="shared" ref="D40:L40" si="7">D39*((1/(1*(1+$C$25)^D31)))</f>
        <v>347893819.79487926</v>
      </c>
      <c r="E40" s="448">
        <f t="shared" si="7"/>
        <v>330596447.34058398</v>
      </c>
      <c r="F40" s="448">
        <f t="shared" si="7"/>
        <v>312532953.54175723</v>
      </c>
      <c r="G40" s="448">
        <f t="shared" si="7"/>
        <v>294014073.26092356</v>
      </c>
      <c r="H40" s="448">
        <f t="shared" si="7"/>
        <v>275344518.75780797</v>
      </c>
      <c r="I40" s="448">
        <f t="shared" si="7"/>
        <v>256811709.7449559</v>
      </c>
      <c r="J40" s="448">
        <f t="shared" si="7"/>
        <v>238676285.23226216</v>
      </c>
      <c r="K40" s="448">
        <f t="shared" si="7"/>
        <v>221164772.50615302</v>
      </c>
      <c r="L40" s="448">
        <f t="shared" si="7"/>
        <v>204464612.06858072</v>
      </c>
    </row>
    <row r="41" spans="1:17" s="20" customFormat="1" ht="9.75" customHeight="1">
      <c r="A41" s="449"/>
      <c r="B41" s="450"/>
      <c r="C41" s="450"/>
      <c r="D41" s="450"/>
      <c r="E41" s="450"/>
      <c r="F41" s="450"/>
      <c r="G41" s="450"/>
      <c r="H41" s="450"/>
      <c r="I41" s="450"/>
      <c r="J41" s="450"/>
      <c r="K41" s="450"/>
      <c r="L41" s="450"/>
    </row>
    <row r="42" spans="1:17" s="419" customFormat="1" ht="18.75" customHeight="1">
      <c r="A42" s="448" t="s">
        <v>530</v>
      </c>
      <c r="B42" s="443"/>
      <c r="C42" s="443">
        <f>SUM(C40:L40)</f>
        <v>2845620019.1405058</v>
      </c>
      <c r="D42" s="451">
        <f>ROUND(C42,-6)</f>
        <v>2846000000</v>
      </c>
      <c r="E42" s="443"/>
      <c r="F42" s="443"/>
      <c r="G42" s="443"/>
      <c r="H42" s="443"/>
      <c r="I42" s="443"/>
      <c r="J42" s="443"/>
      <c r="K42" s="443"/>
      <c r="L42" s="443"/>
    </row>
    <row r="43" spans="1:17" s="41" customFormat="1" ht="23.25" customHeight="1">
      <c r="A43" s="452" t="s">
        <v>533</v>
      </c>
      <c r="B43" s="453"/>
      <c r="C43" s="453">
        <f>C34*((1/(1*(1+$C$25)^C31)))</f>
        <v>-152867460.65910941</v>
      </c>
      <c r="D43" s="453">
        <f t="shared" ref="D43:L43" si="8">D34*((1/(1*(1+$C$25)^D31)))</f>
        <v>-144787794.94395444</v>
      </c>
      <c r="E43" s="453">
        <f t="shared" si="8"/>
        <v>-135777398.36982629</v>
      </c>
      <c r="F43" s="453">
        <f t="shared" si="8"/>
        <v>-126067063.82455675</v>
      </c>
      <c r="G43" s="453">
        <f t="shared" si="8"/>
        <v>-115892256.58588968</v>
      </c>
      <c r="H43" s="453">
        <f t="shared" si="8"/>
        <v>-105483814.60830465</v>
      </c>
      <c r="I43" s="453">
        <f t="shared" si="8"/>
        <v>-95059573.299078301</v>
      </c>
      <c r="J43" s="453">
        <f t="shared" si="8"/>
        <v>-84817315.051233247</v>
      </c>
      <c r="K43" s="453">
        <f t="shared" si="8"/>
        <v>-74929322.643909127</v>
      </c>
      <c r="L43" s="453">
        <f t="shared" si="8"/>
        <v>-65538684.360881627</v>
      </c>
    </row>
    <row r="44" spans="1:17" s="429" customFormat="1" ht="23.25" customHeight="1">
      <c r="A44" s="454" t="s">
        <v>532</v>
      </c>
      <c r="B44" s="445"/>
      <c r="C44" s="445">
        <f>SUM(C43:L43)</f>
        <v>-1101220684.3467436</v>
      </c>
      <c r="D44" s="455">
        <f>ROUND(C44,-6)</f>
        <v>-1101000000</v>
      </c>
      <c r="E44" s="445"/>
      <c r="F44" s="445"/>
      <c r="G44" s="445"/>
      <c r="H44" s="445"/>
      <c r="I44" s="445"/>
      <c r="J44" s="445"/>
      <c r="K44" s="445"/>
      <c r="L44" s="445"/>
    </row>
    <row r="45" spans="1:17" s="20" customFormat="1" ht="10.5" customHeight="1">
      <c r="A45" s="456"/>
      <c r="B45" s="450"/>
      <c r="C45" s="450"/>
      <c r="D45" s="457"/>
      <c r="E45" s="450"/>
      <c r="F45" s="450"/>
      <c r="G45" s="450"/>
      <c r="H45" s="450"/>
      <c r="I45" s="450"/>
      <c r="J45" s="450"/>
      <c r="K45" s="450"/>
      <c r="L45" s="450"/>
    </row>
    <row r="46" spans="1:17" ht="36" customHeight="1">
      <c r="A46" s="387" t="s">
        <v>529</v>
      </c>
      <c r="B46" s="387"/>
      <c r="C46" s="427">
        <f>SUM(C36:L36)</f>
        <v>1744399334.793762</v>
      </c>
      <c r="D46" s="428">
        <f>ROUND(C46,-6)</f>
        <v>1744000000</v>
      </c>
      <c r="E46" s="427"/>
      <c r="F46" s="387"/>
      <c r="G46" s="387"/>
      <c r="H46" s="387"/>
      <c r="I46" s="387"/>
      <c r="J46" s="387"/>
      <c r="K46" s="387"/>
      <c r="L46" s="387"/>
    </row>
    <row r="47" spans="1:17">
      <c r="A47" s="458" t="s">
        <v>252</v>
      </c>
      <c r="B47" s="458"/>
      <c r="C47" s="459"/>
      <c r="D47" s="459"/>
      <c r="E47" s="459"/>
      <c r="F47" s="459"/>
      <c r="G47" s="459"/>
      <c r="H47" s="459"/>
      <c r="I47" s="459"/>
      <c r="J47" s="441"/>
      <c r="K47" s="441"/>
      <c r="L47" s="441"/>
    </row>
    <row r="48" spans="1:17" ht="60.75" customHeight="1">
      <c r="A48" s="322" t="s">
        <v>432</v>
      </c>
      <c r="B48" s="446">
        <f>'3b'!E5</f>
        <v>26283801.580043636</v>
      </c>
      <c r="C48" s="446">
        <f t="shared" ref="C48:L48" si="9">B48</f>
        <v>26283801.580043636</v>
      </c>
      <c r="D48" s="446">
        <f t="shared" si="9"/>
        <v>26283801.580043636</v>
      </c>
      <c r="E48" s="446">
        <f t="shared" si="9"/>
        <v>26283801.580043636</v>
      </c>
      <c r="F48" s="446">
        <f t="shared" si="9"/>
        <v>26283801.580043636</v>
      </c>
      <c r="G48" s="446">
        <f t="shared" si="9"/>
        <v>26283801.580043636</v>
      </c>
      <c r="H48" s="446">
        <f t="shared" si="9"/>
        <v>26283801.580043636</v>
      </c>
      <c r="I48" s="446">
        <f t="shared" si="9"/>
        <v>26283801.580043636</v>
      </c>
      <c r="J48" s="446">
        <f t="shared" si="9"/>
        <v>26283801.580043636</v>
      </c>
      <c r="K48" s="446">
        <f t="shared" si="9"/>
        <v>26283801.580043636</v>
      </c>
      <c r="L48" s="446">
        <f t="shared" si="9"/>
        <v>26283801.580043636</v>
      </c>
    </row>
    <row r="49" spans="1:12" ht="48">
      <c r="A49" s="322" t="s">
        <v>436</v>
      </c>
      <c r="B49" s="460"/>
      <c r="C49" s="446">
        <f t="shared" ref="C49:L49" si="10">C48*((1/(1*(1+$C$26)^C31)))</f>
        <v>25895371.014821321</v>
      </c>
      <c r="D49" s="446">
        <f t="shared" si="10"/>
        <v>25512680.80277963</v>
      </c>
      <c r="E49" s="446">
        <f t="shared" si="10"/>
        <v>25135646.111112937</v>
      </c>
      <c r="F49" s="446">
        <f t="shared" si="10"/>
        <v>24764183.360702407</v>
      </c>
      <c r="G49" s="446">
        <f t="shared" si="10"/>
        <v>24398210.20758858</v>
      </c>
      <c r="H49" s="446">
        <f t="shared" si="10"/>
        <v>24037645.524717815</v>
      </c>
      <c r="I49" s="446">
        <f t="shared" si="10"/>
        <v>23682409.383958444</v>
      </c>
      <c r="J49" s="427">
        <f t="shared" si="10"/>
        <v>23332423.038382705</v>
      </c>
      <c r="K49" s="427">
        <f t="shared" si="10"/>
        <v>22987608.904810552</v>
      </c>
      <c r="L49" s="427">
        <f t="shared" si="10"/>
        <v>22647890.546611384</v>
      </c>
    </row>
    <row r="50" spans="1:12" ht="68.25" customHeight="1">
      <c r="A50" s="322" t="s">
        <v>446</v>
      </c>
      <c r="B50" s="446">
        <f>F16-B48</f>
        <v>314716198.41995639</v>
      </c>
      <c r="C50" s="446">
        <f t="shared" ref="C50:L50" si="11">B50*((1/(1*(1+$C$28)^C$31)))</f>
        <v>313150446.18901139</v>
      </c>
      <c r="D50" s="446">
        <f t="shared" si="11"/>
        <v>310042272.4081201</v>
      </c>
      <c r="E50" s="446">
        <f t="shared" si="11"/>
        <v>305437759.99645364</v>
      </c>
      <c r="F50" s="446">
        <f t="shared" si="11"/>
        <v>299404607.27052134</v>
      </c>
      <c r="G50" s="446">
        <f t="shared" si="11"/>
        <v>292030471.90336394</v>
      </c>
      <c r="H50" s="446">
        <f t="shared" si="11"/>
        <v>283420852.30022508</v>
      </c>
      <c r="I50" s="446">
        <f t="shared" si="11"/>
        <v>273696577.94123071</v>
      </c>
      <c r="J50" s="427">
        <f t="shared" si="11"/>
        <v>262990992.07484573</v>
      </c>
      <c r="K50" s="427">
        <f t="shared" si="11"/>
        <v>251446918.42568105</v>
      </c>
      <c r="L50" s="427">
        <f t="shared" si="11"/>
        <v>239213508.0386444</v>
      </c>
    </row>
    <row r="51" spans="1:12" ht="48">
      <c r="A51" s="322" t="s">
        <v>437</v>
      </c>
      <c r="B51" s="461"/>
      <c r="C51" s="446">
        <f t="shared" ref="C51:L51" si="12">C50*((1/(1*(1+$C$25)^C31)))</f>
        <v>302560817.57392406</v>
      </c>
      <c r="D51" s="446">
        <f t="shared" si="12"/>
        <v>289427778.8588953</v>
      </c>
      <c r="E51" s="446">
        <f t="shared" si="12"/>
        <v>275487359.66438144</v>
      </c>
      <c r="F51" s="446">
        <f t="shared" si="12"/>
        <v>260913817.9430393</v>
      </c>
      <c r="G51" s="446">
        <f t="shared" si="12"/>
        <v>245881821.2476646</v>
      </c>
      <c r="H51" s="446">
        <f t="shared" si="12"/>
        <v>230563045.95648554</v>
      </c>
      <c r="I51" s="446">
        <f t="shared" si="12"/>
        <v>215123036.23190171</v>
      </c>
      <c r="J51" s="427">
        <f t="shared" si="12"/>
        <v>199718398.56241423</v>
      </c>
      <c r="K51" s="427">
        <f t="shared" si="12"/>
        <v>184494391.91055757</v>
      </c>
      <c r="L51" s="427">
        <f t="shared" si="12"/>
        <v>169582956.34210885</v>
      </c>
    </row>
    <row r="52" spans="1:12" ht="32.5">
      <c r="A52" s="322" t="s">
        <v>447</v>
      </c>
      <c r="B52" s="460"/>
      <c r="C52" s="446">
        <f t="shared" ref="C52:L52" si="13">C49+C51</f>
        <v>328456188.58874536</v>
      </c>
      <c r="D52" s="446">
        <f t="shared" si="13"/>
        <v>314940459.66167492</v>
      </c>
      <c r="E52" s="446">
        <f t="shared" si="13"/>
        <v>300623005.7754944</v>
      </c>
      <c r="F52" s="446">
        <f t="shared" si="13"/>
        <v>285678001.30374169</v>
      </c>
      <c r="G52" s="446">
        <f t="shared" si="13"/>
        <v>270280031.45525318</v>
      </c>
      <c r="H52" s="446">
        <f t="shared" si="13"/>
        <v>254600691.48120335</v>
      </c>
      <c r="I52" s="446">
        <f t="shared" si="13"/>
        <v>238805445.61586016</v>
      </c>
      <c r="J52" s="427">
        <f t="shared" si="13"/>
        <v>223050821.60079694</v>
      </c>
      <c r="K52" s="427">
        <f t="shared" si="13"/>
        <v>207482000.81536812</v>
      </c>
      <c r="L52" s="427">
        <f t="shared" si="13"/>
        <v>192230846.88872021</v>
      </c>
    </row>
    <row r="53" spans="1:12" ht="21.5" thickBot="1">
      <c r="A53" s="321"/>
      <c r="B53" s="361"/>
      <c r="C53" s="361"/>
      <c r="D53" s="436" t="s">
        <v>524</v>
      </c>
      <c r="E53" s="361"/>
      <c r="F53" s="361"/>
      <c r="G53" s="361"/>
      <c r="H53" s="361"/>
      <c r="I53" s="361"/>
      <c r="J53" s="321"/>
      <c r="K53" s="321"/>
      <c r="L53" s="321"/>
    </row>
    <row r="54" spans="1:12" ht="21.5" thickBot="1">
      <c r="A54" s="362" t="s">
        <v>449</v>
      </c>
      <c r="B54" s="363"/>
      <c r="C54" s="360">
        <f>SUM(C52:L52)</f>
        <v>2616147493.1868582</v>
      </c>
      <c r="D54" s="411">
        <f>ROUND(C54,-6)</f>
        <v>2616000000</v>
      </c>
      <c r="E54" s="321"/>
      <c r="F54" s="321"/>
      <c r="G54" s="321"/>
      <c r="H54" s="321"/>
      <c r="I54" s="321"/>
      <c r="J54" s="321"/>
      <c r="K54" s="321"/>
      <c r="L54" s="321"/>
    </row>
    <row r="55" spans="1:12">
      <c r="A55" s="184"/>
      <c r="B55" s="184"/>
      <c r="C55" s="184"/>
      <c r="D55" s="184"/>
      <c r="E55" s="184"/>
      <c r="F55" s="184"/>
      <c r="G55" s="184"/>
      <c r="H55" s="184"/>
      <c r="I55" s="184"/>
      <c r="J55" s="184"/>
    </row>
    <row r="56" spans="1:12">
      <c r="A56" s="184" t="s">
        <v>520</v>
      </c>
      <c r="B56" s="184"/>
      <c r="C56" s="411">
        <f>C54-C46</f>
        <v>871748158.39309621</v>
      </c>
      <c r="D56" s="411">
        <f>ROUND(C56,-6)</f>
        <v>872000000</v>
      </c>
      <c r="E56" s="184"/>
      <c r="F56" s="184"/>
      <c r="G56" s="184"/>
      <c r="H56" s="184"/>
      <c r="I56" s="184"/>
      <c r="J56" s="184"/>
    </row>
    <row r="57" spans="1:12">
      <c r="I57" t="s">
        <v>379</v>
      </c>
    </row>
    <row r="58" spans="1:12">
      <c r="A58" t="s">
        <v>508</v>
      </c>
      <c r="B58" t="s">
        <v>511</v>
      </c>
      <c r="D58" s="402">
        <f>C54/'A fiscal'!D22</f>
        <v>-1.7452595444430383</v>
      </c>
    </row>
  </sheetData>
  <mergeCells count="3">
    <mergeCell ref="A5:H5"/>
    <mergeCell ref="A6:D6"/>
    <mergeCell ref="E6:H6"/>
  </mergeCell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6ED82-02A4-409E-AD48-1CF5E22CB6BF}">
  <sheetPr>
    <tabColor theme="5"/>
  </sheetPr>
  <dimension ref="A1:AJ25"/>
  <sheetViews>
    <sheetView zoomScaleNormal="100" workbookViewId="0"/>
  </sheetViews>
  <sheetFormatPr defaultRowHeight="21"/>
  <cols>
    <col min="1" max="1" width="26.375" customWidth="1"/>
    <col min="2" max="3" width="11.5625" customWidth="1"/>
    <col min="4" max="4" width="12.8125" customWidth="1"/>
    <col min="5" max="13" width="11.0625" customWidth="1"/>
    <col min="14" max="14" width="12.25" bestFit="1" customWidth="1"/>
  </cols>
  <sheetData>
    <row r="1" spans="1:36">
      <c r="A1" s="464" t="s">
        <v>323</v>
      </c>
      <c r="B1" s="464"/>
      <c r="C1" s="464"/>
      <c r="D1" s="465" t="s">
        <v>468</v>
      </c>
      <c r="E1" s="466"/>
      <c r="F1" s="466"/>
      <c r="G1" s="466"/>
      <c r="H1" s="466"/>
      <c r="I1" s="467" t="s">
        <v>471</v>
      </c>
      <c r="J1" s="467"/>
      <c r="K1" s="134"/>
      <c r="L1" s="134"/>
      <c r="M1" s="134"/>
    </row>
    <row r="2" spans="1:36">
      <c r="A2" s="464"/>
      <c r="B2" s="464" t="s">
        <v>467</v>
      </c>
      <c r="C2" s="464" t="s">
        <v>539</v>
      </c>
      <c r="D2" s="465"/>
      <c r="E2" s="466"/>
      <c r="F2" s="466"/>
      <c r="G2" s="467"/>
      <c r="H2" s="467"/>
      <c r="I2" s="467"/>
      <c r="J2" s="467"/>
      <c r="K2" s="134"/>
      <c r="L2" s="134"/>
      <c r="M2" s="134"/>
    </row>
    <row r="3" spans="1:36">
      <c r="A3" s="468" t="s">
        <v>438</v>
      </c>
      <c r="B3" s="466">
        <v>0</v>
      </c>
      <c r="C3" s="466" t="s">
        <v>524</v>
      </c>
      <c r="D3" s="466">
        <v>1</v>
      </c>
      <c r="E3" s="466">
        <f t="shared" ref="E3:M3" si="0">D3+1</f>
        <v>2</v>
      </c>
      <c r="F3" s="466">
        <f t="shared" si="0"/>
        <v>3</v>
      </c>
      <c r="G3" s="466">
        <f t="shared" si="0"/>
        <v>4</v>
      </c>
      <c r="H3" s="466">
        <f t="shared" si="0"/>
        <v>5</v>
      </c>
      <c r="I3" s="466">
        <f t="shared" si="0"/>
        <v>6</v>
      </c>
      <c r="J3" s="466">
        <f t="shared" si="0"/>
        <v>7</v>
      </c>
      <c r="K3" s="466">
        <f t="shared" si="0"/>
        <v>8</v>
      </c>
      <c r="L3" s="466">
        <f t="shared" si="0"/>
        <v>9</v>
      </c>
      <c r="M3" s="466">
        <f t="shared" si="0"/>
        <v>10</v>
      </c>
    </row>
    <row r="4" spans="1:36" s="356" customFormat="1" ht="32.5">
      <c r="A4" s="469" t="s">
        <v>501</v>
      </c>
      <c r="B4" s="470">
        <f>-BAUc!D3</f>
        <v>-97739339.497201532</v>
      </c>
      <c r="C4" s="470">
        <f>ROUND(B4,-6)</f>
        <v>-98000000</v>
      </c>
      <c r="D4" s="470">
        <f>B4*((1/(1*(1+' A all'!$C$27)^' A all'!C$31)))</f>
        <v>-96771623.264555976</v>
      </c>
      <c r="E4" s="470">
        <f>D4*((1/(1*(1+' A all'!$C$27)^' A all'!D$31)))</f>
        <v>-94864839.98093909</v>
      </c>
      <c r="F4" s="470">
        <f>E4*((1/(1*(1+' A all'!$C$27)^' A all'!E$31)))</f>
        <v>-92074879.070232004</v>
      </c>
      <c r="G4" s="470">
        <f>F4*((1/(1*(1+' A all'!$C$27)^' A all'!F$31)))</f>
        <v>-88482149.007125199</v>
      </c>
      <c r="H4" s="470">
        <f>G4*((1/(1*(1+' A all'!$C$27)^' A all'!G$31)))</f>
        <v>-84187728.745987192</v>
      </c>
      <c r="I4" s="470">
        <f>H4*((1/(1*(1+' A all'!$C$27)^' A all'!H$31)))</f>
        <v>-79308648.732030839</v>
      </c>
      <c r="J4" s="470">
        <f>I4*((1/(1*(1+' A all'!$C$27)^' A all'!I$31)))</f>
        <v>-73972608.566791341</v>
      </c>
      <c r="K4" s="470">
        <f>J4*((1/(1*(1+' A all'!$C$27)^' A all'!J$31)))</f>
        <v>-68312462.934683159</v>
      </c>
      <c r="L4" s="470">
        <f>K4*((1/(1*(1+' A all'!$C$27)^' A all'!K$31)))</f>
        <v>-62460805.353093766</v>
      </c>
      <c r="M4" s="470">
        <f>L4*((1/(1*(1+' A all'!$C$27)^' A all'!L$31)))</f>
        <v>-56544952.265773438</v>
      </c>
      <c r="N4" s="148"/>
      <c r="O4"/>
      <c r="P4"/>
      <c r="Q4"/>
      <c r="R4"/>
      <c r="S4"/>
      <c r="T4"/>
      <c r="U4"/>
      <c r="V4"/>
      <c r="W4"/>
      <c r="X4"/>
      <c r="Y4"/>
      <c r="Z4"/>
      <c r="AA4"/>
      <c r="AB4"/>
      <c r="AC4"/>
      <c r="AD4"/>
      <c r="AE4"/>
      <c r="AF4"/>
      <c r="AG4"/>
      <c r="AH4"/>
      <c r="AI4"/>
      <c r="AJ4"/>
    </row>
    <row r="5" spans="1:36" ht="32.5">
      <c r="A5" s="471" t="str">
        <f>' A all'!A32</f>
        <v>Child benefit--number of beneficiaries unchanged over 10 yrs</v>
      </c>
      <c r="B5" s="472">
        <f>-' A all'!B32</f>
        <v>-164090531.03647062</v>
      </c>
      <c r="C5" s="470">
        <f t="shared" ref="C5:C10" si="1">ROUND(B5,-6)</f>
        <v>-164000000</v>
      </c>
      <c r="D5" s="472">
        <f>-' A all'!C32</f>
        <v>-164090531.03647062</v>
      </c>
      <c r="E5" s="472">
        <f>-' A all'!D32</f>
        <v>-164090531.03647062</v>
      </c>
      <c r="F5" s="472">
        <f>-' A all'!E32</f>
        <v>-164090531.03647062</v>
      </c>
      <c r="G5" s="472">
        <f>-' A all'!F32</f>
        <v>-164090531.03647062</v>
      </c>
      <c r="H5" s="472">
        <f>-' A all'!G32</f>
        <v>-164090531.03647062</v>
      </c>
      <c r="I5" s="472">
        <f>-' A all'!H32</f>
        <v>-164090531.03647062</v>
      </c>
      <c r="J5" s="472">
        <f>-' A all'!I32</f>
        <v>-164090531.03647062</v>
      </c>
      <c r="K5" s="472">
        <f>-' A all'!J32</f>
        <v>-164090531.03647062</v>
      </c>
      <c r="L5" s="472">
        <f>-' A all'!K32</f>
        <v>-164090531.03647062</v>
      </c>
      <c r="M5" s="472">
        <f>-' A all'!L32</f>
        <v>-164090531.03647062</v>
      </c>
    </row>
    <row r="6" spans="1:36" ht="48">
      <c r="A6" s="471" t="s">
        <v>470</v>
      </c>
      <c r="B6" s="472">
        <f>-(D!F10-D!F4)</f>
        <v>-214902270.04534587</v>
      </c>
      <c r="C6" s="470">
        <f t="shared" si="1"/>
        <v>-215000000</v>
      </c>
      <c r="D6" s="472">
        <f>B6*((1/(1*(1+' A all'!$C$27)^' A all'!C$31)))</f>
        <v>-212774524.79737216</v>
      </c>
      <c r="E6" s="472">
        <f>D6*((1/(1*(1+' A all'!$C$27)^' A all'!D$31)))</f>
        <v>-208582026.07329884</v>
      </c>
      <c r="F6" s="472">
        <f>E6*((1/(1*(1+' A all'!$C$27)^' A all'!E$31)))</f>
        <v>-202447659.54153094</v>
      </c>
      <c r="G6" s="472">
        <f>F6*((1/(1*(1+' A all'!$C$27)^' A all'!F$31)))</f>
        <v>-194548221.60596031</v>
      </c>
      <c r="H6" s="472">
        <f>G6*((1/(1*(1+' A all'!$C$27)^' A all'!G$31)))</f>
        <v>-185105957.44298518</v>
      </c>
      <c r="I6" s="472">
        <f>H6*((1/(1*(1+' A all'!$C$27)^' A all'!H$31)))</f>
        <v>-174378185.22633213</v>
      </c>
      <c r="J6" s="472">
        <f>I6*((1/(1*(1+' A all'!$C$27)^' A all'!I$31)))</f>
        <v>-162645681.70766506</v>
      </c>
      <c r="K6" s="472">
        <f>J6*((1/(1*(1+' A all'!$C$27)^' A all'!J$31)))</f>
        <v>-150200558.26622698</v>
      </c>
      <c r="L6" s="472">
        <f>K6*((1/(1*(1+' A all'!$C$27)^' A all'!K$31)))</f>
        <v>-137334352.04587877</v>
      </c>
      <c r="M6" s="472">
        <f>L6*((1/(1*(1+' A all'!$C$27)^' A all'!L$31)))</f>
        <v>-124326997.33834764</v>
      </c>
    </row>
    <row r="7" spans="1:36" ht="32.5">
      <c r="A7" s="473" t="s">
        <v>439</v>
      </c>
      <c r="B7" s="474">
        <f>'1b'!R10+'4b'!G7</f>
        <v>29850855.985390104</v>
      </c>
      <c r="C7" s="470">
        <f t="shared" si="1"/>
        <v>30000000</v>
      </c>
      <c r="D7" s="475">
        <f>B7*((1/(1*(1+' A all'!$C$27)^' A all'!C$31)))</f>
        <v>29555302.955831785</v>
      </c>
      <c r="E7" s="475">
        <f>D7*((1/(1*(1+' A all'!$C$27)^' A all'!D$31)))</f>
        <v>28972946.72662659</v>
      </c>
      <c r="F7" s="475">
        <f>E7*((1/(1*(1+' A all'!$C$27)^' A all'!E$31)))</f>
        <v>28120856.649296265</v>
      </c>
      <c r="G7" s="475">
        <f>F7*((1/(1*(1+' A all'!$C$27)^' A all'!F$31)))</f>
        <v>27023590.509992618</v>
      </c>
      <c r="H7" s="475">
        <f>G7*((1/(1*(1+' A all'!$C$27)^' A all'!G$31)))</f>
        <v>25712019.126193341</v>
      </c>
      <c r="I7" s="475">
        <f>H7*((1/(1*(1+' A all'!$C$27)^' A all'!H$31)))</f>
        <v>24221885.106595464</v>
      </c>
      <c r="J7" s="475">
        <f>I7*((1/(1*(1+' A all'!$C$27)^' A all'!I$31)))</f>
        <v>22592189.557963461</v>
      </c>
      <c r="K7" s="475">
        <f>J7*((1/(1*(1+' A all'!$C$27)^' A all'!J$31)))</f>
        <v>20863508.015919339</v>
      </c>
      <c r="L7" s="475">
        <f>K7*((1/(1*(1+' A all'!$C$27)^' A all'!K$31)))</f>
        <v>19076336.252303701</v>
      </c>
      <c r="M7" s="475">
        <f>L7*((1/(1*(1+' A all'!$C$27)^' A all'!L$31)))</f>
        <v>17269558.352547374</v>
      </c>
    </row>
    <row r="8" spans="1:36" ht="32.5">
      <c r="A8" s="473" t="s">
        <v>469</v>
      </c>
      <c r="B8" s="474">
        <f>'3b'!E4</f>
        <v>7308223.4483854938</v>
      </c>
      <c r="C8" s="470">
        <f t="shared" si="1"/>
        <v>7000000</v>
      </c>
      <c r="D8" s="475">
        <f>B8</f>
        <v>7308223.4483854938</v>
      </c>
      <c r="E8" s="475">
        <f t="shared" ref="E8:M8" si="2">D8</f>
        <v>7308223.4483854938</v>
      </c>
      <c r="F8" s="475">
        <f t="shared" si="2"/>
        <v>7308223.4483854938</v>
      </c>
      <c r="G8" s="475">
        <f t="shared" si="2"/>
        <v>7308223.4483854938</v>
      </c>
      <c r="H8" s="475">
        <f t="shared" si="2"/>
        <v>7308223.4483854938</v>
      </c>
      <c r="I8" s="475">
        <f t="shared" si="2"/>
        <v>7308223.4483854938</v>
      </c>
      <c r="J8" s="475">
        <f t="shared" si="2"/>
        <v>7308223.4483854938</v>
      </c>
      <c r="K8" s="475">
        <f t="shared" si="2"/>
        <v>7308223.4483854938</v>
      </c>
      <c r="L8" s="475">
        <f t="shared" si="2"/>
        <v>7308223.4483854938</v>
      </c>
      <c r="M8" s="475">
        <f t="shared" si="2"/>
        <v>7308223.4483854938</v>
      </c>
    </row>
    <row r="9" spans="1:36">
      <c r="A9" s="476" t="s">
        <v>440</v>
      </c>
      <c r="B9" s="477">
        <f t="shared" ref="B9:M9" si="3">SUM(B5:B8)</f>
        <v>-341833721.64804089</v>
      </c>
      <c r="C9" s="470">
        <f t="shared" si="1"/>
        <v>-342000000</v>
      </c>
      <c r="D9" s="477">
        <f t="shared" si="3"/>
        <v>-340001529.42962551</v>
      </c>
      <c r="E9" s="477">
        <f t="shared" si="3"/>
        <v>-336391386.93475741</v>
      </c>
      <c r="F9" s="477">
        <f t="shared" si="3"/>
        <v>-331109110.4803198</v>
      </c>
      <c r="G9" s="477">
        <f t="shared" si="3"/>
        <v>-324306938.68405282</v>
      </c>
      <c r="H9" s="477">
        <f t="shared" si="3"/>
        <v>-316176245.90487701</v>
      </c>
      <c r="I9" s="477">
        <f t="shared" si="3"/>
        <v>-306938607.70782179</v>
      </c>
      <c r="J9" s="477">
        <f t="shared" si="3"/>
        <v>-296835799.73778677</v>
      </c>
      <c r="K9" s="477">
        <f t="shared" si="3"/>
        <v>-286119357.83839279</v>
      </c>
      <c r="L9" s="477">
        <f t="shared" si="3"/>
        <v>-275040323.38166022</v>
      </c>
      <c r="M9" s="477">
        <f t="shared" si="3"/>
        <v>-263839746.57388541</v>
      </c>
    </row>
    <row r="10" spans="1:36">
      <c r="A10" s="322" t="s">
        <v>442</v>
      </c>
      <c r="B10" s="446">
        <f t="shared" ref="B10:M10" si="4">B9-B4</f>
        <v>-244094382.15083936</v>
      </c>
      <c r="C10" s="470">
        <f t="shared" si="1"/>
        <v>-244000000</v>
      </c>
      <c r="D10" s="446">
        <f t="shared" si="4"/>
        <v>-243229906.16506952</v>
      </c>
      <c r="E10" s="446">
        <f t="shared" si="4"/>
        <v>-241526546.95381832</v>
      </c>
      <c r="F10" s="446">
        <f t="shared" si="4"/>
        <v>-239034231.41008779</v>
      </c>
      <c r="G10" s="427">
        <f t="shared" si="4"/>
        <v>-235824789.67692763</v>
      </c>
      <c r="H10" s="427">
        <f t="shared" si="4"/>
        <v>-231988517.15888983</v>
      </c>
      <c r="I10" s="427">
        <f t="shared" si="4"/>
        <v>-227629958.97579095</v>
      </c>
      <c r="J10" s="427">
        <f t="shared" si="4"/>
        <v>-222863191.17099541</v>
      </c>
      <c r="K10" s="427">
        <f t="shared" si="4"/>
        <v>-217806894.90370965</v>
      </c>
      <c r="L10" s="427">
        <f t="shared" si="4"/>
        <v>-212579518.02856645</v>
      </c>
      <c r="M10" s="427">
        <f t="shared" si="4"/>
        <v>-207294794.30811197</v>
      </c>
    </row>
    <row r="11" spans="1:36" ht="32.5">
      <c r="A11" s="322" t="s">
        <v>441</v>
      </c>
      <c r="B11" s="322"/>
      <c r="C11" s="322"/>
      <c r="D11" s="427">
        <f>D10*((1/(1*(1+' A all'!$C$25)^' A all'!C$31)))</f>
        <v>-235004740.25610584</v>
      </c>
      <c r="E11" s="427">
        <f>E10*((1/(1*(1+' A all'!$C$25)^' A all'!D$31)))</f>
        <v>-225467616.00393787</v>
      </c>
      <c r="F11" s="427">
        <f>F10*((1/(1*(1+' A all'!$C$25)^' A all'!E$31)))</f>
        <v>-215595181.42529076</v>
      </c>
      <c r="G11" s="427">
        <f>G10*((1/(1*(1+' A all'!$C$25)^' A all'!F$31)))</f>
        <v>-205507680.06260911</v>
      </c>
      <c r="H11" s="427">
        <f>H10*((1/(1*(1+' A all'!$C$25)^' A all'!G$31)))</f>
        <v>-195328106.46708354</v>
      </c>
      <c r="I11" s="427">
        <f>I10*((1/(1*(1+' A all'!$C$25)^' A all'!H$31)))</f>
        <v>-185177118.29055327</v>
      </c>
      <c r="J11" s="427">
        <f>J10*((1/(1*(1+' A all'!$C$25)^' A all'!I$31)))</f>
        <v>-175168453.72955233</v>
      </c>
      <c r="K11" s="427">
        <f>K10*((1/(1*(1+' A all'!$C$25)^' A all'!J$31)))</f>
        <v>-165405073.01345548</v>
      </c>
      <c r="L11" s="427">
        <f>L10*((1/(1*(1+' A all'!$C$25)^' A all'!K$31)))</f>
        <v>-155976176.43069968</v>
      </c>
      <c r="M11" s="427">
        <f>M10*((1/(1*(1+' A all'!$C$25)^' A all'!L$31)))</f>
        <v>-146955179.66911796</v>
      </c>
    </row>
    <row r="12" spans="1:36" ht="48.75" customHeight="1" thickBot="1">
      <c r="A12" s="462" t="s">
        <v>466</v>
      </c>
      <c r="B12" s="81"/>
      <c r="C12" s="81"/>
      <c r="D12" s="463">
        <f>SUM(D11:M11)</f>
        <v>-1905585325.3484056</v>
      </c>
      <c r="E12" s="351"/>
      <c r="F12" s="351"/>
      <c r="G12" s="351"/>
      <c r="H12" s="351"/>
      <c r="I12" s="351"/>
      <c r="J12" s="351"/>
      <c r="K12" s="351"/>
      <c r="L12" s="351"/>
      <c r="M12" s="351"/>
    </row>
    <row r="13" spans="1:36" ht="23.25" customHeight="1">
      <c r="A13" s="372"/>
      <c r="B13" s="31"/>
      <c r="C13" s="31"/>
      <c r="D13" s="351"/>
      <c r="E13" s="351"/>
      <c r="F13" s="351"/>
      <c r="G13" s="351"/>
      <c r="H13" s="351"/>
      <c r="I13" s="351"/>
      <c r="J13" s="351"/>
      <c r="K13" s="351"/>
      <c r="L13" s="351"/>
      <c r="M13" s="351"/>
    </row>
    <row r="14" spans="1:36">
      <c r="A14" s="352"/>
      <c r="B14" s="371" t="s">
        <v>467</v>
      </c>
      <c r="C14" s="371"/>
      <c r="D14" s="205"/>
      <c r="E14" s="351"/>
      <c r="F14" s="351"/>
      <c r="G14" s="351"/>
      <c r="H14" s="351"/>
      <c r="I14" s="351"/>
      <c r="J14" s="351"/>
      <c r="K14" s="351"/>
      <c r="L14" s="351"/>
      <c r="M14" s="351"/>
    </row>
    <row r="15" spans="1:36">
      <c r="A15" s="370" t="s">
        <v>443</v>
      </c>
      <c r="B15" s="353">
        <v>0</v>
      </c>
      <c r="C15" s="353"/>
      <c r="D15" s="353">
        <v>1</v>
      </c>
      <c r="E15" s="353">
        <f t="shared" ref="E15:M15" si="5">D15+1</f>
        <v>2</v>
      </c>
      <c r="F15" s="353">
        <f t="shared" si="5"/>
        <v>3</v>
      </c>
      <c r="G15" s="353">
        <f t="shared" si="5"/>
        <v>4</v>
      </c>
      <c r="H15" s="353">
        <f t="shared" si="5"/>
        <v>5</v>
      </c>
      <c r="I15" s="353">
        <f t="shared" si="5"/>
        <v>6</v>
      </c>
      <c r="J15" s="353">
        <f t="shared" si="5"/>
        <v>7</v>
      </c>
      <c r="K15" s="353">
        <f t="shared" si="5"/>
        <v>8</v>
      </c>
      <c r="L15" s="353">
        <f t="shared" si="5"/>
        <v>9</v>
      </c>
      <c r="M15" s="353">
        <f t="shared" si="5"/>
        <v>10</v>
      </c>
    </row>
    <row r="16" spans="1:36" ht="48">
      <c r="A16" s="354" t="s">
        <v>502</v>
      </c>
      <c r="B16" s="355">
        <f>-BAUb!E5</f>
        <v>-62000000</v>
      </c>
      <c r="C16" s="355"/>
      <c r="D16" s="355">
        <f>B16*((1/(1*(1+' A all'!$C$27)^' A all'!C$31)))</f>
        <v>-61386138.613861382</v>
      </c>
      <c r="E16" s="355">
        <f>D16*((1/(1*(1+' A all'!$C$27)^' A all'!D$31)))</f>
        <v>-60176589.171513945</v>
      </c>
      <c r="F16" s="355">
        <f>E16*((1/(1*(1+' A all'!$C$27)^' A all'!E$31)))</f>
        <v>-58406804.585760809</v>
      </c>
      <c r="G16" s="355">
        <f>F16*((1/(1*(1+' A all'!$C$27)^' A all'!F$31)))</f>
        <v>-56127791.190964952</v>
      </c>
      <c r="H16" s="355">
        <f>G16*((1/(1*(1+' A all'!$C$27)^' A all'!G$31)))</f>
        <v>-53403667.439359494</v>
      </c>
      <c r="I16" s="355">
        <f>H16*((1/(1*(1+' A all'!$C$27)^' A all'!H$31)))</f>
        <v>-50308670.456348829</v>
      </c>
      <c r="J16" s="355">
        <f>I16*((1/(1*(1+' A all'!$C$27)^' A all'!I$31)))</f>
        <v>-46923805.242948018</v>
      </c>
      <c r="K16" s="355">
        <f>J16*((1/(1*(1+' A all'!$C$27)^' A all'!J$31)))</f>
        <v>-43333346.876890048</v>
      </c>
      <c r="L16" s="355">
        <f>K16*((1/(1*(1+' A all'!$C$27)^' A all'!K$31)))</f>
        <v>-39621404.767142825</v>
      </c>
      <c r="M16" s="355">
        <f>L16*((1/(1*(1+' A all'!$C$27)^' A all'!L$31)))</f>
        <v>-35868740.862304769</v>
      </c>
    </row>
    <row r="17" spans="1:13" ht="48">
      <c r="A17" s="357" t="s">
        <v>503</v>
      </c>
      <c r="B17" s="358">
        <f>-BAUb!E11</f>
        <v>-3000000</v>
      </c>
      <c r="C17" s="358"/>
      <c r="D17" s="358">
        <f>B17*((1/(1*(1+' A all'!$C$27)^' A all'!C$31)))</f>
        <v>-2970297.0297029703</v>
      </c>
      <c r="E17" s="358">
        <f>D17*((1/(1*(1+' A all'!$C$27)^' A all'!D$31)))</f>
        <v>-2911770.4437829331</v>
      </c>
      <c r="F17" s="358">
        <f>E17*((1/(1*(1+' A all'!$C$27)^' A all'!E$31)))</f>
        <v>-2826135.7057626201</v>
      </c>
      <c r="G17" s="358">
        <f>F17*((1/(1*(1+' A all'!$C$27)^' A all'!F$31)))</f>
        <v>-2715860.8640789497</v>
      </c>
      <c r="H17" s="358">
        <f>G17*((1/(1*(1+' A all'!$C$27)^' A all'!G$31)))</f>
        <v>-2584048.4244851372</v>
      </c>
      <c r="I17" s="358">
        <f>H17*((1/(1*(1+' A all'!$C$27)^' A all'!H$31)))</f>
        <v>-2434290.5059523629</v>
      </c>
      <c r="J17" s="358">
        <f>I17*((1/(1*(1+' A all'!$C$27)^' A all'!I$31)))</f>
        <v>-2270506.7053039367</v>
      </c>
      <c r="K17" s="358">
        <f>J17*((1/(1*(1+' A all'!$C$27)^' A all'!J$31)))</f>
        <v>-2096774.8488817769</v>
      </c>
      <c r="L17" s="358">
        <f>K17*((1/(1*(1+' A all'!$C$27)^' A all'!K$31)))</f>
        <v>-1917164.7467972338</v>
      </c>
      <c r="M17" s="358">
        <f>L17*((1/(1*(1+' A all'!$C$27)^' A all'!L$31)))</f>
        <v>-1735584.235272812</v>
      </c>
    </row>
    <row r="18" spans="1:13">
      <c r="A18" s="348" t="s">
        <v>442</v>
      </c>
      <c r="B18" s="351">
        <f t="shared" ref="B18:M18" si="6">-(B16-B17)</f>
        <v>59000000</v>
      </c>
      <c r="C18" s="351"/>
      <c r="D18" s="351">
        <f t="shared" si="6"/>
        <v>58415841.584158413</v>
      </c>
      <c r="E18" s="351">
        <f t="shared" si="6"/>
        <v>57264818.727731012</v>
      </c>
      <c r="F18" s="351">
        <f t="shared" si="6"/>
        <v>55580668.879998192</v>
      </c>
      <c r="G18" s="351">
        <f t="shared" si="6"/>
        <v>53411930.326886006</v>
      </c>
      <c r="H18" s="351">
        <f t="shared" si="6"/>
        <v>50819619.014874354</v>
      </c>
      <c r="I18" s="351">
        <f t="shared" si="6"/>
        <v>47874379.950396463</v>
      </c>
      <c r="J18" s="351">
        <f t="shared" si="6"/>
        <v>44653298.537644081</v>
      </c>
      <c r="K18" s="351">
        <f t="shared" si="6"/>
        <v>41236572.028008275</v>
      </c>
      <c r="L18" s="351">
        <f t="shared" si="6"/>
        <v>37704240.020345591</v>
      </c>
      <c r="M18" s="351">
        <f t="shared" si="6"/>
        <v>34133156.62703196</v>
      </c>
    </row>
    <row r="19" spans="1:13" ht="33" thickBot="1">
      <c r="A19" s="348" t="s">
        <v>444</v>
      </c>
      <c r="D19" s="351">
        <f>D18*((1/(1*(1+' A all'!$C$25)^' A all'!C$31)))</f>
        <v>56440426.651360787</v>
      </c>
      <c r="E19" s="351">
        <f>E18*((1/(1*(1+' A all'!$C$25)^' A all'!D$31)))</f>
        <v>53457321.036879294</v>
      </c>
      <c r="F19" s="351">
        <f>F18*((1/(1*(1+' A all'!$C$25)^' A all'!E$31)))</f>
        <v>50130578.872464024</v>
      </c>
      <c r="G19" s="351">
        <f>G18*((1/(1*(1+' A all'!$C$25)^' A all'!F$31)))</f>
        <v>46545411.549742475</v>
      </c>
      <c r="H19" s="351">
        <f>H18*((1/(1*(1+' A all'!$C$25)^' A all'!G$31)))</f>
        <v>42788755.560497433</v>
      </c>
      <c r="I19" s="351">
        <f>I18*((1/(1*(1+' A all'!$C$25)^' A all'!H$31)))</f>
        <v>38945838.93548169</v>
      </c>
      <c r="J19" s="351">
        <f>J18*((1/(1*(1+' A all'!$C$25)^' A all'!I$31)))</f>
        <v>35097089.015304245</v>
      </c>
      <c r="K19" s="351">
        <f>K18*((1/(1*(1+' A all'!$C$25)^' A all'!J$31)))</f>
        <v>31315529.336813271</v>
      </c>
      <c r="L19" s="351">
        <f>L18*((1/(1*(1+' A all'!$C$25)^' A all'!K$31)))</f>
        <v>27664768.685798727</v>
      </c>
      <c r="M19" s="351">
        <f>M18*((1/(1*(1+' A all'!$C$25)^' A all'!L$31)))</f>
        <v>24197636.904205345</v>
      </c>
    </row>
    <row r="20" spans="1:13" ht="48.5" thickBot="1">
      <c r="A20" s="362" t="s">
        <v>450</v>
      </c>
      <c r="B20" s="359"/>
      <c r="C20" s="359"/>
      <c r="D20" s="369">
        <f>SUM(D19:M19)</f>
        <v>406583356.54854727</v>
      </c>
    </row>
    <row r="21" spans="1:13" ht="21.5" thickBot="1"/>
    <row r="22" spans="1:13" ht="21.5" thickBot="1">
      <c r="A22" s="366" t="s">
        <v>445</v>
      </c>
      <c r="B22" s="367"/>
      <c r="C22" s="367"/>
      <c r="D22" s="368">
        <f>D12+D20</f>
        <v>-1499001968.7998583</v>
      </c>
    </row>
    <row r="25" spans="1:13">
      <c r="A25" s="134" t="s">
        <v>507</v>
      </c>
      <c r="B25" s="134"/>
      <c r="C25" s="134"/>
      <c r="D25" s="478">
        <f>B10+B18</f>
        <v>-185094382.15083936</v>
      </c>
    </row>
  </sheetData>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5921-7E07-4B14-8867-03A57C67027F}">
  <sheetPr>
    <tabColor theme="5"/>
    <pageSetUpPr fitToPage="1"/>
  </sheetPr>
  <dimension ref="A1:N45"/>
  <sheetViews>
    <sheetView zoomScaleNormal="100" workbookViewId="0"/>
  </sheetViews>
  <sheetFormatPr defaultColWidth="8.625" defaultRowHeight="21"/>
  <cols>
    <col min="1" max="1" width="53.8125" customWidth="1"/>
    <col min="2" max="2" width="15" customWidth="1"/>
    <col min="3" max="3" width="17" customWidth="1"/>
    <col min="4" max="4" width="17.75" customWidth="1"/>
    <col min="5" max="5" width="25.625" customWidth="1"/>
    <col min="6" max="6" width="16.1875" customWidth="1"/>
    <col min="7" max="7" width="27.375" customWidth="1"/>
    <col min="8" max="8" width="19" customWidth="1"/>
    <col min="9" max="9" width="18" bestFit="1" customWidth="1"/>
    <col min="10" max="10" width="12.75" customWidth="1"/>
  </cols>
  <sheetData>
    <row r="1" spans="1:10">
      <c r="A1" s="3" t="s">
        <v>51</v>
      </c>
    </row>
    <row r="2" spans="1:10" s="20" customFormat="1" ht="4.5" customHeight="1">
      <c r="A2" s="22"/>
    </row>
    <row r="3" spans="1:10" ht="18" customHeight="1">
      <c r="A3" s="1" t="s">
        <v>52</v>
      </c>
      <c r="B3" s="1" t="s">
        <v>53</v>
      </c>
      <c r="F3" s="47"/>
      <c r="G3" s="43" t="s">
        <v>54</v>
      </c>
      <c r="H3" s="3" t="s">
        <v>55</v>
      </c>
      <c r="I3" s="31"/>
      <c r="J3" s="31"/>
    </row>
    <row r="4" spans="1:10" ht="21.75" customHeight="1">
      <c r="A4" s="134" t="s">
        <v>56</v>
      </c>
      <c r="B4" s="138">
        <v>67081000</v>
      </c>
      <c r="C4" s="43"/>
      <c r="D4" s="44"/>
      <c r="E4" s="31"/>
      <c r="F4" s="31"/>
      <c r="G4" s="48">
        <f>B4/B7</f>
        <v>2.4136801957397811</v>
      </c>
      <c r="H4" s="87">
        <f>G4*1.11</f>
        <v>2.6791850172711573</v>
      </c>
      <c r="I4" s="31" t="s">
        <v>57</v>
      </c>
      <c r="J4" s="31"/>
    </row>
    <row r="5" spans="1:10" ht="21.75" customHeight="1">
      <c r="A5" s="134"/>
      <c r="B5" s="139"/>
      <c r="C5" s="43"/>
      <c r="D5" s="44"/>
      <c r="E5" s="31"/>
      <c r="F5" s="31"/>
      <c r="G5" s="48"/>
      <c r="I5" s="31"/>
      <c r="J5" s="31"/>
    </row>
    <row r="6" spans="1:10" ht="21.75" customHeight="1">
      <c r="A6" s="1" t="s">
        <v>58</v>
      </c>
      <c r="B6" s="1" t="s">
        <v>53</v>
      </c>
      <c r="C6" s="1" t="s">
        <v>59</v>
      </c>
      <c r="D6" s="1"/>
      <c r="E6" s="1"/>
      <c r="F6" s="42"/>
      <c r="G6" s="48"/>
      <c r="I6" s="31"/>
      <c r="J6" s="31"/>
    </row>
    <row r="7" spans="1:10">
      <c r="A7" s="134" t="s">
        <v>60</v>
      </c>
      <c r="B7" s="135">
        <v>27792000</v>
      </c>
      <c r="C7" s="113"/>
      <c r="D7" s="136"/>
      <c r="E7" s="136"/>
      <c r="F7" s="46"/>
      <c r="G7" s="31"/>
      <c r="H7" s="31"/>
      <c r="I7" s="31"/>
      <c r="J7" s="31"/>
    </row>
    <row r="8" spans="1:10">
      <c r="A8" s="134" t="s">
        <v>61</v>
      </c>
      <c r="B8" s="137">
        <v>8138000</v>
      </c>
      <c r="C8" s="136">
        <f>B8/B7</f>
        <v>0.29281807714450203</v>
      </c>
      <c r="G8" s="31"/>
      <c r="H8" s="31"/>
      <c r="I8" s="31"/>
      <c r="J8" s="31"/>
    </row>
    <row r="9" spans="1:10" s="20" customFormat="1" ht="6" customHeight="1">
      <c r="A9" s="45"/>
      <c r="B9" s="45"/>
      <c r="C9" s="85"/>
      <c r="D9" s="45"/>
      <c r="E9" s="45"/>
      <c r="F9" s="45"/>
      <c r="G9" s="45"/>
      <c r="H9" s="45"/>
      <c r="I9" s="45"/>
      <c r="J9" s="45"/>
    </row>
    <row r="10" spans="1:10">
      <c r="A10" s="129" t="s">
        <v>62</v>
      </c>
      <c r="B10" s="1" t="s">
        <v>59</v>
      </c>
      <c r="C10" s="63"/>
      <c r="D10" s="131">
        <v>8.5000000000000006E-2</v>
      </c>
      <c r="E10" s="86" t="s">
        <v>63</v>
      </c>
      <c r="F10" s="86"/>
      <c r="G10" s="86"/>
      <c r="H10" s="31"/>
      <c r="I10" s="31"/>
      <c r="J10" s="31"/>
    </row>
    <row r="11" spans="1:10" ht="42">
      <c r="A11" s="130" t="s">
        <v>336</v>
      </c>
      <c r="B11" s="131">
        <v>0.20499999999999999</v>
      </c>
      <c r="C11" s="63"/>
      <c r="D11" s="131">
        <v>7.8E-2</v>
      </c>
      <c r="E11" s="86" t="s">
        <v>64</v>
      </c>
      <c r="F11" s="86"/>
      <c r="G11" s="86"/>
      <c r="H11" s="31"/>
      <c r="I11" s="31"/>
      <c r="J11" s="31"/>
    </row>
    <row r="12" spans="1:10">
      <c r="A12" s="132" t="s">
        <v>65</v>
      </c>
      <c r="B12" s="133">
        <v>1.1000000000000001</v>
      </c>
      <c r="C12" s="66"/>
      <c r="D12" s="133">
        <v>1.1299999999999999</v>
      </c>
      <c r="E12" s="86" t="s">
        <v>65</v>
      </c>
      <c r="F12" s="86"/>
      <c r="G12" s="31"/>
      <c r="H12" s="31"/>
      <c r="I12" s="31"/>
      <c r="J12" s="31"/>
    </row>
    <row r="13" spans="1:10" ht="42">
      <c r="A13" s="264" t="s">
        <v>354</v>
      </c>
      <c r="B13" s="265">
        <v>0.54600000000000004</v>
      </c>
      <c r="C13" s="66"/>
      <c r="D13" s="263"/>
      <c r="E13" s="86"/>
      <c r="F13" s="86"/>
      <c r="G13" s="31"/>
      <c r="H13" s="31"/>
      <c r="I13" s="31"/>
      <c r="J13" s="31"/>
    </row>
    <row r="14" spans="1:10" ht="42">
      <c r="A14" s="264" t="s">
        <v>361</v>
      </c>
      <c r="B14" s="268">
        <v>0.91200000000000003</v>
      </c>
      <c r="C14" s="66"/>
      <c r="D14" s="263"/>
      <c r="E14" s="86"/>
      <c r="F14" s="86"/>
      <c r="G14" s="31"/>
      <c r="H14" s="31"/>
      <c r="I14" s="31"/>
      <c r="J14" s="31"/>
    </row>
    <row r="15" spans="1:10">
      <c r="A15" s="264"/>
      <c r="B15" s="66"/>
      <c r="C15" s="66"/>
      <c r="D15" s="66"/>
      <c r="E15" s="66"/>
      <c r="F15" s="66"/>
      <c r="G15" s="31"/>
      <c r="H15" s="31"/>
      <c r="I15" s="31"/>
      <c r="J15" s="31"/>
    </row>
    <row r="16" spans="1:10" s="20" customFormat="1" ht="9" customHeight="1">
      <c r="A16" s="45"/>
      <c r="B16" s="45"/>
      <c r="C16" s="45"/>
      <c r="D16" s="45"/>
      <c r="E16" s="45"/>
      <c r="F16" s="45"/>
      <c r="G16" s="45"/>
      <c r="H16" s="45"/>
      <c r="I16" s="45"/>
      <c r="J16" s="45"/>
    </row>
    <row r="17" spans="1:10" ht="25.5" customHeight="1">
      <c r="A17" s="535" t="s">
        <v>66</v>
      </c>
      <c r="B17" s="535"/>
      <c r="C17" s="535"/>
      <c r="D17" s="535"/>
      <c r="E17" s="535"/>
      <c r="F17" s="535"/>
    </row>
    <row r="18" spans="1:10">
      <c r="A18" s="43"/>
      <c r="B18" s="49" t="s">
        <v>67</v>
      </c>
      <c r="C18" s="49"/>
      <c r="D18" s="49"/>
      <c r="E18" s="53"/>
    </row>
    <row r="19" spans="1:10" ht="46.9" customHeight="1">
      <c r="A19" s="118"/>
      <c r="B19" s="119" t="s">
        <v>68</v>
      </c>
      <c r="C19" s="120" t="s">
        <v>69</v>
      </c>
      <c r="D19" s="119" t="s">
        <v>70</v>
      </c>
      <c r="E19" s="119" t="s">
        <v>71</v>
      </c>
      <c r="F19" s="119" t="s">
        <v>72</v>
      </c>
    </row>
    <row r="20" spans="1:10">
      <c r="A20" s="121" t="s">
        <v>73</v>
      </c>
      <c r="B20" s="122">
        <v>488297</v>
      </c>
      <c r="C20" s="122">
        <v>341974</v>
      </c>
      <c r="D20" s="123">
        <v>140000</v>
      </c>
      <c r="E20" s="124">
        <f>SUM(B20:D20)</f>
        <v>970271</v>
      </c>
      <c r="F20" s="124">
        <f>ROUND(E20,-3)</f>
        <v>970000</v>
      </c>
      <c r="G20" s="479" t="s">
        <v>364</v>
      </c>
      <c r="H20" s="134"/>
      <c r="I20" s="134"/>
      <c r="J20" s="480"/>
    </row>
    <row r="21" spans="1:10">
      <c r="A21" s="121" t="s">
        <v>74</v>
      </c>
      <c r="B21" s="125"/>
      <c r="C21" s="125"/>
      <c r="D21" s="125"/>
      <c r="E21" s="125">
        <f t="shared" ref="E21" si="0">E20/$H$4</f>
        <v>362151.54748373991</v>
      </c>
      <c r="F21" s="124">
        <f t="shared" ref="F21:F28" si="1">ROUND(E21,-3)</f>
        <v>362000</v>
      </c>
      <c r="G21" s="493"/>
      <c r="H21" s="134"/>
      <c r="I21" s="496" t="s">
        <v>540</v>
      </c>
      <c r="J21" s="480" t="s">
        <v>541</v>
      </c>
    </row>
    <row r="22" spans="1:10">
      <c r="A22" s="126" t="s">
        <v>357</v>
      </c>
      <c r="B22" s="125"/>
      <c r="C22" s="231"/>
      <c r="D22" s="231"/>
      <c r="E22" s="373">
        <f>E21*$C$8</f>
        <v>106044.51976909455</v>
      </c>
      <c r="F22" s="373">
        <f t="shared" si="1"/>
        <v>106000</v>
      </c>
      <c r="G22" s="494" t="s">
        <v>75</v>
      </c>
      <c r="H22" s="481">
        <f>F22</f>
        <v>106000</v>
      </c>
      <c r="I22" s="497">
        <f>H22/F21</f>
        <v>0.29281767955801102</v>
      </c>
      <c r="J22" s="482">
        <f>H23/F20</f>
        <v>0.29277691941313677</v>
      </c>
    </row>
    <row r="23" spans="1:10">
      <c r="A23" s="126"/>
      <c r="B23" s="125"/>
      <c r="C23" s="125"/>
      <c r="D23" s="231"/>
      <c r="E23" s="270"/>
      <c r="F23" s="270"/>
      <c r="G23" s="495" t="s">
        <v>358</v>
      </c>
      <c r="H23" s="481">
        <f>H22*H4</f>
        <v>283993.61183074268</v>
      </c>
      <c r="I23" s="496"/>
      <c r="J23" s="480"/>
    </row>
    <row r="24" spans="1:10" ht="42" customHeight="1">
      <c r="A24" s="127" t="s">
        <v>374</v>
      </c>
      <c r="B24" s="128"/>
      <c r="C24" s="128"/>
      <c r="D24" s="128"/>
      <c r="E24" s="128">
        <f>E22*$D10</f>
        <v>9013.7841803730371</v>
      </c>
      <c r="F24" s="124">
        <f t="shared" si="1"/>
        <v>9000</v>
      </c>
      <c r="G24" s="134"/>
      <c r="H24" s="498"/>
      <c r="J24" s="37"/>
    </row>
    <row r="25" spans="1:10" ht="24" customHeight="1">
      <c r="A25" s="143" t="s">
        <v>76</v>
      </c>
      <c r="B25" s="128"/>
      <c r="C25" s="128"/>
      <c r="D25" s="128"/>
      <c r="E25" s="125">
        <f>$E$24*0.371</f>
        <v>3344.1139309183968</v>
      </c>
      <c r="F25" s="124">
        <f t="shared" si="1"/>
        <v>3000</v>
      </c>
      <c r="G25" s="500"/>
      <c r="H25" s="499"/>
      <c r="J25" s="37"/>
    </row>
    <row r="26" spans="1:10" ht="19.5" customHeight="1">
      <c r="A26" s="143" t="s">
        <v>337</v>
      </c>
      <c r="B26" s="224"/>
      <c r="C26" s="224"/>
      <c r="D26" s="224"/>
      <c r="E26" s="224">
        <f>E24*0.081</f>
        <v>730.11651861021608</v>
      </c>
      <c r="F26" s="226">
        <f t="shared" si="1"/>
        <v>1000</v>
      </c>
      <c r="G26" s="500"/>
      <c r="H26" s="499">
        <f>872-428</f>
        <v>444</v>
      </c>
      <c r="J26" s="37"/>
    </row>
    <row r="27" spans="1:10" ht="63.65" customHeight="1">
      <c r="A27" s="336" t="s">
        <v>418</v>
      </c>
      <c r="B27" s="128"/>
      <c r="C27" s="128"/>
      <c r="D27" s="128"/>
      <c r="E27" s="225">
        <f>(E22-E24)*B11</f>
        <v>19891.300795687908</v>
      </c>
      <c r="F27" s="124">
        <f>ROUND(E27,-3)</f>
        <v>20000</v>
      </c>
      <c r="G27" s="134"/>
      <c r="H27" s="134">
        <f>2797-1744</f>
        <v>1053</v>
      </c>
      <c r="J27" s="37"/>
    </row>
    <row r="28" spans="1:10">
      <c r="A28" s="335" t="s">
        <v>427</v>
      </c>
      <c r="B28" s="225"/>
      <c r="C28" s="225"/>
      <c r="D28" s="225"/>
      <c r="E28" s="225">
        <f>E27*0.319</f>
        <v>6345.3249538244427</v>
      </c>
      <c r="F28" s="227">
        <f t="shared" si="1"/>
        <v>6000</v>
      </c>
      <c r="G28" s="499"/>
      <c r="H28" s="134">
        <f>H27/H26</f>
        <v>2.3716216216216215</v>
      </c>
      <c r="I28" s="37"/>
    </row>
    <row r="29" spans="1:10">
      <c r="A29" s="51"/>
      <c r="B29" s="38"/>
      <c r="C29" s="38"/>
      <c r="D29" s="38"/>
      <c r="E29" s="225"/>
      <c r="F29" s="84"/>
      <c r="G29" s="83"/>
      <c r="I29" s="37"/>
    </row>
    <row r="30" spans="1:10">
      <c r="A30" s="51"/>
      <c r="B30" s="38"/>
      <c r="C30" s="38"/>
      <c r="D30" s="38"/>
      <c r="E30" s="50"/>
      <c r="F30" s="84"/>
      <c r="G30" s="83"/>
      <c r="I30" s="37"/>
    </row>
    <row r="31" spans="1:10">
      <c r="A31" s="82" t="s">
        <v>77</v>
      </c>
      <c r="B31" s="52"/>
      <c r="C31" s="38"/>
      <c r="D31" s="38"/>
      <c r="E31" s="39"/>
      <c r="F31" s="3"/>
      <c r="I31" s="37"/>
    </row>
    <row r="32" spans="1:10">
      <c r="A32" s="31" t="s">
        <v>78</v>
      </c>
      <c r="B32" s="31"/>
      <c r="C32" s="38"/>
      <c r="D32" s="38"/>
      <c r="E32" s="39"/>
      <c r="F32" s="39"/>
      <c r="G32" s="40"/>
      <c r="H32" s="40"/>
      <c r="I32" s="37"/>
    </row>
    <row r="33" spans="1:14">
      <c r="A33" s="31"/>
    </row>
    <row r="34" spans="1:14">
      <c r="A34" s="31"/>
    </row>
    <row r="35" spans="1:14" ht="43.5" customHeight="1">
      <c r="A35" s="36" t="s">
        <v>79</v>
      </c>
      <c r="B35" s="539" t="s">
        <v>80</v>
      </c>
      <c r="C35" s="539"/>
      <c r="D35" s="539"/>
      <c r="E35" s="539"/>
      <c r="F35" s="539"/>
      <c r="G35" s="539"/>
      <c r="H35" s="539"/>
    </row>
    <row r="36" spans="1:14">
      <c r="A36" s="36"/>
      <c r="B36" s="484" t="s">
        <v>81</v>
      </c>
      <c r="C36" s="485"/>
      <c r="D36" s="485"/>
      <c r="E36" s="485"/>
      <c r="F36" s="485"/>
      <c r="G36" s="485"/>
      <c r="H36" s="485"/>
    </row>
    <row r="37" spans="1:14">
      <c r="A37" s="36"/>
      <c r="B37" s="486" t="s">
        <v>82</v>
      </c>
      <c r="C37" s="487"/>
      <c r="D37" s="487"/>
      <c r="E37" s="487"/>
      <c r="F37" s="487"/>
      <c r="G37" s="487"/>
      <c r="H37" s="487"/>
    </row>
    <row r="38" spans="1:14">
      <c r="B38" s="488" t="s">
        <v>83</v>
      </c>
      <c r="C38" s="488"/>
      <c r="D38" s="488"/>
      <c r="E38" s="488"/>
      <c r="F38" s="488"/>
      <c r="G38" s="488"/>
      <c r="H38" s="488"/>
      <c r="I38" s="483"/>
    </row>
    <row r="39" spans="1:14">
      <c r="B39" s="489" t="s">
        <v>84</v>
      </c>
      <c r="C39" s="134"/>
      <c r="D39" s="134"/>
      <c r="E39" s="134"/>
      <c r="F39" s="134"/>
      <c r="G39" s="134"/>
      <c r="H39" s="134"/>
    </row>
    <row r="40" spans="1:14">
      <c r="B40" s="490" t="s">
        <v>85</v>
      </c>
      <c r="C40" s="490"/>
      <c r="D40" s="490"/>
      <c r="E40" s="490"/>
      <c r="F40" s="490"/>
      <c r="G40" s="490"/>
      <c r="H40" s="490"/>
    </row>
    <row r="41" spans="1:14" ht="42.5" customHeight="1">
      <c r="B41" s="537" t="s">
        <v>86</v>
      </c>
      <c r="C41" s="537"/>
      <c r="D41" s="537"/>
      <c r="E41" s="537"/>
      <c r="F41" s="537"/>
      <c r="G41" s="537"/>
      <c r="H41" s="537"/>
      <c r="I41" s="483"/>
      <c r="J41" s="483"/>
      <c r="K41" s="483"/>
      <c r="L41" s="483"/>
      <c r="M41" s="483"/>
      <c r="N41" s="483"/>
    </row>
    <row r="42" spans="1:14">
      <c r="B42" s="491" t="s">
        <v>87</v>
      </c>
      <c r="C42" s="492"/>
      <c r="D42" s="134"/>
      <c r="E42" s="134"/>
      <c r="F42" s="134"/>
      <c r="G42" s="134"/>
      <c r="H42" s="134"/>
    </row>
    <row r="43" spans="1:14">
      <c r="B43" s="144" t="s">
        <v>88</v>
      </c>
      <c r="C43" s="144"/>
      <c r="D43" s="144"/>
      <c r="E43" s="144"/>
      <c r="F43" s="144"/>
      <c r="G43" s="144"/>
      <c r="H43" s="134"/>
    </row>
    <row r="44" spans="1:14" ht="71" customHeight="1">
      <c r="B44" s="536" t="s">
        <v>342</v>
      </c>
      <c r="C44" s="536"/>
      <c r="D44" s="536"/>
      <c r="E44" s="536"/>
      <c r="F44" s="536"/>
      <c r="G44" s="536"/>
      <c r="H44" s="536"/>
    </row>
    <row r="45" spans="1:14" ht="41" customHeight="1">
      <c r="B45" s="538" t="s">
        <v>360</v>
      </c>
      <c r="C45" s="538"/>
      <c r="D45" s="538"/>
      <c r="E45" s="538"/>
      <c r="F45" s="538"/>
      <c r="G45" s="538"/>
      <c r="H45" s="538"/>
    </row>
  </sheetData>
  <mergeCells count="5">
    <mergeCell ref="A17:F17"/>
    <mergeCell ref="B44:H44"/>
    <mergeCell ref="B41:H41"/>
    <mergeCell ref="B45:H45"/>
    <mergeCell ref="B35:H35"/>
  </mergeCells>
  <hyperlinks>
    <hyperlink ref="B36" r:id="rId1" xr:uid="{666AF8A2-1B49-4C59-A977-17E66B66E687}"/>
    <hyperlink ref="B41" r:id="rId2" xr:uid="{EAE7A4D8-8765-4913-968F-41DF1387AFE2}"/>
  </hyperlinks>
  <printOptions headings="1"/>
  <pageMargins left="0" right="0" top="0.74803149606299213" bottom="0.74803149606299213" header="0.31496062992125984" footer="0.31496062992125984"/>
  <pageSetup paperSize="9" scale="39" orientation="landscap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6EA4C-5148-4A89-AB45-EF34E921D07C}">
  <sheetPr>
    <tabColor theme="5"/>
  </sheetPr>
  <dimension ref="A1:F81"/>
  <sheetViews>
    <sheetView workbookViewId="0">
      <pane xSplit="2" ySplit="8" topLeftCell="C9" activePane="bottomRight" state="frozen"/>
      <selection pane="topRight" activeCell="C1" sqref="C1"/>
      <selection pane="bottomLeft" activeCell="A9" sqref="A9"/>
      <selection pane="bottomRight"/>
    </sheetView>
  </sheetViews>
  <sheetFormatPr defaultColWidth="8.75" defaultRowHeight="12.5"/>
  <cols>
    <col min="1" max="3" width="8.75" style="28"/>
    <col min="4" max="4" width="7.625" style="28" bestFit="1" customWidth="1"/>
    <col min="5" max="16384" width="8.75" style="28"/>
  </cols>
  <sheetData>
    <row r="1" spans="1:2">
      <c r="A1" s="28" t="s">
        <v>89</v>
      </c>
      <c r="B1" s="28" t="s">
        <v>90</v>
      </c>
    </row>
    <row r="2" spans="1:2">
      <c r="A2" s="28" t="s">
        <v>91</v>
      </c>
      <c r="B2" s="28" t="s">
        <v>92</v>
      </c>
    </row>
    <row r="3" spans="1:2">
      <c r="A3" s="28" t="s">
        <v>93</v>
      </c>
      <c r="B3" s="28" t="s">
        <v>94</v>
      </c>
    </row>
    <row r="4" spans="1:2">
      <c r="A4" s="28" t="s">
        <v>95</v>
      </c>
      <c r="B4" s="28" t="s">
        <v>96</v>
      </c>
    </row>
    <row r="5" spans="1:2">
      <c r="A5" s="28" t="s">
        <v>97</v>
      </c>
      <c r="B5" s="28" t="s">
        <v>59</v>
      </c>
    </row>
    <row r="6" spans="1:2">
      <c r="A6" s="28" t="s">
        <v>98</v>
      </c>
      <c r="B6" s="28" t="s">
        <v>99</v>
      </c>
    </row>
    <row r="9" spans="1:2">
      <c r="A9" s="501" t="s">
        <v>100</v>
      </c>
      <c r="B9" s="502">
        <v>3.1</v>
      </c>
    </row>
    <row r="10" spans="1:2">
      <c r="A10" s="501" t="s">
        <v>101</v>
      </c>
      <c r="B10" s="502">
        <v>1.3</v>
      </c>
    </row>
    <row r="11" spans="1:2">
      <c r="A11" s="501" t="s">
        <v>102</v>
      </c>
      <c r="B11" s="502">
        <v>8.1999999999999993</v>
      </c>
    </row>
    <row r="12" spans="1:2">
      <c r="A12" s="501" t="s">
        <v>103</v>
      </c>
      <c r="B12" s="502">
        <v>7</v>
      </c>
    </row>
    <row r="13" spans="1:2">
      <c r="A13" s="501" t="s">
        <v>104</v>
      </c>
      <c r="B13" s="502">
        <v>1.7</v>
      </c>
    </row>
    <row r="14" spans="1:2">
      <c r="A14" s="501" t="s">
        <v>105</v>
      </c>
      <c r="B14" s="502">
        <v>1.1000000000000001</v>
      </c>
    </row>
    <row r="15" spans="1:2">
      <c r="A15" s="501" t="s">
        <v>106</v>
      </c>
      <c r="B15" s="502">
        <v>4.7</v>
      </c>
    </row>
    <row r="16" spans="1:2">
      <c r="A16" s="501" t="s">
        <v>107</v>
      </c>
      <c r="B16" s="502">
        <v>6.9</v>
      </c>
    </row>
    <row r="17" spans="1:2">
      <c r="A17" s="501" t="s">
        <v>108</v>
      </c>
      <c r="B17" s="502">
        <v>4</v>
      </c>
    </row>
    <row r="18" spans="1:2">
      <c r="A18" s="501" t="s">
        <v>109</v>
      </c>
      <c r="B18" s="502">
        <v>3.7</v>
      </c>
    </row>
    <row r="19" spans="1:2">
      <c r="A19" s="501" t="s">
        <v>110</v>
      </c>
      <c r="B19" s="502">
        <v>0.7</v>
      </c>
    </row>
    <row r="20" spans="1:2">
      <c r="A20" s="501" t="s">
        <v>111</v>
      </c>
      <c r="B20" s="502">
        <v>1</v>
      </c>
    </row>
    <row r="21" spans="1:2">
      <c r="A21" s="501" t="s">
        <v>112</v>
      </c>
      <c r="B21" s="502">
        <v>3.8</v>
      </c>
    </row>
    <row r="22" spans="1:2">
      <c r="A22" s="501" t="s">
        <v>113</v>
      </c>
      <c r="B22" s="502">
        <v>3.6</v>
      </c>
    </row>
    <row r="23" spans="1:2">
      <c r="A23" s="501" t="s">
        <v>114</v>
      </c>
      <c r="B23" s="502">
        <v>1.5</v>
      </c>
    </row>
    <row r="24" spans="1:2">
      <c r="A24" s="501" t="s">
        <v>115</v>
      </c>
      <c r="B24" s="502">
        <v>3.6</v>
      </c>
    </row>
    <row r="25" spans="1:2">
      <c r="A25" s="501" t="s">
        <v>116</v>
      </c>
      <c r="B25" s="502">
        <v>5.9</v>
      </c>
    </row>
    <row r="26" spans="1:2">
      <c r="A26" s="501" t="s">
        <v>117</v>
      </c>
      <c r="B26" s="502">
        <v>5.3</v>
      </c>
    </row>
    <row r="27" spans="1:2">
      <c r="A27" s="501" t="s">
        <v>118</v>
      </c>
      <c r="B27" s="502">
        <v>3</v>
      </c>
    </row>
    <row r="28" spans="1:2">
      <c r="A28" s="501" t="s">
        <v>119</v>
      </c>
      <c r="B28" s="502">
        <v>4.2</v>
      </c>
    </row>
    <row r="29" spans="1:2">
      <c r="A29" s="501" t="s">
        <v>120</v>
      </c>
      <c r="B29" s="502">
        <v>6.6</v>
      </c>
    </row>
    <row r="30" spans="1:2">
      <c r="A30" s="501" t="s">
        <v>121</v>
      </c>
      <c r="B30" s="502">
        <v>9.6</v>
      </c>
    </row>
    <row r="31" spans="1:2">
      <c r="A31" s="501" t="s">
        <v>122</v>
      </c>
      <c r="B31" s="502">
        <v>8.3000000000000007</v>
      </c>
    </row>
    <row r="32" spans="1:2">
      <c r="A32" s="501" t="s">
        <v>123</v>
      </c>
      <c r="B32" s="502">
        <v>7.5</v>
      </c>
    </row>
    <row r="33" spans="1:2">
      <c r="A33" s="501" t="s">
        <v>124</v>
      </c>
      <c r="B33" s="502">
        <v>8.8000000000000007</v>
      </c>
    </row>
    <row r="34" spans="1:2">
      <c r="A34" s="501" t="s">
        <v>125</v>
      </c>
      <c r="B34" s="502">
        <v>16.2</v>
      </c>
    </row>
    <row r="35" spans="1:2">
      <c r="A35" s="501" t="s">
        <v>126</v>
      </c>
      <c r="B35" s="502">
        <v>26.1</v>
      </c>
    </row>
    <row r="36" spans="1:2">
      <c r="A36" s="501" t="s">
        <v>127</v>
      </c>
      <c r="B36" s="502">
        <v>15.5</v>
      </c>
    </row>
    <row r="37" spans="1:2">
      <c r="A37" s="501" t="s">
        <v>128</v>
      </c>
      <c r="B37" s="502">
        <v>13.9</v>
      </c>
    </row>
    <row r="38" spans="1:2">
      <c r="A38" s="501" t="s">
        <v>129</v>
      </c>
      <c r="B38" s="502">
        <v>11.8</v>
      </c>
    </row>
    <row r="39" spans="1:2">
      <c r="A39" s="501" t="s">
        <v>130</v>
      </c>
      <c r="B39" s="502">
        <v>14.4</v>
      </c>
    </row>
    <row r="40" spans="1:2">
      <c r="A40" s="501" t="s">
        <v>131</v>
      </c>
      <c r="B40" s="502">
        <v>20.100000000000001</v>
      </c>
    </row>
    <row r="41" spans="1:2">
      <c r="A41" s="501" t="s">
        <v>132</v>
      </c>
      <c r="B41" s="502">
        <v>12.4</v>
      </c>
    </row>
    <row r="42" spans="1:2">
      <c r="A42" s="501" t="s">
        <v>133</v>
      </c>
      <c r="B42" s="502">
        <v>8</v>
      </c>
    </row>
    <row r="43" spans="1:2">
      <c r="A43" s="501" t="s">
        <v>134</v>
      </c>
      <c r="B43" s="502">
        <v>5.5</v>
      </c>
    </row>
    <row r="44" spans="1:2">
      <c r="A44" s="501" t="s">
        <v>135</v>
      </c>
      <c r="B44" s="502">
        <v>5.2</v>
      </c>
    </row>
    <row r="45" spans="1:2">
      <c r="A45" s="501" t="s">
        <v>136</v>
      </c>
      <c r="B45" s="502">
        <v>5.4</v>
      </c>
    </row>
    <row r="46" spans="1:2">
      <c r="A46" s="501" t="s">
        <v>137</v>
      </c>
      <c r="B46" s="502">
        <v>4.5</v>
      </c>
    </row>
    <row r="47" spans="1:2">
      <c r="A47" s="501" t="s">
        <v>138</v>
      </c>
      <c r="B47" s="502">
        <v>5.4</v>
      </c>
    </row>
    <row r="48" spans="1:2">
      <c r="A48" s="501" t="s">
        <v>139</v>
      </c>
      <c r="B48" s="502">
        <v>5.9</v>
      </c>
    </row>
    <row r="49" spans="1:2">
      <c r="A49" s="501" t="s">
        <v>140</v>
      </c>
      <c r="B49" s="502">
        <v>7.8</v>
      </c>
    </row>
    <row r="50" spans="1:2">
      <c r="A50" s="501" t="s">
        <v>141</v>
      </c>
      <c r="B50" s="502">
        <v>8.1</v>
      </c>
    </row>
    <row r="51" spans="1:2">
      <c r="A51" s="501" t="s">
        <v>142</v>
      </c>
      <c r="B51" s="502">
        <v>6.6</v>
      </c>
    </row>
    <row r="52" spans="1:2">
      <c r="A52" s="501" t="s">
        <v>143</v>
      </c>
      <c r="B52" s="502">
        <v>3.1</v>
      </c>
    </row>
    <row r="53" spans="1:2">
      <c r="A53" s="501" t="s">
        <v>144</v>
      </c>
      <c r="B53" s="502">
        <v>2.7</v>
      </c>
    </row>
    <row r="54" spans="1:2">
      <c r="A54" s="501" t="s">
        <v>145</v>
      </c>
      <c r="B54" s="502">
        <v>1.3</v>
      </c>
    </row>
    <row r="55" spans="1:2">
      <c r="A55" s="501" t="s">
        <v>146</v>
      </c>
      <c r="B55" s="502">
        <v>2.4</v>
      </c>
    </row>
    <row r="56" spans="1:2">
      <c r="A56" s="501" t="s">
        <v>147</v>
      </c>
      <c r="B56" s="502">
        <v>4.0999999999999996</v>
      </c>
    </row>
    <row r="57" spans="1:2">
      <c r="A57" s="501" t="s">
        <v>148</v>
      </c>
      <c r="B57" s="502">
        <v>-0.1</v>
      </c>
    </row>
    <row r="58" spans="1:2">
      <c r="A58" s="501" t="s">
        <v>149</v>
      </c>
      <c r="B58" s="502">
        <v>1</v>
      </c>
    </row>
    <row r="59" spans="1:2">
      <c r="A59" s="501" t="s">
        <v>150</v>
      </c>
      <c r="B59" s="502">
        <v>0.9</v>
      </c>
    </row>
    <row r="60" spans="1:2">
      <c r="A60" s="501" t="s">
        <v>151</v>
      </c>
      <c r="B60" s="502">
        <v>1.8</v>
      </c>
    </row>
    <row r="61" spans="1:2">
      <c r="A61" s="501" t="s">
        <v>152</v>
      </c>
      <c r="B61" s="502">
        <v>1.1000000000000001</v>
      </c>
    </row>
    <row r="62" spans="1:2">
      <c r="A62" s="501" t="s">
        <v>153</v>
      </c>
      <c r="B62" s="502">
        <v>2.1</v>
      </c>
    </row>
    <row r="63" spans="1:2">
      <c r="A63" s="501" t="s">
        <v>154</v>
      </c>
      <c r="B63" s="502">
        <v>2.4</v>
      </c>
    </row>
    <row r="64" spans="1:2">
      <c r="A64" s="501" t="s">
        <v>155</v>
      </c>
      <c r="B64" s="502">
        <v>2.5</v>
      </c>
    </row>
    <row r="65" spans="1:6">
      <c r="A65" s="501" t="s">
        <v>156</v>
      </c>
      <c r="B65" s="502">
        <v>2.7</v>
      </c>
    </row>
    <row r="66" spans="1:6">
      <c r="A66" s="501" t="s">
        <v>157</v>
      </c>
      <c r="B66" s="502">
        <v>2.8</v>
      </c>
    </row>
    <row r="67" spans="1:6">
      <c r="A67" s="501" t="s">
        <v>158</v>
      </c>
      <c r="B67" s="502">
        <v>2.7</v>
      </c>
    </row>
    <row r="68" spans="1:6">
      <c r="A68" s="501" t="s">
        <v>159</v>
      </c>
      <c r="B68" s="502">
        <v>3.1</v>
      </c>
    </row>
    <row r="69" spans="1:6">
      <c r="A69" s="501" t="s">
        <v>160</v>
      </c>
      <c r="B69" s="502">
        <v>1.6</v>
      </c>
    </row>
    <row r="70" spans="1:6">
      <c r="A70" s="501" t="s">
        <v>161</v>
      </c>
      <c r="B70" s="502">
        <v>1.6</v>
      </c>
    </row>
    <row r="71" spans="1:6">
      <c r="A71" s="501" t="s">
        <v>162</v>
      </c>
      <c r="B71" s="502">
        <v>2.1</v>
      </c>
    </row>
    <row r="72" spans="1:6">
      <c r="A72" s="501" t="s">
        <v>163</v>
      </c>
      <c r="B72" s="502">
        <v>1.7</v>
      </c>
    </row>
    <row r="73" spans="1:6">
      <c r="A73" s="501" t="s">
        <v>164</v>
      </c>
      <c r="B73" s="502">
        <v>1.8</v>
      </c>
    </row>
    <row r="74" spans="1:6">
      <c r="A74" s="501" t="s">
        <v>165</v>
      </c>
      <c r="B74" s="502">
        <v>1.7</v>
      </c>
    </row>
    <row r="75" spans="1:6">
      <c r="A75" s="501" t="s">
        <v>166</v>
      </c>
      <c r="B75" s="502">
        <v>0.7</v>
      </c>
    </row>
    <row r="76" spans="1:6">
      <c r="A76" s="501" t="s">
        <v>167</v>
      </c>
      <c r="B76" s="502">
        <v>2.2000000000000002</v>
      </c>
    </row>
    <row r="77" spans="1:6">
      <c r="A77" s="501" t="s">
        <v>168</v>
      </c>
      <c r="B77" s="502">
        <v>1.9</v>
      </c>
    </row>
    <row r="78" spans="1:6">
      <c r="A78" s="501" t="s">
        <v>169</v>
      </c>
      <c r="B78" s="502">
        <v>2.2000000000000002</v>
      </c>
    </row>
    <row r="79" spans="1:6">
      <c r="A79" s="501" t="s">
        <v>170</v>
      </c>
      <c r="B79" s="502">
        <v>2.1</v>
      </c>
    </row>
    <row r="80" spans="1:6">
      <c r="A80" s="501" t="s">
        <v>171</v>
      </c>
      <c r="B80" s="502">
        <v>5.6</v>
      </c>
      <c r="F80" s="28" t="s">
        <v>172</v>
      </c>
    </row>
    <row r="81" spans="6:6">
      <c r="F81" s="28">
        <f>12.63*(100+B80)/100</f>
        <v>13.33728</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6449-90BA-47F3-957D-ED1B7F06BE25}">
  <sheetPr>
    <tabColor theme="5"/>
  </sheetPr>
  <dimension ref="A1:S26"/>
  <sheetViews>
    <sheetView zoomScaleNormal="100" workbookViewId="0">
      <pane xSplit="1" topLeftCell="B1" activePane="topRight" state="frozen"/>
      <selection pane="topRight"/>
    </sheetView>
  </sheetViews>
  <sheetFormatPr defaultColWidth="8.625" defaultRowHeight="21"/>
  <cols>
    <col min="1" max="1" width="15.0625" customWidth="1"/>
    <col min="2" max="2" width="13.625" customWidth="1"/>
    <col min="3" max="3" width="13.8125" customWidth="1"/>
    <col min="4" max="4" width="13.75" customWidth="1"/>
    <col min="5" max="5" width="19" customWidth="1"/>
    <col min="6" max="6" width="11.75" bestFit="1" customWidth="1"/>
    <col min="7" max="7" width="12.0625" customWidth="1"/>
    <col min="8" max="8" width="13.25" bestFit="1" customWidth="1"/>
    <col min="9" max="9" width="14.625" bestFit="1" customWidth="1"/>
    <col min="10" max="10" width="13.625" bestFit="1" customWidth="1"/>
    <col min="11" max="11" width="12" bestFit="1" customWidth="1"/>
    <col min="12" max="12" width="11.75" customWidth="1"/>
    <col min="13" max="13" width="1.4375" style="407" customWidth="1"/>
    <col min="14" max="14" width="10" bestFit="1" customWidth="1"/>
    <col min="20" max="20" width="10" bestFit="1" customWidth="1"/>
  </cols>
  <sheetData>
    <row r="1" spans="1:19">
      <c r="A1" s="36" t="s">
        <v>173</v>
      </c>
      <c r="B1" s="33"/>
      <c r="C1" s="33"/>
      <c r="D1" s="33"/>
      <c r="E1" s="33"/>
      <c r="F1" s="283"/>
      <c r="I1" t="s">
        <v>518</v>
      </c>
      <c r="K1" t="s">
        <v>515</v>
      </c>
      <c r="N1" t="s">
        <v>516</v>
      </c>
    </row>
    <row r="2" spans="1:19" ht="63.5">
      <c r="A2" s="54" t="s">
        <v>174</v>
      </c>
      <c r="B2" s="55" t="s">
        <v>175</v>
      </c>
      <c r="C2" s="55" t="s">
        <v>176</v>
      </c>
      <c r="D2" s="194" t="s">
        <v>311</v>
      </c>
      <c r="E2" s="194" t="s">
        <v>375</v>
      </c>
      <c r="F2" s="55" t="s">
        <v>177</v>
      </c>
      <c r="G2" s="55" t="s">
        <v>72</v>
      </c>
      <c r="I2" s="406" t="s">
        <v>513</v>
      </c>
      <c r="J2" s="286" t="s">
        <v>512</v>
      </c>
      <c r="K2" s="406" t="s">
        <v>513</v>
      </c>
      <c r="L2" s="286" t="s">
        <v>512</v>
      </c>
      <c r="N2" s="287" t="str">
        <f>I2</f>
        <v>+20%</v>
      </c>
      <c r="O2" s="287" t="str">
        <f t="shared" ref="O2:Q2" si="0">J2</f>
        <v>-20%</v>
      </c>
      <c r="P2" s="409" t="s">
        <v>519</v>
      </c>
      <c r="Q2" s="287" t="str">
        <f t="shared" si="0"/>
        <v>-20%</v>
      </c>
      <c r="R2" s="408" t="s">
        <v>517</v>
      </c>
      <c r="S2" s="57">
        <v>296169565</v>
      </c>
    </row>
    <row r="3" spans="1:19">
      <c r="A3" s="189" t="s">
        <v>309</v>
      </c>
      <c r="B3" s="188"/>
      <c r="C3" s="188"/>
      <c r="D3" s="188"/>
      <c r="E3" s="188"/>
      <c r="F3" s="188"/>
      <c r="G3" s="188"/>
      <c r="N3" s="57"/>
      <c r="O3" s="57"/>
      <c r="P3" s="57"/>
      <c r="Q3" s="57"/>
    </row>
    <row r="4" spans="1:19">
      <c r="A4" s="56" t="s">
        <v>178</v>
      </c>
      <c r="B4" s="57">
        <f>B18</f>
        <v>1696.6820000000002</v>
      </c>
      <c r="C4" s="27">
        <f>B!B14</f>
        <v>0.91200000000000003</v>
      </c>
      <c r="D4" s="27"/>
      <c r="E4" s="284">
        <f>B!E22*D!C4</f>
        <v>96712.602029414236</v>
      </c>
      <c r="F4" s="57">
        <f>B!E22*B4*C4</f>
        <v>164090531.03647062</v>
      </c>
      <c r="G4" s="57">
        <f>ROUND(F4,-6)</f>
        <v>164000000</v>
      </c>
      <c r="I4" s="57">
        <f>F4*1.2</f>
        <v>196908637.24376473</v>
      </c>
      <c r="J4" s="57">
        <f>F4*0.8</f>
        <v>131272424.8291765</v>
      </c>
      <c r="K4" s="57">
        <f>ROUND(I4,-6)</f>
        <v>197000000</v>
      </c>
      <c r="L4" s="57">
        <f t="shared" ref="L4:L10" si="1">ROUND(J4,-6)</f>
        <v>131000000</v>
      </c>
      <c r="N4" s="57">
        <f>I4</f>
        <v>196908637.24376473</v>
      </c>
      <c r="O4" s="57">
        <f>J4</f>
        <v>131272424.8291765</v>
      </c>
      <c r="P4" s="57">
        <f>K4</f>
        <v>197000000</v>
      </c>
      <c r="Q4" s="57">
        <f>L4</f>
        <v>131000000</v>
      </c>
    </row>
    <row r="5" spans="1:19" ht="43.5" customHeight="1">
      <c r="A5" s="56" t="s">
        <v>179</v>
      </c>
      <c r="B5" s="57">
        <f>B20</f>
        <v>15912</v>
      </c>
      <c r="C5" s="348" t="s">
        <v>477</v>
      </c>
      <c r="D5" s="272"/>
      <c r="E5" s="284">
        <f>B!E24</f>
        <v>9013.7841803730371</v>
      </c>
      <c r="F5" s="57">
        <f>B5*B!$E$24</f>
        <v>143427333.87809578</v>
      </c>
      <c r="G5" s="57">
        <f>ROUND(F5,-6)</f>
        <v>143000000</v>
      </c>
      <c r="I5" s="57">
        <f t="shared" ref="I5:I8" si="2">F5*1.2</f>
        <v>172112800.65371493</v>
      </c>
      <c r="J5" s="57">
        <f t="shared" ref="J5:J8" si="3">F5*0.8</f>
        <v>114741867.10247663</v>
      </c>
      <c r="K5" s="57">
        <f t="shared" ref="K5:K10" si="4">ROUND(I5,-6)</f>
        <v>172000000</v>
      </c>
      <c r="L5" s="57">
        <f t="shared" si="1"/>
        <v>115000000</v>
      </c>
      <c r="N5" s="410">
        <f>S2*1.2</f>
        <v>355403478</v>
      </c>
      <c r="O5" s="410">
        <f>S2*0.8</f>
        <v>236935652</v>
      </c>
      <c r="P5" s="410">
        <f t="shared" ref="P5" si="5">ROUND(N5,-6)</f>
        <v>355000000</v>
      </c>
      <c r="Q5" s="410">
        <f t="shared" ref="Q5" si="6">ROUND(O5,-6)</f>
        <v>237000000</v>
      </c>
    </row>
    <row r="6" spans="1:19">
      <c r="A6" s="285" t="s">
        <v>376</v>
      </c>
      <c r="B6" s="250">
        <f>B21</f>
        <v>3568</v>
      </c>
      <c r="C6" s="251">
        <v>0.72499999999999998</v>
      </c>
      <c r="D6" s="251"/>
      <c r="E6" s="284">
        <f>B!E27*C6</f>
        <v>14421.193076873733</v>
      </c>
      <c r="F6" s="57">
        <f>B!E27*C6*B6</f>
        <v>51454816.898285478</v>
      </c>
      <c r="G6" s="250">
        <f t="shared" ref="G6:G15" si="7">ROUND(F6,-6)</f>
        <v>51000000</v>
      </c>
      <c r="I6" s="57">
        <f t="shared" si="2"/>
        <v>61745780.277942568</v>
      </c>
      <c r="J6" s="57">
        <f t="shared" si="3"/>
        <v>41163853.518628389</v>
      </c>
      <c r="K6" s="57">
        <f t="shared" si="4"/>
        <v>62000000</v>
      </c>
      <c r="L6" s="57">
        <f t="shared" si="1"/>
        <v>41000000</v>
      </c>
      <c r="N6" s="57">
        <f t="shared" ref="N6:Q7" si="8">I6</f>
        <v>61745780.277942568</v>
      </c>
      <c r="O6" s="57">
        <f t="shared" si="8"/>
        <v>41163853.518628389</v>
      </c>
      <c r="P6" s="57">
        <f t="shared" si="8"/>
        <v>62000000</v>
      </c>
      <c r="Q6" s="57">
        <f t="shared" si="8"/>
        <v>41000000</v>
      </c>
    </row>
    <row r="7" spans="1:19">
      <c r="A7" s="56" t="s">
        <v>44</v>
      </c>
      <c r="B7" s="57">
        <f>B23</f>
        <v>1437.5</v>
      </c>
      <c r="C7" s="27">
        <v>0.84</v>
      </c>
      <c r="D7" s="27"/>
      <c r="E7" s="284">
        <f>B!E24*C7</f>
        <v>7571.5787115133508</v>
      </c>
      <c r="F7" s="57">
        <f>B7*B!$E$24*C7</f>
        <v>10884144.397800442</v>
      </c>
      <c r="G7" s="57">
        <f>ROUND(F7,-6)</f>
        <v>11000000</v>
      </c>
      <c r="I7" s="57">
        <f t="shared" si="2"/>
        <v>13060973.277360531</v>
      </c>
      <c r="J7" s="57">
        <f t="shared" si="3"/>
        <v>8707315.5182403531</v>
      </c>
      <c r="K7" s="57">
        <f t="shared" si="4"/>
        <v>13000000</v>
      </c>
      <c r="L7" s="57">
        <f t="shared" si="1"/>
        <v>9000000</v>
      </c>
      <c r="N7" s="57">
        <f t="shared" si="8"/>
        <v>13060973.277360531</v>
      </c>
      <c r="O7" s="57">
        <f t="shared" si="8"/>
        <v>8707315.5182403531</v>
      </c>
      <c r="P7" s="57">
        <f t="shared" si="8"/>
        <v>13000000</v>
      </c>
      <c r="Q7" s="57">
        <f t="shared" si="8"/>
        <v>9000000</v>
      </c>
    </row>
    <row r="8" spans="1:19">
      <c r="A8" s="56" t="s">
        <v>180</v>
      </c>
      <c r="B8" s="57">
        <f>B22</f>
        <v>546.25</v>
      </c>
      <c r="C8" s="27">
        <v>0.84</v>
      </c>
      <c r="D8" s="27"/>
      <c r="E8" s="284">
        <f>B!E24*C8</f>
        <v>7571.5787115133508</v>
      </c>
      <c r="F8" s="57">
        <f>B8*B!$E$24*C8</f>
        <v>4135974.8711641678</v>
      </c>
      <c r="G8" s="57">
        <f t="shared" si="7"/>
        <v>4000000</v>
      </c>
      <c r="H8" t="s">
        <v>514</v>
      </c>
      <c r="I8" s="57">
        <f t="shared" si="2"/>
        <v>4963169.8453970011</v>
      </c>
      <c r="J8" s="57">
        <f t="shared" si="3"/>
        <v>3308779.8969313344</v>
      </c>
      <c r="K8" s="57">
        <f t="shared" si="4"/>
        <v>5000000</v>
      </c>
      <c r="L8" s="57">
        <f t="shared" si="1"/>
        <v>3000000</v>
      </c>
      <c r="N8" s="57">
        <f>I8</f>
        <v>4963169.8453970011</v>
      </c>
      <c r="O8" s="57">
        <f t="shared" ref="O8:Q9" si="9">J8</f>
        <v>3308779.8969313344</v>
      </c>
      <c r="P8" s="57">
        <f t="shared" si="9"/>
        <v>5000000</v>
      </c>
      <c r="Q8" s="57">
        <f t="shared" si="9"/>
        <v>3000000</v>
      </c>
    </row>
    <row r="9" spans="1:19">
      <c r="A9" s="56" t="s">
        <v>313</v>
      </c>
      <c r="B9" s="56"/>
      <c r="C9" s="56"/>
      <c r="D9" s="57">
        <f>BAUc!E14</f>
        <v>5000000</v>
      </c>
      <c r="E9" s="57"/>
      <c r="F9" s="57">
        <f>D9</f>
        <v>5000000</v>
      </c>
      <c r="G9" s="57">
        <f>ROUND(F9,-6)</f>
        <v>5000000</v>
      </c>
      <c r="H9" s="148">
        <f>D9+F13</f>
        <v>8000000</v>
      </c>
      <c r="I9" s="57">
        <f>H9*1.2</f>
        <v>9600000</v>
      </c>
      <c r="J9" s="57">
        <f>H9*0.8</f>
        <v>6400000</v>
      </c>
      <c r="K9" s="57">
        <f t="shared" si="4"/>
        <v>10000000</v>
      </c>
      <c r="L9" s="57">
        <f t="shared" si="1"/>
        <v>6000000</v>
      </c>
      <c r="N9" s="57">
        <f t="shared" ref="N9" si="10">I9</f>
        <v>9600000</v>
      </c>
      <c r="O9" s="57">
        <f t="shared" si="9"/>
        <v>6400000</v>
      </c>
      <c r="P9" s="57">
        <f t="shared" si="9"/>
        <v>10000000</v>
      </c>
      <c r="Q9" s="57">
        <f t="shared" si="9"/>
        <v>6000000</v>
      </c>
    </row>
    <row r="10" spans="1:19">
      <c r="A10" s="56"/>
      <c r="B10" s="57"/>
      <c r="C10" s="27"/>
      <c r="D10" s="318" t="s">
        <v>411</v>
      </c>
      <c r="E10" s="284"/>
      <c r="F10" s="57">
        <f>SUM(F4:F9)</f>
        <v>378992801.08181649</v>
      </c>
      <c r="G10" s="59">
        <f>SUM(G4:G9)</f>
        <v>378000000</v>
      </c>
      <c r="I10" s="59">
        <f>SUM(I4:I9)</f>
        <v>458391361.29817975</v>
      </c>
      <c r="J10" s="59">
        <f>SUM(J4:J9)</f>
        <v>305594240.86545318</v>
      </c>
      <c r="K10" s="433">
        <f t="shared" si="4"/>
        <v>458000000</v>
      </c>
      <c r="L10" s="433">
        <f t="shared" si="1"/>
        <v>306000000</v>
      </c>
      <c r="N10" s="59">
        <f>SUM(N4:N9)</f>
        <v>641682038.64446485</v>
      </c>
      <c r="O10" s="59">
        <f>SUM(O4:O9)</f>
        <v>427788025.76297659</v>
      </c>
      <c r="P10" s="433">
        <f t="shared" ref="P10" si="11">ROUND(N10,-6)</f>
        <v>642000000</v>
      </c>
      <c r="Q10" s="433">
        <f t="shared" ref="Q10" si="12">ROUND(O10,-6)</f>
        <v>428000000</v>
      </c>
    </row>
    <row r="11" spans="1:19">
      <c r="A11" s="56"/>
      <c r="B11" s="57"/>
      <c r="C11" s="27"/>
      <c r="D11" s="318"/>
      <c r="E11" s="284"/>
      <c r="F11" s="57"/>
      <c r="G11" s="59"/>
    </row>
    <row r="12" spans="1:19">
      <c r="A12" s="191" t="s">
        <v>310</v>
      </c>
      <c r="B12" s="192"/>
      <c r="C12" s="193"/>
      <c r="D12" s="193"/>
      <c r="E12" s="193"/>
      <c r="F12" s="192"/>
      <c r="G12" s="192"/>
    </row>
    <row r="13" spans="1:19">
      <c r="A13" s="190" t="s">
        <v>312</v>
      </c>
      <c r="B13" s="58"/>
      <c r="C13" s="58"/>
      <c r="D13" s="57">
        <f>BAUb!E11</f>
        <v>3000000</v>
      </c>
      <c r="E13" s="57"/>
      <c r="F13" s="57">
        <f>D13</f>
        <v>3000000</v>
      </c>
      <c r="G13" s="58"/>
    </row>
    <row r="14" spans="1:19">
      <c r="A14" s="190"/>
      <c r="B14" s="58"/>
      <c r="C14" s="58"/>
      <c r="D14" s="318" t="s">
        <v>412</v>
      </c>
      <c r="E14" s="284"/>
      <c r="F14" s="57"/>
      <c r="G14" s="59">
        <f>F13</f>
        <v>3000000</v>
      </c>
    </row>
    <row r="15" spans="1:19">
      <c r="A15" s="58"/>
      <c r="B15" s="57"/>
      <c r="F15" s="59">
        <f>SUM(F10:F13)</f>
        <v>381992801.08181649</v>
      </c>
      <c r="G15" s="59">
        <f t="shared" si="7"/>
        <v>382000000</v>
      </c>
    </row>
    <row r="16" spans="1:19" s="20" customFormat="1" ht="5.25" customHeight="1">
      <c r="A16" s="60"/>
      <c r="B16" s="61"/>
      <c r="C16" s="62"/>
      <c r="D16" s="62"/>
      <c r="M16" s="407"/>
    </row>
    <row r="17" spans="1:5" ht="48">
      <c r="A17" s="30" t="s">
        <v>181</v>
      </c>
      <c r="B17" s="30" t="s">
        <v>182</v>
      </c>
      <c r="C17" t="s">
        <v>359</v>
      </c>
      <c r="E17" s="30" t="s">
        <v>183</v>
      </c>
    </row>
    <row r="18" spans="1:5" ht="101.5">
      <c r="A18" s="140" t="s">
        <v>178</v>
      </c>
      <c r="B18" s="341">
        <f>(21.05+(13.95*0.83))*52</f>
        <v>1696.6820000000002</v>
      </c>
      <c r="C18" s="341"/>
      <c r="D18" s="341"/>
      <c r="E18" s="140" t="s">
        <v>184</v>
      </c>
    </row>
    <row r="19" spans="1:5" ht="116">
      <c r="A19" s="342" t="s">
        <v>36</v>
      </c>
      <c r="B19" s="341"/>
      <c r="C19" s="343">
        <f>B!B14</f>
        <v>0.91200000000000003</v>
      </c>
      <c r="D19" s="341"/>
      <c r="E19" s="342" t="s">
        <v>356</v>
      </c>
    </row>
    <row r="20" spans="1:5" ht="159.5">
      <c r="A20" s="140" t="s">
        <v>38</v>
      </c>
      <c r="B20" s="341">
        <f>1326*12</f>
        <v>15912</v>
      </c>
      <c r="C20" s="341"/>
      <c r="D20" s="341"/>
      <c r="E20" s="140" t="s">
        <v>185</v>
      </c>
    </row>
    <row r="21" spans="1:5" ht="174">
      <c r="A21" s="344" t="s">
        <v>40</v>
      </c>
      <c r="B21" s="345">
        <v>3568</v>
      </c>
      <c r="C21" s="345"/>
      <c r="D21" s="345"/>
      <c r="E21" s="346" t="s">
        <v>340</v>
      </c>
    </row>
    <row r="22" spans="1:5" ht="217.5">
      <c r="A22" s="140" t="s">
        <v>180</v>
      </c>
      <c r="B22" s="341">
        <f>1.25*437</f>
        <v>546.25</v>
      </c>
      <c r="C22" s="341"/>
      <c r="D22" s="341"/>
      <c r="E22" s="140" t="s">
        <v>186</v>
      </c>
    </row>
    <row r="23" spans="1:5" ht="188.5">
      <c r="A23" s="140" t="s">
        <v>44</v>
      </c>
      <c r="B23" s="341">
        <f>1.25*1150</f>
        <v>1437.5</v>
      </c>
      <c r="C23" s="341"/>
      <c r="D23" s="341"/>
      <c r="E23" s="140" t="s">
        <v>187</v>
      </c>
    </row>
    <row r="25" spans="1:5">
      <c r="C25" s="274"/>
    </row>
    <row r="26" spans="1:5">
      <c r="A26" s="266"/>
    </row>
  </sheetData>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443B-FE63-425F-936E-1C14570D6EE5}">
  <sheetPr>
    <tabColor theme="0"/>
  </sheetPr>
  <dimension ref="A1:J22"/>
  <sheetViews>
    <sheetView zoomScale="90" zoomScaleNormal="90" workbookViewId="0"/>
  </sheetViews>
  <sheetFormatPr defaultColWidth="8.625" defaultRowHeight="21"/>
  <cols>
    <col min="1" max="1" width="26.625" style="89" customWidth="1"/>
    <col min="2" max="2" width="8.625" style="89"/>
    <col min="3" max="3" width="7.1875" style="89" customWidth="1"/>
    <col min="4" max="4" width="29.8125" style="89" customWidth="1"/>
    <col min="5" max="5" width="33.75" customWidth="1"/>
    <col min="6" max="6" width="1.1875" style="20" customWidth="1"/>
    <col min="7" max="7" width="15.4375" customWidth="1"/>
  </cols>
  <sheetData>
    <row r="1" spans="1:10">
      <c r="A1" s="331" t="s">
        <v>188</v>
      </c>
      <c r="B1" s="187"/>
      <c r="C1" s="187"/>
      <c r="D1" s="186"/>
      <c r="E1" s="187"/>
      <c r="F1" s="156"/>
      <c r="H1" s="15"/>
      <c r="I1" s="15"/>
      <c r="J1" s="15"/>
    </row>
    <row r="2" spans="1:10" ht="33" customHeight="1">
      <c r="A2" s="325"/>
      <c r="B2" s="108" t="s">
        <v>53</v>
      </c>
      <c r="C2" s="108" t="s">
        <v>189</v>
      </c>
      <c r="D2" s="108" t="s">
        <v>183</v>
      </c>
      <c r="E2" s="153" t="s">
        <v>190</v>
      </c>
      <c r="F2" s="72"/>
      <c r="G2" s="151"/>
      <c r="H2" s="152"/>
      <c r="I2" s="152"/>
      <c r="J2" s="15"/>
    </row>
    <row r="3" spans="1:10" ht="55.5" customHeight="1">
      <c r="A3" s="97" t="s">
        <v>191</v>
      </c>
      <c r="B3" s="326">
        <v>2705</v>
      </c>
      <c r="C3" s="109"/>
      <c r="D3" s="97" t="s">
        <v>192</v>
      </c>
      <c r="E3" s="323" t="s">
        <v>193</v>
      </c>
      <c r="F3" s="157"/>
      <c r="G3" s="15"/>
      <c r="H3" s="15"/>
      <c r="I3" s="27"/>
      <c r="J3" s="15"/>
    </row>
    <row r="4" spans="1:10" ht="35.65" customHeight="1">
      <c r="A4" s="97" t="s">
        <v>194</v>
      </c>
      <c r="B4" s="327">
        <v>-0.1</v>
      </c>
      <c r="C4" s="109"/>
      <c r="D4" s="322" t="s">
        <v>479</v>
      </c>
      <c r="E4" s="162"/>
      <c r="F4" s="157"/>
      <c r="G4" s="15"/>
      <c r="H4" s="15"/>
      <c r="I4" s="27"/>
      <c r="J4" s="15"/>
    </row>
    <row r="5" spans="1:10" ht="69" customHeight="1">
      <c r="A5" s="97" t="s">
        <v>195</v>
      </c>
      <c r="B5" s="326">
        <f>2658*1.3</f>
        <v>3455.4</v>
      </c>
      <c r="C5" s="109"/>
      <c r="D5" s="97" t="s">
        <v>196</v>
      </c>
      <c r="E5" s="323" t="s">
        <v>197</v>
      </c>
      <c r="F5" s="157"/>
      <c r="G5" s="15"/>
      <c r="H5" s="15"/>
      <c r="I5" s="15"/>
      <c r="J5" s="15"/>
    </row>
    <row r="6" spans="1:10" ht="34.9" customHeight="1">
      <c r="A6" s="97" t="s">
        <v>198</v>
      </c>
      <c r="B6" s="328">
        <f>820/365</f>
        <v>2.2465753424657535</v>
      </c>
      <c r="C6" s="109"/>
      <c r="D6" s="97" t="s">
        <v>199</v>
      </c>
      <c r="E6" s="100" t="s">
        <v>200</v>
      </c>
      <c r="F6" s="157"/>
      <c r="G6" s="15"/>
      <c r="H6" s="15"/>
      <c r="I6" s="15"/>
      <c r="J6" s="15"/>
    </row>
    <row r="7" spans="1:10" ht="42.75" customHeight="1">
      <c r="A7" s="97" t="s">
        <v>201</v>
      </c>
      <c r="B7" s="109"/>
      <c r="C7" s="329">
        <f>47500000/2658</f>
        <v>17870.579382994732</v>
      </c>
      <c r="D7" s="97" t="s">
        <v>202</v>
      </c>
      <c r="E7" s="100" t="s">
        <v>200</v>
      </c>
      <c r="F7" s="157"/>
      <c r="G7" s="15"/>
      <c r="H7" s="15"/>
      <c r="I7" s="15"/>
      <c r="J7" s="15"/>
    </row>
    <row r="8" spans="1:10" ht="46.5">
      <c r="A8" s="97" t="s">
        <v>203</v>
      </c>
      <c r="B8" s="109"/>
      <c r="C8" s="329">
        <f>D!B5</f>
        <v>15912</v>
      </c>
      <c r="D8" s="97" t="s">
        <v>204</v>
      </c>
      <c r="E8" s="155"/>
      <c r="F8" s="156"/>
      <c r="G8" s="15"/>
      <c r="H8" s="15"/>
      <c r="I8" s="15"/>
      <c r="J8" s="15"/>
    </row>
    <row r="9" spans="1:10" ht="69" customHeight="1">
      <c r="A9" s="97" t="s">
        <v>324</v>
      </c>
      <c r="B9" s="109"/>
      <c r="C9" s="327">
        <v>0.05</v>
      </c>
      <c r="D9" s="379" t="s">
        <v>480</v>
      </c>
      <c r="E9" s="155"/>
      <c r="F9" s="156"/>
      <c r="G9" s="15"/>
      <c r="H9" s="15"/>
      <c r="I9" s="15"/>
      <c r="J9" s="15"/>
    </row>
    <row r="10" spans="1:10">
      <c r="A10" s="90"/>
      <c r="B10" s="90"/>
      <c r="C10" s="90"/>
      <c r="D10" s="324"/>
      <c r="E10" s="15"/>
      <c r="F10" s="156"/>
      <c r="G10" s="15"/>
      <c r="H10" s="15"/>
      <c r="I10" s="15"/>
      <c r="J10" s="15"/>
    </row>
    <row r="11" spans="1:10">
      <c r="A11" s="90"/>
      <c r="B11" s="90"/>
      <c r="C11" s="90"/>
      <c r="D11" s="324"/>
      <c r="E11" s="15"/>
      <c r="F11" s="156"/>
      <c r="G11" s="15"/>
      <c r="H11" s="15"/>
      <c r="I11" s="15"/>
      <c r="J11" s="15"/>
    </row>
    <row r="12" spans="1:10">
      <c r="A12" s="90"/>
      <c r="B12" s="90"/>
      <c r="C12" s="90"/>
      <c r="D12" s="324"/>
      <c r="E12" s="15"/>
      <c r="F12" s="156"/>
      <c r="G12" s="15"/>
      <c r="H12" s="15"/>
      <c r="I12" s="15"/>
      <c r="J12" s="15"/>
    </row>
    <row r="13" spans="1:10">
      <c r="A13" s="90"/>
      <c r="B13" s="90"/>
      <c r="C13" s="90"/>
      <c r="D13" s="324"/>
      <c r="E13" s="15"/>
      <c r="F13" s="156"/>
      <c r="G13" s="15"/>
      <c r="H13" s="15"/>
      <c r="I13" s="15"/>
      <c r="J13" s="15"/>
    </row>
    <row r="14" spans="1:10">
      <c r="A14" s="90"/>
      <c r="B14" s="90"/>
      <c r="C14" s="90"/>
      <c r="D14" s="324"/>
      <c r="E14" s="15"/>
      <c r="F14" s="156"/>
      <c r="G14" s="15"/>
      <c r="H14" s="15"/>
      <c r="I14" s="15"/>
      <c r="J14" s="15"/>
    </row>
    <row r="15" spans="1:10">
      <c r="A15" s="90"/>
      <c r="B15" s="90"/>
      <c r="C15" s="90"/>
      <c r="D15" s="90"/>
      <c r="E15" s="15"/>
      <c r="F15" s="156"/>
      <c r="G15" s="15"/>
      <c r="H15" s="15"/>
      <c r="I15" s="15"/>
      <c r="J15" s="15"/>
    </row>
    <row r="16" spans="1:10">
      <c r="A16" s="90"/>
      <c r="B16" s="90"/>
      <c r="C16" s="90"/>
      <c r="D16" s="90"/>
      <c r="E16" s="15"/>
      <c r="F16" s="156"/>
      <c r="G16" s="15"/>
      <c r="H16" s="15"/>
      <c r="I16" s="15"/>
      <c r="J16" s="15"/>
    </row>
    <row r="17" spans="1:10">
      <c r="A17" s="90"/>
      <c r="B17" s="90"/>
      <c r="C17" s="90"/>
      <c r="D17" s="90"/>
      <c r="E17" s="15"/>
      <c r="F17" s="156"/>
      <c r="G17" s="15"/>
      <c r="H17" s="15"/>
      <c r="I17" s="15"/>
      <c r="J17" s="15"/>
    </row>
    <row r="18" spans="1:10">
      <c r="A18" s="90"/>
      <c r="B18" s="90"/>
      <c r="C18" s="90"/>
      <c r="D18" s="90"/>
      <c r="E18" s="15"/>
      <c r="F18" s="156"/>
      <c r="G18" s="15"/>
      <c r="H18" s="15"/>
      <c r="I18" s="15"/>
      <c r="J18" s="15"/>
    </row>
    <row r="19" spans="1:10">
      <c r="A19" s="330"/>
      <c r="B19" s="330"/>
      <c r="C19" s="330"/>
      <c r="D19" s="330"/>
      <c r="E19" s="149"/>
      <c r="F19" s="158"/>
    </row>
    <row r="20" spans="1:10">
      <c r="A20" s="330"/>
      <c r="B20" s="330"/>
      <c r="C20" s="330"/>
      <c r="D20" s="330"/>
      <c r="E20" s="149"/>
      <c r="F20" s="158"/>
    </row>
    <row r="21" spans="1:10">
      <c r="A21" s="330"/>
      <c r="B21" s="330"/>
      <c r="C21" s="330"/>
      <c r="D21" s="330"/>
      <c r="E21" s="149"/>
      <c r="F21" s="158"/>
    </row>
    <row r="22" spans="1:10">
      <c r="A22" s="330"/>
      <c r="B22" s="330"/>
      <c r="C22" s="330"/>
      <c r="D22" s="330"/>
      <c r="E22" s="149"/>
      <c r="F22" s="158"/>
    </row>
  </sheetData>
  <hyperlinks>
    <hyperlink ref="D3" r:id="rId1" display="https://assets.publishing.service.gov.uk/government/uploads/system/uploads/attachment_data/file/904641/No_Recourse_to_Public_Funds__NRPF__-_Applications_to_change_conditions_of_leave_Q2_2020.pdf Note number relates to claims not individuals" xr:uid="{7F2AFE76-F72A-4036-8B86-4548905924C8}"/>
    <hyperlink ref="E3" r:id="rId2" xr:uid="{7CD144E9-8F33-4212-B730-225863913F9B}"/>
    <hyperlink ref="E5" r:id="rId3" xr:uid="{DCE1AC07-06C7-4D36-9D32-01827D7ED355}"/>
  </hyperlinks>
  <pageMargins left="0.7" right="0.7" top="0.75" bottom="0.75" header="0.3" footer="0.3"/>
  <pageSetup paperSize="9" orientation="portrait"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C94-EAFA-4C47-9B21-025610562C95}">
  <sheetPr>
    <tabColor theme="0"/>
  </sheetPr>
  <dimension ref="A1:E11"/>
  <sheetViews>
    <sheetView zoomScale="75" zoomScaleNormal="75" workbookViewId="0"/>
  </sheetViews>
  <sheetFormatPr defaultColWidth="8.625" defaultRowHeight="21"/>
  <cols>
    <col min="1" max="1" width="38.625" customWidth="1"/>
    <col min="2" max="2" width="15.1875" customWidth="1"/>
    <col min="3" max="3" width="10" customWidth="1"/>
    <col min="4" max="4" width="11.8125" bestFit="1" customWidth="1"/>
    <col min="5" max="5" width="10.8125" bestFit="1" customWidth="1"/>
  </cols>
  <sheetData>
    <row r="1" spans="1:5">
      <c r="A1" s="150" t="s">
        <v>370</v>
      </c>
      <c r="B1" s="150"/>
      <c r="C1" s="150"/>
      <c r="D1" s="15"/>
    </row>
    <row r="2" spans="1:5" ht="46.5">
      <c r="A2" s="161" t="s">
        <v>205</v>
      </c>
      <c r="B2" s="160" t="s">
        <v>206</v>
      </c>
      <c r="C2" s="160" t="s">
        <v>207</v>
      </c>
      <c r="D2" s="160" t="s">
        <v>504</v>
      </c>
      <c r="E2" s="160" t="s">
        <v>505</v>
      </c>
    </row>
    <row r="3" spans="1:5">
      <c r="A3" s="155" t="s">
        <v>208</v>
      </c>
      <c r="B3" s="154">
        <f>BAUa!B5</f>
        <v>3455.4</v>
      </c>
      <c r="C3" s="159">
        <f>BAUa!C7</f>
        <v>17870.579382994732</v>
      </c>
      <c r="D3" s="159">
        <f>B3*C3</f>
        <v>61750000</v>
      </c>
      <c r="E3" s="159">
        <f>ROUND(D3,-5)</f>
        <v>61800000</v>
      </c>
    </row>
    <row r="4" spans="1:5">
      <c r="A4" s="15"/>
      <c r="B4" s="15"/>
      <c r="C4" s="15"/>
      <c r="D4" s="15"/>
    </row>
    <row r="5" spans="1:5">
      <c r="C5" s="134"/>
      <c r="D5" s="163" t="s">
        <v>209</v>
      </c>
      <c r="E5" s="164">
        <f>ROUND(E3,-6)</f>
        <v>62000000</v>
      </c>
    </row>
    <row r="7" spans="1:5">
      <c r="A7" s="377" t="s">
        <v>302</v>
      </c>
      <c r="B7" s="15"/>
      <c r="C7" s="15"/>
      <c r="D7" s="155">
        <v>0.05</v>
      </c>
      <c r="E7" s="15"/>
    </row>
    <row r="8" spans="1:5">
      <c r="A8" s="155" t="s">
        <v>303</v>
      </c>
      <c r="B8" s="155"/>
      <c r="C8" s="155"/>
      <c r="D8" s="15"/>
      <c r="E8" s="15"/>
    </row>
    <row r="9" spans="1:5">
      <c r="A9" s="15"/>
      <c r="B9" s="15"/>
      <c r="C9" s="15"/>
      <c r="D9" s="163" t="s">
        <v>304</v>
      </c>
      <c r="E9" s="164">
        <f>E5*D7</f>
        <v>3100000</v>
      </c>
    </row>
    <row r="10" spans="1:5">
      <c r="A10" s="15"/>
      <c r="B10" s="15"/>
      <c r="C10" s="15"/>
      <c r="D10" s="378"/>
      <c r="E10" s="164"/>
    </row>
    <row r="11" spans="1:5">
      <c r="A11" s="15"/>
      <c r="B11" s="15"/>
      <c r="C11" s="155"/>
      <c r="D11" s="163" t="s">
        <v>305</v>
      </c>
      <c r="E11" s="164">
        <f>ROUND(E9,-6)</f>
        <v>3000000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vt:i4>
      </vt:variant>
    </vt:vector>
  </HeadingPairs>
  <TitlesOfParts>
    <vt:vector size="25" baseType="lpstr">
      <vt:lpstr>Contents</vt:lpstr>
      <vt:lpstr>Summary</vt:lpstr>
      <vt:lpstr> A all</vt:lpstr>
      <vt:lpstr>A fiscal</vt:lpstr>
      <vt:lpstr>B</vt:lpstr>
      <vt:lpstr>C</vt:lpstr>
      <vt:lpstr>D</vt:lpstr>
      <vt:lpstr>BAUa</vt:lpstr>
      <vt:lpstr>BAUb</vt:lpstr>
      <vt:lpstr>BAUc</vt:lpstr>
      <vt:lpstr>1a</vt:lpstr>
      <vt:lpstr>1b</vt:lpstr>
      <vt:lpstr>2a</vt:lpstr>
      <vt:lpstr>2b</vt:lpstr>
      <vt:lpstr>3a</vt:lpstr>
      <vt:lpstr>3b</vt:lpstr>
      <vt:lpstr>4a</vt:lpstr>
      <vt:lpstr>4b</vt:lpstr>
      <vt:lpstr>5a</vt:lpstr>
      <vt:lpstr>5b</vt:lpstr>
      <vt:lpstr>6a</vt:lpstr>
      <vt:lpstr>6b</vt:lpstr>
      <vt:lpstr>'1a'!_ftn1</vt:lpstr>
      <vt:lpstr>'1a'!_ftnref1</vt:lpstr>
      <vt:lpstr>'1a'!_Hlk77857660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Scanlon</dc:creator>
  <cp:keywords/>
  <dc:description/>
  <cp:lastModifiedBy>Barry Fong</cp:lastModifiedBy>
  <cp:revision/>
  <cp:lastPrinted>2021-10-19T12:21:59Z</cp:lastPrinted>
  <dcterms:created xsi:type="dcterms:W3CDTF">2021-05-12T08:21:49Z</dcterms:created>
  <dcterms:modified xsi:type="dcterms:W3CDTF">2022-03-10T16:24:03Z</dcterms:modified>
  <cp:category/>
  <cp:contentStatus/>
</cp:coreProperties>
</file>