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9035" windowHeight="11640" tabRatio="845"/>
  </bookViews>
  <sheets>
    <sheet name="Area Profile" sheetId="2" r:id="rId1"/>
    <sheet name="Sheet4" sheetId="4" state="hidden" r:id="rId2"/>
    <sheet name="Data" sheetId="1" r:id="rId3"/>
  </sheets>
  <externalReferences>
    <externalReference r:id="rId4"/>
  </externalReferences>
  <definedNames>
    <definedName name="Boroughs">[1]Data!$C$3:$C$35</definedName>
    <definedName name="Constituencies">Data!$A$3:$A$16</definedName>
    <definedName name="Indicators">#REF!</definedName>
    <definedName name="_xlnm.Print_Titles" localSheetId="0">'Area Profile'!$5:$8</definedName>
  </definedNames>
  <calcPr calcId="145621"/>
</workbook>
</file>

<file path=xl/calcChain.xml><?xml version="1.0" encoding="utf-8"?>
<calcChain xmlns="http://schemas.openxmlformats.org/spreadsheetml/2006/main">
  <c r="E27" i="2" l="1"/>
  <c r="G88" i="2" l="1"/>
  <c r="G87" i="2"/>
  <c r="G86" i="2"/>
  <c r="G85" i="2"/>
  <c r="G84" i="2"/>
  <c r="G83" i="2"/>
  <c r="G80" i="2"/>
  <c r="G79" i="2"/>
  <c r="G78" i="2"/>
  <c r="G77" i="2"/>
  <c r="G76" i="2"/>
  <c r="G75" i="2"/>
  <c r="G72" i="2"/>
  <c r="G71" i="2"/>
  <c r="G68" i="2"/>
  <c r="G67" i="2"/>
  <c r="G66" i="2"/>
  <c r="G65" i="2"/>
  <c r="G64" i="2"/>
  <c r="G63" i="2"/>
  <c r="G62" i="2"/>
  <c r="G61" i="2"/>
  <c r="G58" i="2"/>
  <c r="G55" i="2"/>
  <c r="G54" i="2"/>
  <c r="G53" i="2"/>
  <c r="G52" i="2"/>
  <c r="G49" i="2"/>
  <c r="G48" i="2"/>
  <c r="G47" i="2"/>
  <c r="G46" i="2"/>
  <c r="G45" i="2"/>
  <c r="G44" i="2"/>
  <c r="G41" i="2"/>
  <c r="G40" i="2"/>
  <c r="G39" i="2"/>
  <c r="G38" i="2"/>
  <c r="G37" i="2"/>
  <c r="G36" i="2"/>
  <c r="G35" i="2"/>
  <c r="G32" i="2"/>
  <c r="G31" i="2"/>
  <c r="G30" i="2"/>
  <c r="G29" i="2"/>
  <c r="G28" i="2"/>
  <c r="G26" i="2"/>
  <c r="G23" i="2"/>
  <c r="G22" i="2"/>
  <c r="G21" i="2"/>
  <c r="G20" i="2"/>
  <c r="G17" i="2"/>
  <c r="G16" i="2"/>
  <c r="G15" i="2"/>
  <c r="G14" i="2"/>
  <c r="G13" i="2"/>
  <c r="G12" i="2"/>
  <c r="G11" i="2"/>
  <c r="G10" i="2"/>
  <c r="G27" i="2"/>
  <c r="E88" i="2" l="1"/>
  <c r="D88" i="2"/>
  <c r="C88" i="2"/>
  <c r="E87" i="2"/>
  <c r="D87" i="2"/>
  <c r="C87" i="2"/>
  <c r="E86" i="2"/>
  <c r="D86" i="2"/>
  <c r="C86" i="2"/>
  <c r="E85" i="2"/>
  <c r="D85" i="2"/>
  <c r="C85" i="2"/>
  <c r="E84" i="2"/>
  <c r="D84" i="2"/>
  <c r="C84" i="2"/>
  <c r="E83" i="2"/>
  <c r="D83" i="2"/>
  <c r="C83" i="2"/>
  <c r="E80" i="2"/>
  <c r="D80" i="2"/>
  <c r="C80" i="2"/>
  <c r="E79" i="2"/>
  <c r="D79" i="2"/>
  <c r="C79" i="2"/>
  <c r="E78" i="2"/>
  <c r="D78" i="2"/>
  <c r="C78" i="2"/>
  <c r="E77" i="2"/>
  <c r="D77" i="2"/>
  <c r="C77" i="2"/>
  <c r="E76" i="2"/>
  <c r="D76" i="2"/>
  <c r="C76" i="2"/>
  <c r="E75" i="2"/>
  <c r="D75" i="2"/>
  <c r="C75" i="2"/>
  <c r="D72" i="2"/>
  <c r="C72" i="2"/>
  <c r="E72" i="2"/>
  <c r="E71" i="2"/>
  <c r="D71" i="2"/>
  <c r="C71" i="2"/>
  <c r="E68" i="2"/>
  <c r="D68" i="2"/>
  <c r="C68" i="2"/>
  <c r="E67" i="2"/>
  <c r="D67" i="2"/>
  <c r="C67" i="2"/>
  <c r="E66" i="2"/>
  <c r="D66" i="2"/>
  <c r="C66" i="2"/>
  <c r="E65" i="2"/>
  <c r="D65" i="2"/>
  <c r="C65" i="2"/>
  <c r="E64" i="2"/>
  <c r="D64" i="2"/>
  <c r="C64" i="2"/>
  <c r="E63" i="2"/>
  <c r="D63" i="2"/>
  <c r="C63" i="2"/>
  <c r="E62" i="2"/>
  <c r="D62" i="2"/>
  <c r="C62" i="2"/>
  <c r="E61" i="2"/>
  <c r="D61" i="2"/>
  <c r="C61" i="2"/>
  <c r="E58" i="2"/>
  <c r="D58" i="2"/>
  <c r="C58" i="2"/>
  <c r="E55" i="2"/>
  <c r="D55" i="2"/>
  <c r="C55" i="2"/>
  <c r="E54" i="2"/>
  <c r="D54" i="2"/>
  <c r="C54" i="2"/>
  <c r="E53" i="2"/>
  <c r="D53" i="2"/>
  <c r="C53" i="2"/>
  <c r="E52" i="2"/>
  <c r="D52" i="2"/>
  <c r="C52" i="2"/>
  <c r="E49" i="2"/>
  <c r="D49" i="2"/>
  <c r="C49" i="2"/>
  <c r="E48" i="2"/>
  <c r="D48" i="2"/>
  <c r="C48" i="2"/>
  <c r="E47" i="2"/>
  <c r="D47" i="2"/>
  <c r="C47" i="2"/>
  <c r="E46" i="2"/>
  <c r="D46" i="2"/>
  <c r="C46" i="2"/>
  <c r="E45" i="2"/>
  <c r="D45" i="2"/>
  <c r="C45" i="2"/>
  <c r="E44" i="2"/>
  <c r="D44" i="2"/>
  <c r="C44" i="2"/>
  <c r="E41" i="2"/>
  <c r="D41" i="2"/>
  <c r="F41" i="2" s="1"/>
  <c r="C41" i="2"/>
  <c r="E40" i="2"/>
  <c r="D40" i="2"/>
  <c r="C40" i="2"/>
  <c r="E39" i="2"/>
  <c r="D39" i="2"/>
  <c r="C39" i="2"/>
  <c r="E38" i="2"/>
  <c r="D38" i="2"/>
  <c r="C38" i="2"/>
  <c r="E37" i="2"/>
  <c r="D37" i="2"/>
  <c r="C37" i="2"/>
  <c r="E36" i="2"/>
  <c r="D36" i="2"/>
  <c r="C36" i="2"/>
  <c r="E35" i="2"/>
  <c r="D35" i="2"/>
  <c r="C35" i="2"/>
  <c r="E32" i="2"/>
  <c r="D32" i="2"/>
  <c r="C32" i="2"/>
  <c r="E31" i="2"/>
  <c r="D31" i="2"/>
  <c r="C31" i="2"/>
  <c r="E30" i="2"/>
  <c r="D30" i="2"/>
  <c r="C30" i="2"/>
  <c r="E29" i="2"/>
  <c r="D29" i="2"/>
  <c r="C29" i="2"/>
  <c r="E28" i="2"/>
  <c r="D28" i="2"/>
  <c r="C28" i="2"/>
  <c r="D27" i="2"/>
  <c r="C27" i="2"/>
  <c r="E26" i="2"/>
  <c r="F26" i="2" s="1"/>
  <c r="D26" i="2"/>
  <c r="C26" i="2"/>
  <c r="E23" i="2"/>
  <c r="D23" i="2"/>
  <c r="E22" i="2"/>
  <c r="D22" i="2"/>
  <c r="F22" i="2" s="1"/>
  <c r="E21" i="2"/>
  <c r="D21" i="2"/>
  <c r="E20" i="2"/>
  <c r="D20" i="2"/>
  <c r="E16" i="2"/>
  <c r="D16" i="2"/>
  <c r="C16" i="2"/>
  <c r="E15" i="2"/>
  <c r="E14" i="2"/>
  <c r="D14" i="2"/>
  <c r="C14" i="2"/>
  <c r="C13" i="2"/>
  <c r="C12" i="2"/>
  <c r="J3" i="1"/>
  <c r="D12" i="2"/>
  <c r="K3" i="1"/>
  <c r="E12" i="2" s="1"/>
  <c r="F12" i="2" s="1"/>
  <c r="Q3" i="1"/>
  <c r="E13" i="2"/>
  <c r="P3" i="1"/>
  <c r="D13" i="2"/>
  <c r="Q4" i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P4" i="1"/>
  <c r="P5" i="1"/>
  <c r="P6" i="1"/>
  <c r="P7" i="1"/>
  <c r="P8" i="1"/>
  <c r="P9" i="1"/>
  <c r="P10" i="1"/>
  <c r="P11" i="1"/>
  <c r="P12" i="1"/>
  <c r="P13" i="1"/>
  <c r="P14" i="1"/>
  <c r="P15" i="1"/>
  <c r="P16" i="1"/>
  <c r="P17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F35" i="2"/>
  <c r="D17" i="2"/>
  <c r="E17" i="2"/>
  <c r="F17" i="2" s="1"/>
  <c r="G17" i="1"/>
  <c r="J17" i="1"/>
  <c r="E11" i="2"/>
  <c r="E10" i="2"/>
  <c r="F10" i="2" s="1"/>
  <c r="D10" i="2"/>
  <c r="C10" i="2"/>
  <c r="B2" i="4"/>
  <c r="B4" i="4"/>
  <c r="B6" i="4"/>
  <c r="B7" i="4"/>
  <c r="B8" i="4"/>
  <c r="B9" i="4"/>
  <c r="B10" i="4"/>
  <c r="B12" i="4"/>
  <c r="B14" i="4"/>
  <c r="B16" i="4"/>
  <c r="B3" i="4"/>
  <c r="B5" i="4"/>
  <c r="B11" i="4"/>
  <c r="B13" i="4"/>
  <c r="B15" i="4"/>
  <c r="F40" i="2"/>
  <c r="F52" i="2"/>
  <c r="F61" i="2"/>
  <c r="F84" i="2"/>
  <c r="F67" i="2"/>
  <c r="F78" i="2"/>
  <c r="F71" i="2"/>
  <c r="F77" i="2"/>
  <c r="F83" i="2"/>
  <c r="F86" i="2"/>
  <c r="F87" i="2"/>
  <c r="F66" i="2"/>
  <c r="F76" i="2"/>
  <c r="F80" i="2"/>
  <c r="F47" i="2"/>
  <c r="F53" i="2"/>
  <c r="F58" i="2"/>
  <c r="F68" i="2"/>
  <c r="F65" i="2"/>
  <c r="F64" i="2"/>
  <c r="F46" i="2"/>
  <c r="F29" i="2"/>
  <c r="F44" i="2"/>
  <c r="F45" i="2"/>
  <c r="F48" i="2"/>
  <c r="F49" i="2"/>
  <c r="F54" i="2"/>
  <c r="F55" i="2"/>
  <c r="F62" i="2"/>
  <c r="F63" i="2"/>
  <c r="F72" i="2"/>
  <c r="F75" i="2"/>
  <c r="F79" i="2"/>
  <c r="F85" i="2"/>
  <c r="F88" i="2"/>
  <c r="F30" i="2"/>
  <c r="F36" i="2"/>
  <c r="F31" i="2"/>
  <c r="F21" i="2" l="1"/>
  <c r="F23" i="2"/>
  <c r="F27" i="2"/>
  <c r="F14" i="2"/>
  <c r="F28" i="2"/>
  <c r="F32" i="2"/>
  <c r="F16" i="2"/>
  <c r="F20" i="2"/>
  <c r="F13" i="2"/>
  <c r="E12" i="4"/>
  <c r="E4" i="4"/>
  <c r="E13" i="4"/>
  <c r="E7" i="4"/>
  <c r="E2" i="4"/>
  <c r="E14" i="4"/>
  <c r="E15" i="4"/>
  <c r="E6" i="4"/>
  <c r="E11" i="4"/>
  <c r="E10" i="4"/>
  <c r="E5" i="4"/>
  <c r="E8" i="4"/>
  <c r="E9" i="4"/>
  <c r="E3" i="4"/>
  <c r="F8" i="4" l="1"/>
  <c r="G8" i="4"/>
  <c r="G6" i="4"/>
  <c r="F6" i="4"/>
  <c r="F7" i="4"/>
  <c r="G7" i="4"/>
  <c r="F5" i="4"/>
  <c r="G5" i="4"/>
  <c r="F15" i="4"/>
  <c r="G15" i="4"/>
  <c r="G13" i="4"/>
  <c r="F13" i="4"/>
  <c r="F10" i="4"/>
  <c r="G10" i="4"/>
  <c r="F14" i="4"/>
  <c r="G14" i="4"/>
  <c r="F4" i="4"/>
  <c r="G4" i="4"/>
  <c r="F3" i="4"/>
  <c r="G3" i="4"/>
  <c r="F9" i="4"/>
  <c r="G9" i="4"/>
  <c r="F11" i="4"/>
  <c r="G11" i="4"/>
  <c r="G2" i="4"/>
  <c r="F2" i="4"/>
  <c r="G12" i="4"/>
  <c r="F12" i="4"/>
</calcChain>
</file>

<file path=xl/comments1.xml><?xml version="1.0" encoding="utf-8"?>
<comments xmlns="http://schemas.openxmlformats.org/spreadsheetml/2006/main">
  <authors>
    <author>gpiggott</author>
  </authors>
  <commentList>
    <comment ref="B35" authorId="0">
      <text>
        <r>
          <rPr>
            <b/>
            <sz val="8"/>
            <color indexed="81"/>
            <rFont val="Tahoma"/>
            <family val="2"/>
          </rPr>
          <t>gpiggott:</t>
        </r>
        <r>
          <rPr>
            <sz val="8"/>
            <color indexed="81"/>
            <rFont val="Tahoma"/>
            <family val="2"/>
          </rPr>
          <t xml:space="preserve">
BAME=Black, Asian, and Minority Ethnic</t>
        </r>
      </text>
    </comment>
    <comment ref="B47" authorId="0">
      <text>
        <r>
          <rPr>
            <b/>
            <sz val="8"/>
            <color indexed="81"/>
            <rFont val="Tahoma"/>
            <family val="2"/>
          </rPr>
          <t>gpiggott:</t>
        </r>
        <r>
          <rPr>
            <sz val="8"/>
            <color indexed="81"/>
            <rFont val="Tahoma"/>
            <family val="2"/>
          </rPr>
          <t xml:space="preserve">
All Pupils at the End of KS4 Achieving 5+ A* - C Including English and Mathematics</t>
        </r>
      </text>
    </comment>
    <comment ref="B48" authorId="0">
      <text>
        <r>
          <rPr>
            <b/>
            <sz val="8"/>
            <color indexed="81"/>
            <rFont val="Tahoma"/>
            <family val="2"/>
          </rPr>
          <t>gpiggott:</t>
        </r>
        <r>
          <rPr>
            <sz val="8"/>
            <color indexed="81"/>
            <rFont val="Tahoma"/>
            <family val="2"/>
          </rPr>
          <t xml:space="preserve">
%16+ with NVQ level 4+</t>
        </r>
      </text>
    </comment>
    <comment ref="B58" authorId="0">
      <text>
        <r>
          <rPr>
            <b/>
            <sz val="8"/>
            <color indexed="81"/>
            <rFont val="Tahoma"/>
            <family val="2"/>
          </rPr>
          <t>gpiggott:</t>
        </r>
        <r>
          <rPr>
            <sz val="8"/>
            <color indexed="81"/>
            <rFont val="Tahoma"/>
            <family val="2"/>
          </rPr>
          <t xml:space="preserve">
Recorded crimes per 1,000 population</t>
        </r>
      </text>
    </comment>
    <comment ref="B63" authorId="0">
      <text>
        <r>
          <rPr>
            <sz val="8"/>
            <color indexed="81"/>
            <rFont val="Tahoma"/>
            <family val="2"/>
          </rPr>
          <t xml:space="preserve"> The proportion of children living in families in receipt of out of work benefits or tax credits where their reported income is less than 60% median income.</t>
        </r>
      </text>
    </comment>
    <comment ref="B64" authorId="0">
      <text>
        <r>
          <rPr>
            <b/>
            <sz val="8"/>
            <color indexed="81"/>
            <rFont val="Tahoma"/>
            <family val="2"/>
          </rPr>
          <t>gpiggott:</t>
        </r>
        <r>
          <rPr>
            <sz val="8"/>
            <color indexed="81"/>
            <rFont val="Tahoma"/>
            <family val="2"/>
          </rPr>
          <t xml:space="preserve">
Percentage of small areas (LSOAs) falling within each of the England quintiles from the Index of Multiple Deprivation. Quintile1=most deprived</t>
        </r>
      </text>
    </comment>
    <comment ref="B65" authorId="0">
      <text>
        <r>
          <rPr>
            <b/>
            <sz val="8"/>
            <color indexed="81"/>
            <rFont val="Tahoma"/>
            <family val="2"/>
          </rPr>
          <t>gpiggott:</t>
        </r>
        <r>
          <rPr>
            <sz val="8"/>
            <color indexed="81"/>
            <rFont val="Tahoma"/>
            <family val="2"/>
          </rPr>
          <t xml:space="preserve">
Percentage of small areas (LSOAs) falling within each of the England quintiles from the Index of Multiple Deprivation. Quintile1=most deprived</t>
        </r>
      </text>
    </comment>
    <comment ref="B66" authorId="0">
      <text>
        <r>
          <rPr>
            <b/>
            <sz val="8"/>
            <color indexed="81"/>
            <rFont val="Tahoma"/>
            <family val="2"/>
          </rPr>
          <t>gpiggott:</t>
        </r>
        <r>
          <rPr>
            <sz val="8"/>
            <color indexed="81"/>
            <rFont val="Tahoma"/>
            <family val="2"/>
          </rPr>
          <t xml:space="preserve">
Percentage of small areas (LSOAs) falling within each of the England quintiles from the Index of Multiple Deprivation. Quintile1=most deprived</t>
        </r>
      </text>
    </comment>
    <comment ref="B67" authorId="0">
      <text>
        <r>
          <rPr>
            <b/>
            <sz val="8"/>
            <color indexed="81"/>
            <rFont val="Tahoma"/>
            <family val="2"/>
          </rPr>
          <t>gpiggott:</t>
        </r>
        <r>
          <rPr>
            <sz val="8"/>
            <color indexed="81"/>
            <rFont val="Tahoma"/>
            <family val="2"/>
          </rPr>
          <t xml:space="preserve">
Percentage of small areas (LSOAs) falling within each of the England quintiles from the Index of Multiple Deprivation. Quintile1=most deprived</t>
        </r>
      </text>
    </comment>
    <comment ref="B68" authorId="0">
      <text>
        <r>
          <rPr>
            <b/>
            <sz val="8"/>
            <color indexed="81"/>
            <rFont val="Tahoma"/>
            <family val="2"/>
          </rPr>
          <t>gpiggott:</t>
        </r>
        <r>
          <rPr>
            <sz val="8"/>
            <color indexed="81"/>
            <rFont val="Tahoma"/>
            <family val="2"/>
          </rPr>
          <t xml:space="preserve">
Percentage of small areas (LSOAs) falling within each of the England quintiles from the Index of Multiple Deprivation. Quintile1=most deprived</t>
        </r>
      </text>
    </comment>
    <comment ref="B72" authorId="0">
      <text>
        <r>
          <rPr>
            <sz val="8"/>
            <color indexed="81"/>
            <rFont val="Tahoma"/>
            <family val="2"/>
          </rPr>
          <t xml:space="preserve">Figure is for Assembly List Election
</t>
        </r>
      </text>
    </comment>
  </commentList>
</comments>
</file>

<file path=xl/comments2.xml><?xml version="1.0" encoding="utf-8"?>
<comments xmlns="http://schemas.openxmlformats.org/spreadsheetml/2006/main">
  <authors>
    <author>gpiggott</author>
  </authors>
  <commentList>
    <comment ref="AE1" authorId="0">
      <text>
        <r>
          <rPr>
            <b/>
            <sz val="8"/>
            <color indexed="81"/>
            <rFont val="Tahoma"/>
            <family val="2"/>
          </rPr>
          <t>gpiggott:</t>
        </r>
        <r>
          <rPr>
            <sz val="8"/>
            <color indexed="81"/>
            <rFont val="Tahoma"/>
            <family val="2"/>
          </rPr>
          <t xml:space="preserve">
Born in 2003 survived to 2006
</t>
        </r>
      </text>
    </comment>
    <comment ref="AF1" authorId="0">
      <text>
        <r>
          <rPr>
            <b/>
            <sz val="8"/>
            <color indexed="81"/>
            <rFont val="Tahoma"/>
            <family val="2"/>
          </rPr>
          <t>gpiggott:</t>
        </r>
        <r>
          <rPr>
            <sz val="8"/>
            <color indexed="81"/>
            <rFont val="Tahoma"/>
            <family val="2"/>
          </rPr>
          <t xml:space="preserve">
Born in 2007 survived to 2010</t>
        </r>
      </text>
    </comment>
    <comment ref="AG1" authorId="0">
      <text>
        <r>
          <rPr>
            <b/>
            <sz val="8"/>
            <color indexed="81"/>
            <rFont val="Tahoma"/>
            <family val="2"/>
          </rPr>
          <t>gpiggott:</t>
        </r>
        <r>
          <rPr>
            <sz val="8"/>
            <color indexed="81"/>
            <rFont val="Tahoma"/>
            <family val="2"/>
          </rPr>
          <t xml:space="preserve">
Born in 2007 survived to 2010</t>
        </r>
      </text>
    </comment>
    <comment ref="BF1" authorId="0">
      <text>
        <r>
          <rPr>
            <b/>
            <sz val="8"/>
            <color indexed="81"/>
            <rFont val="Tahoma"/>
            <family val="2"/>
          </rPr>
          <t>gpiggott:</t>
        </r>
        <r>
          <rPr>
            <sz val="8"/>
            <color indexed="81"/>
            <rFont val="Tahoma"/>
            <family val="2"/>
          </rPr>
          <t xml:space="preserve">
All Pupils at the End of KS4 Achieving 5+ A* - C Including English and Mathematics</t>
        </r>
      </text>
    </comment>
    <comment ref="BG1" authorId="0">
      <text>
        <r>
          <rPr>
            <b/>
            <sz val="8"/>
            <color indexed="81"/>
            <rFont val="Tahoma"/>
            <family val="2"/>
          </rPr>
          <t>gpiggott:</t>
        </r>
        <r>
          <rPr>
            <sz val="8"/>
            <color indexed="81"/>
            <rFont val="Tahoma"/>
            <family val="2"/>
          </rPr>
          <t xml:space="preserve">
All Pupils at the End of KS4 Achieving 5+ A* - C Including English and Mathematics</t>
        </r>
      </text>
    </comment>
    <comment ref="BX1" authorId="0">
      <text>
        <r>
          <rPr>
            <b/>
            <sz val="8"/>
            <color indexed="81"/>
            <rFont val="Tahoma"/>
            <family val="2"/>
          </rPr>
          <t>gpiggott:</t>
        </r>
        <r>
          <rPr>
            <sz val="8"/>
            <color indexed="81"/>
            <rFont val="Tahoma"/>
            <family val="2"/>
          </rPr>
          <t xml:space="preserve">
Recorded crimes per 1,000 population</t>
        </r>
      </text>
    </comment>
    <comment ref="BY1" authorId="0">
      <text>
        <r>
          <rPr>
            <b/>
            <sz val="8"/>
            <color indexed="81"/>
            <rFont val="Tahoma"/>
            <family val="2"/>
          </rPr>
          <t>gpiggott:</t>
        </r>
        <r>
          <rPr>
            <sz val="8"/>
            <color indexed="81"/>
            <rFont val="Tahoma"/>
            <family val="2"/>
          </rPr>
          <t xml:space="preserve">
Recorded crimes per 1,000 population</t>
        </r>
      </text>
    </comment>
    <comment ref="BZ1" authorId="0">
      <text>
        <r>
          <rPr>
            <b/>
            <sz val="8"/>
            <color indexed="81"/>
            <rFont val="Tahoma"/>
            <family val="2"/>
          </rPr>
          <t>gpiggott:</t>
        </r>
        <r>
          <rPr>
            <sz val="8"/>
            <color indexed="81"/>
            <rFont val="Tahoma"/>
            <family val="2"/>
          </rPr>
          <t xml:space="preserve">
Snapshot from May</t>
        </r>
      </text>
    </comment>
    <comment ref="CA1" authorId="0">
      <text>
        <r>
          <rPr>
            <b/>
            <sz val="8"/>
            <color indexed="81"/>
            <rFont val="Tahoma"/>
            <family val="2"/>
          </rPr>
          <t>gpiggott:</t>
        </r>
        <r>
          <rPr>
            <sz val="8"/>
            <color indexed="81"/>
            <rFont val="Tahoma"/>
            <family val="2"/>
          </rPr>
          <t xml:space="preserve">
Snapshot from May</t>
        </r>
      </text>
    </comment>
    <comment ref="CB1" authorId="0">
      <text>
        <r>
          <rPr>
            <b/>
            <sz val="8"/>
            <color indexed="81"/>
            <rFont val="Tahoma"/>
            <family val="2"/>
          </rPr>
          <t>gpiggott:</t>
        </r>
        <r>
          <rPr>
            <sz val="8"/>
            <color indexed="81"/>
            <rFont val="Tahoma"/>
            <family val="2"/>
          </rPr>
          <t xml:space="preserve">
Snapshot data from May</t>
        </r>
      </text>
    </comment>
    <comment ref="CC1" authorId="0">
      <text>
        <r>
          <rPr>
            <b/>
            <sz val="8"/>
            <color indexed="81"/>
            <rFont val="Tahoma"/>
            <family val="2"/>
          </rPr>
          <t>gpiggott:</t>
        </r>
        <r>
          <rPr>
            <sz val="8"/>
            <color indexed="81"/>
            <rFont val="Tahoma"/>
            <family val="2"/>
          </rPr>
          <t xml:space="preserve">
Snapshot data from May</t>
        </r>
      </text>
    </comment>
    <comment ref="CD1" authorId="0">
      <text>
        <r>
          <rPr>
            <b/>
            <sz val="8"/>
            <color indexed="81"/>
            <rFont val="Tahoma"/>
            <family val="2"/>
          </rPr>
          <t>gpiggott:</t>
        </r>
        <r>
          <rPr>
            <sz val="8"/>
            <color indexed="81"/>
            <rFont val="Tahoma"/>
            <family val="2"/>
          </rPr>
          <t xml:space="preserve">
Definition: The proportion of children living in families in receipt of out of work benefits or tax credits where their reported income is less than 60% median income.</t>
        </r>
      </text>
    </comment>
    <comment ref="CE1" authorId="0">
      <text>
        <r>
          <rPr>
            <b/>
            <sz val="8"/>
            <color indexed="81"/>
            <rFont val="Tahoma"/>
            <family val="2"/>
          </rPr>
          <t>gpiggott:</t>
        </r>
        <r>
          <rPr>
            <sz val="8"/>
            <color indexed="81"/>
            <rFont val="Tahoma"/>
            <family val="2"/>
          </rPr>
          <t xml:space="preserve">
Definition: The proportion of children living in families in receipt of out of work benefits or tax credits where their reported income is less than 60% median income.</t>
        </r>
      </text>
    </comment>
    <comment ref="CF1" authorId="0">
      <text>
        <r>
          <rPr>
            <b/>
            <sz val="8"/>
            <color indexed="81"/>
            <rFont val="Tahoma"/>
            <family val="2"/>
          </rPr>
          <t>gpiggott:</t>
        </r>
        <r>
          <rPr>
            <sz val="8"/>
            <color indexed="81"/>
            <rFont val="Tahoma"/>
            <family val="2"/>
          </rPr>
          <t xml:space="preserve">
Percentage of small areas (LSOAs) falling within each of the England quintiles from the Index of Multiple Deprivation 2007. Quintile1=most deprived</t>
        </r>
      </text>
    </comment>
    <comment ref="CG1" authorId="0">
      <text>
        <r>
          <rPr>
            <b/>
            <sz val="8"/>
            <color indexed="81"/>
            <rFont val="Tahoma"/>
            <family val="2"/>
          </rPr>
          <t>gpiggott:</t>
        </r>
        <r>
          <rPr>
            <sz val="8"/>
            <color indexed="81"/>
            <rFont val="Tahoma"/>
            <family val="2"/>
          </rPr>
          <t xml:space="preserve">
Percentage of small areas (LSOAs) falling within each of the England quintiles from the Index of Multiple Deprivation 2007. Quintile1=most deprived</t>
        </r>
      </text>
    </comment>
    <comment ref="CH1" authorId="0">
      <text>
        <r>
          <rPr>
            <b/>
            <sz val="8"/>
            <color indexed="81"/>
            <rFont val="Tahoma"/>
            <family val="2"/>
          </rPr>
          <t>gpiggott:</t>
        </r>
        <r>
          <rPr>
            <sz val="8"/>
            <color indexed="81"/>
            <rFont val="Tahoma"/>
            <family val="2"/>
          </rPr>
          <t xml:space="preserve">
Percentage of small areas (LSOAs) falling within each of the England quintiles from the Index of Multiple Deprivation 2007. Quintile1=most deprived</t>
        </r>
      </text>
    </comment>
    <comment ref="CI1" authorId="0">
      <text>
        <r>
          <rPr>
            <b/>
            <sz val="8"/>
            <color indexed="81"/>
            <rFont val="Tahoma"/>
            <family val="2"/>
          </rPr>
          <t>gpiggott:</t>
        </r>
        <r>
          <rPr>
            <sz val="8"/>
            <color indexed="81"/>
            <rFont val="Tahoma"/>
            <family val="2"/>
          </rPr>
          <t xml:space="preserve">
Percentage of small areas (LSOAs) falling within each of the England quintiles from the Index of Multiple Deprivation 2007. Quintile1=most deprived</t>
        </r>
      </text>
    </comment>
    <comment ref="CJ1" authorId="0">
      <text>
        <r>
          <rPr>
            <b/>
            <sz val="8"/>
            <color indexed="81"/>
            <rFont val="Tahoma"/>
            <family val="2"/>
          </rPr>
          <t>gpiggott:</t>
        </r>
        <r>
          <rPr>
            <sz val="8"/>
            <color indexed="81"/>
            <rFont val="Tahoma"/>
            <family val="2"/>
          </rPr>
          <t xml:space="preserve">
Percentage of small areas (LSOAs) falling within each of the England quintiles from the Index of Multiple Deprivation 2007. Quintile1=most deprived</t>
        </r>
      </text>
    </comment>
    <comment ref="CK1" authorId="0">
      <text>
        <r>
          <rPr>
            <b/>
            <sz val="8"/>
            <color indexed="81"/>
            <rFont val="Tahoma"/>
            <family val="2"/>
          </rPr>
          <t>gpiggott:</t>
        </r>
        <r>
          <rPr>
            <sz val="8"/>
            <color indexed="81"/>
            <rFont val="Tahoma"/>
            <family val="2"/>
          </rPr>
          <t xml:space="preserve">
Percentage of small areas (LSOAs) falling within each of the England quintiles from the Index of Multiple Deprivation 2007. Quintile1=most deprived</t>
        </r>
      </text>
    </comment>
    <comment ref="CM1" authorId="0">
      <text>
        <r>
          <rPr>
            <b/>
            <sz val="8"/>
            <color indexed="81"/>
            <rFont val="Tahoma"/>
            <family val="2"/>
          </rPr>
          <t>gpiggott:</t>
        </r>
        <r>
          <rPr>
            <sz val="8"/>
            <color indexed="81"/>
            <rFont val="Tahoma"/>
            <family val="2"/>
          </rPr>
          <t xml:space="preserve">
Percentage of small areas (LSOAs) falling within each of the England quintiles from the Index of Multiple Deprivation 2007. Quintile1=most deprived</t>
        </r>
      </text>
    </comment>
    <comment ref="CN1" authorId="0">
      <text>
        <r>
          <rPr>
            <b/>
            <sz val="8"/>
            <color indexed="81"/>
            <rFont val="Tahoma"/>
            <family val="2"/>
          </rPr>
          <t>gpiggott:</t>
        </r>
        <r>
          <rPr>
            <sz val="8"/>
            <color indexed="81"/>
            <rFont val="Tahoma"/>
            <family val="2"/>
          </rPr>
          <t xml:space="preserve">
Percentage of small areas (LSOAs) falling within each of the England quintiles from the Index of Multiple Deprivation 2007. Quintile1=most deprived</t>
        </r>
      </text>
    </comment>
    <comment ref="CQ1" authorId="0">
      <text>
        <r>
          <rPr>
            <b/>
            <sz val="8"/>
            <color indexed="81"/>
            <rFont val="Tahoma"/>
            <family val="2"/>
          </rPr>
          <t>gpiggott:</t>
        </r>
        <r>
          <rPr>
            <sz val="8"/>
            <color indexed="81"/>
            <rFont val="Tahoma"/>
            <family val="2"/>
          </rPr>
          <t xml:space="preserve">
Figure is for Assembly List Election
</t>
        </r>
      </text>
    </comment>
    <comment ref="CR1" authorId="0">
      <text>
        <r>
          <rPr>
            <b/>
            <sz val="8"/>
            <color indexed="81"/>
            <rFont val="Tahoma"/>
            <family val="2"/>
          </rPr>
          <t>gpiggott:</t>
        </r>
        <r>
          <rPr>
            <sz val="8"/>
            <color indexed="81"/>
            <rFont val="Tahoma"/>
            <family val="2"/>
          </rPr>
          <t xml:space="preserve">
Figure is for Assembly List Election
</t>
        </r>
      </text>
    </comment>
    <comment ref="AF2" authorId="0">
      <text>
        <r>
          <rPr>
            <b/>
            <sz val="8"/>
            <color indexed="81"/>
            <rFont val="Tahoma"/>
            <family val="2"/>
          </rPr>
          <t>gpiggott:</t>
        </r>
        <r>
          <rPr>
            <sz val="8"/>
            <color indexed="81"/>
            <rFont val="Tahoma"/>
            <family val="2"/>
          </rPr>
          <t xml:space="preserve">
Mid year to mid year</t>
        </r>
      </text>
    </comment>
    <comment ref="AG2" authorId="0">
      <text>
        <r>
          <rPr>
            <b/>
            <sz val="8"/>
            <color indexed="81"/>
            <rFont val="Tahoma"/>
            <family val="2"/>
          </rPr>
          <t>gpiggott:</t>
        </r>
        <r>
          <rPr>
            <sz val="8"/>
            <color indexed="81"/>
            <rFont val="Tahoma"/>
            <family val="2"/>
          </rPr>
          <t xml:space="preserve">
Jul 2010-Jun 2011</t>
        </r>
      </text>
    </comment>
    <comment ref="AH2" authorId="0">
      <text>
        <r>
          <rPr>
            <b/>
            <sz val="8"/>
            <color indexed="81"/>
            <rFont val="Tahoma"/>
            <family val="2"/>
          </rPr>
          <t>gpiggott:</t>
        </r>
        <r>
          <rPr>
            <sz val="8"/>
            <color indexed="81"/>
            <rFont val="Tahoma"/>
            <family val="2"/>
          </rPr>
          <t xml:space="preserve">
Jul 2010-Jun 2011</t>
        </r>
      </text>
    </comment>
    <comment ref="AI2" authorId="0">
      <text>
        <r>
          <rPr>
            <b/>
            <sz val="8"/>
            <color indexed="81"/>
            <rFont val="Tahoma"/>
            <family val="2"/>
          </rPr>
          <t>gpiggott:</t>
        </r>
        <r>
          <rPr>
            <sz val="8"/>
            <color indexed="81"/>
            <rFont val="Tahoma"/>
            <family val="2"/>
          </rPr>
          <t xml:space="preserve">
Mid year to mid year</t>
        </r>
      </text>
    </comment>
  </commentList>
</comments>
</file>

<file path=xl/sharedStrings.xml><?xml version="1.0" encoding="utf-8"?>
<sst xmlns="http://schemas.openxmlformats.org/spreadsheetml/2006/main" count="651" uniqueCount="169">
  <si>
    <t>Barnet and Camden</t>
  </si>
  <si>
    <t>Bexley and Bromley</t>
  </si>
  <si>
    <t>Brent and Harrow</t>
  </si>
  <si>
    <t>City and East London</t>
  </si>
  <si>
    <t>Croydon and Sutton</t>
  </si>
  <si>
    <t>Ealing and Hillingdon</t>
  </si>
  <si>
    <t>Enfield and Haringey</t>
  </si>
  <si>
    <t>Greenwich and Lewisham</t>
  </si>
  <si>
    <t>Havering and Redbridge</t>
  </si>
  <si>
    <t>Lambeth and Southwark</t>
  </si>
  <si>
    <t>Merton and Wandsworth</t>
  </si>
  <si>
    <t>North East</t>
  </si>
  <si>
    <t>South West</t>
  </si>
  <si>
    <t>West Central</t>
  </si>
  <si>
    <t>London</t>
  </si>
  <si>
    <t>England</t>
  </si>
  <si>
    <t>Employment rate - aged 16-64</t>
  </si>
  <si>
    <t>2006/07</t>
  </si>
  <si>
    <t>2010/11</t>
  </si>
  <si>
    <t>Employment rate males - aged 16-64</t>
  </si>
  <si>
    <t>Employment rate females - aged 16-64</t>
  </si>
  <si>
    <t>Unemployment rate - aged 16-64</t>
  </si>
  <si>
    <t>Owned Outright</t>
  </si>
  <si>
    <t>Being bought with mortgage or loan</t>
  </si>
  <si>
    <t>Private Rented</t>
  </si>
  <si>
    <t>Social Rented</t>
  </si>
  <si>
    <t>% BAME</t>
  </si>
  <si>
    <t>% born abroad</t>
  </si>
  <si>
    <t>Bangladesh</t>
  </si>
  <si>
    <t>India</t>
  </si>
  <si>
    <t>Turkey</t>
  </si>
  <si>
    <t>Nigeria</t>
  </si>
  <si>
    <t>South Africa</t>
  </si>
  <si>
    <t>USA</t>
  </si>
  <si>
    <t>Kenya</t>
  </si>
  <si>
    <t>Cyprus</t>
  </si>
  <si>
    <t>Jamaica</t>
  </si>
  <si>
    <t>Australia</t>
  </si>
  <si>
    <t>France</t>
  </si>
  <si>
    <t>Sri Lanka</t>
  </si>
  <si>
    <t>Former USSR etc</t>
  </si>
  <si>
    <t>Poland</t>
  </si>
  <si>
    <t>Ghana</t>
  </si>
  <si>
    <t>Second largest migrant population by country of birth</t>
  </si>
  <si>
    <t>Third largest migrant population by country of birth</t>
  </si>
  <si>
    <t>Ireland</t>
  </si>
  <si>
    <t>Pakistan</t>
  </si>
  <si>
    <t>Somalia</t>
  </si>
  <si>
    <t>NVQ Level 4 and above</t>
  </si>
  <si>
    <t>No qualifications</t>
  </si>
  <si>
    <t>Area (Hectares)</t>
  </si>
  <si>
    <t>All ages</t>
  </si>
  <si>
    <t>0-16</t>
  </si>
  <si>
    <t>75+</t>
  </si>
  <si>
    <t>Population Density</t>
  </si>
  <si>
    <t>Average Age</t>
  </si>
  <si>
    <t>Couple Households (thousands)</t>
  </si>
  <si>
    <t>Total Households (thousands)</t>
  </si>
  <si>
    <t>Total Electors</t>
  </si>
  <si>
    <t>Daytime Population</t>
  </si>
  <si>
    <t>Workers</t>
  </si>
  <si>
    <t>% of adults who don’t speak English at home</t>
  </si>
  <si>
    <t>Bengali</t>
  </si>
  <si>
    <t>Yoruba</t>
  </si>
  <si>
    <t>Gujarati</t>
  </si>
  <si>
    <t>Tamil</t>
  </si>
  <si>
    <t>Panjabi</t>
  </si>
  <si>
    <t>Turkish</t>
  </si>
  <si>
    <t>Urdu</t>
  </si>
  <si>
    <t>Arabic</t>
  </si>
  <si>
    <t>Pupils highest language other than English</t>
  </si>
  <si>
    <t>% pupils with first language other than English</t>
  </si>
  <si>
    <t>% pupils achieving 5+ A*-C GCSEs inc English and Maths</t>
  </si>
  <si>
    <t>All Schools</t>
  </si>
  <si>
    <t>% pupils at independent schools</t>
  </si>
  <si>
    <t>Independent Schools</t>
  </si>
  <si>
    <t>2006-07</t>
  </si>
  <si>
    <t>2010-11</t>
  </si>
  <si>
    <t>Crime rate</t>
  </si>
  <si>
    <t>Number of businesses</t>
  </si>
  <si>
    <t>% working age people claiming out of work benefits</t>
  </si>
  <si>
    <t>% 60+ claiming pension credit</t>
  </si>
  <si>
    <t>% of Children in "Poverty"</t>
  </si>
  <si>
    <t>% of SOAs in Quintile 1 of IMD</t>
  </si>
  <si>
    <t>% of SOAs in Quintile 2 of IMD</t>
  </si>
  <si>
    <t>% of SOAs in Quintile 3 of IMD</t>
  </si>
  <si>
    <t>% of SOAs in Quintile 4 of IMD</t>
  </si>
  <si>
    <t>% of SOAs in Quintile 5 of IMD</t>
  </si>
  <si>
    <t>% of votes for Conservative candidate</t>
  </si>
  <si>
    <t>% of votes for Lib Dem candidate</t>
  </si>
  <si>
    <t>% of votes for 'Other' candidates</t>
  </si>
  <si>
    <t>% of votes for Labour candidate</t>
  </si>
  <si>
    <t>% of votes for Conservative party</t>
  </si>
  <si>
    <t>% of votes for Labour party</t>
  </si>
  <si>
    <t>% of votes for Lib Dem party</t>
  </si>
  <si>
    <t>% of votes for 'Other' parties</t>
  </si>
  <si>
    <t>Indicator</t>
  </si>
  <si>
    <t>ASSEMBLY CONSTITUENCY PROFILES</t>
  </si>
  <si>
    <t>London average</t>
  </si>
  <si>
    <t>Total Population</t>
  </si>
  <si>
    <t>Demographics</t>
  </si>
  <si>
    <t>Projected population in 2031</t>
  </si>
  <si>
    <t>-</t>
  </si>
  <si>
    <t>Households</t>
  </si>
  <si>
    <t>Total number of households</t>
  </si>
  <si>
    <t>Daytime population</t>
  </si>
  <si>
    <t>Employment</t>
  </si>
  <si>
    <t>Number of workers</t>
  </si>
  <si>
    <t>Diversity</t>
  </si>
  <si>
    <t>% from BAME groups</t>
  </si>
  <si>
    <t>Largest migrant population</t>
  </si>
  <si>
    <t>Second largest migrant population</t>
  </si>
  <si>
    <t>Third largest migrant population</t>
  </si>
  <si>
    <t>Education and Skills</t>
  </si>
  <si>
    <t>% adults with no qualifications</t>
  </si>
  <si>
    <t>Housing</t>
  </si>
  <si>
    <t>% households owned outright</t>
  </si>
  <si>
    <t>% households being bought with mortgage or loan</t>
  </si>
  <si>
    <t>% households social rented</t>
  </si>
  <si>
    <t>% households private rented</t>
  </si>
  <si>
    <t>% adults with degree level and above</t>
  </si>
  <si>
    <t>Crime</t>
  </si>
  <si>
    <t>Deprivation</t>
  </si>
  <si>
    <t>Elections</t>
  </si>
  <si>
    <t>GLA Constituency Election</t>
  </si>
  <si>
    <t>GLA List Election</t>
  </si>
  <si>
    <t>% Turnout</t>
  </si>
  <si>
    <t>% population aged 0 to 16</t>
  </si>
  <si>
    <t>% population aged 75 and over</t>
  </si>
  <si>
    <t>Couple Households</t>
  </si>
  <si>
    <t>Data four years ago</t>
  </si>
  <si>
    <t>Most recent data</t>
  </si>
  <si>
    <t>Choose a constituency</t>
  </si>
  <si>
    <t>Year</t>
  </si>
  <si>
    <t>Metadata</t>
  </si>
  <si>
    <t xml:space="preserve"> </t>
  </si>
  <si>
    <t>Source: Office for National Statistics (Annual Population Survey). Recent=2010 / previous=2006</t>
  </si>
  <si>
    <t>Largest migrant population by country of birth</t>
  </si>
  <si>
    <t>Link to the interactive map (InstantAtlas)</t>
  </si>
  <si>
    <t>% of votes for Green</t>
  </si>
  <si>
    <t>% of votes for UKIP</t>
  </si>
  <si>
    <t>2016</t>
  </si>
  <si>
    <t>Jan 2015- Dec 2015</t>
  </si>
  <si>
    <t>2015-16</t>
  </si>
  <si>
    <t>2014</t>
  </si>
  <si>
    <t>Italy</t>
  </si>
  <si>
    <t>Romania</t>
  </si>
  <si>
    <t>Afghanistan</t>
  </si>
  <si>
    <t>Nepal</t>
  </si>
  <si>
    <t>Single Households</t>
  </si>
  <si>
    <t>Previously married Households</t>
  </si>
  <si>
    <t>1 year business survival rate</t>
  </si>
  <si>
    <t>% of votes for Green candidate</t>
  </si>
  <si>
    <t>% of votes for UKIP candidate</t>
  </si>
  <si>
    <t>Data eight years ago</t>
  </si>
  <si>
    <t>Change from four years ago</t>
  </si>
  <si>
    <t>Source: GLA projections (2015 Round SHLAA Projections)</t>
  </si>
  <si>
    <t>Source: GLA Land Area and Population Density, Ward and Borough</t>
  </si>
  <si>
    <t>Source: GLA day time population</t>
  </si>
  <si>
    <t>Source: GLA Household projections (2015 Round SHLAA Projections)</t>
  </si>
  <si>
    <t>Source: Office for National Statistics</t>
  </si>
  <si>
    <t>Source: Office for National Statistics (Annual Population Survey)</t>
  </si>
  <si>
    <t>Source: Department for Education</t>
  </si>
  <si>
    <t>Source: Met Police Service, and Home Office</t>
  </si>
  <si>
    <t>Source: Department for Work and Pensions (working age client group)</t>
  </si>
  <si>
    <t>Source: HM Revenue and Customs</t>
  </si>
  <si>
    <t>Source: Indices of Deprivation</t>
  </si>
  <si>
    <t>Source: Office for National Statistics (Labour Force Survey)</t>
  </si>
  <si>
    <t>Source: GLA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</si>
</sst>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(* #,##0.00_);_(* \(#,##0.00\);_(* &quot;-&quot;??_);_(@_)"/>
    <numFmt numFmtId="165" formatCode="&quot; &quot;#,##0.00&quot; &quot;;&quot;-&quot;#,##0.00&quot; &quot;;&quot; -&quot;00&quot; &quot;;&quot; &quot;@&quot; &quot;"/>
    <numFmt numFmtId="166" formatCode="&quot; &quot;[$£]#,##0.00&quot; &quot;;&quot;-&quot;[$£]#,##0.00&quot; &quot;;&quot; &quot;[$£]&quot;-&quot;00&quot; &quot;;&quot; &quot;@&quot; &quot;"/>
    <numFmt numFmtId="167" formatCode="_-[$€-2]* #,##0.00_-;\-[$€-2]* #,##0.00_-;_-[$€-2]* &quot;-&quot;??_-"/>
    <numFmt numFmtId="168" formatCode="0000"/>
    <numFmt numFmtId="169" formatCode="0.0"/>
  </numFmts>
  <fonts count="102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0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name val="Foundry Form Sans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color indexed="8"/>
      <name val="Calibri"/>
      <family val="2"/>
    </font>
    <font>
      <sz val="12"/>
      <name val="Arial"/>
      <family val="2"/>
    </font>
    <font>
      <u/>
      <sz val="10"/>
      <color indexed="12"/>
      <name val="Arial"/>
      <family val="2"/>
    </font>
    <font>
      <sz val="9"/>
      <color indexed="18"/>
      <name val="Arial"/>
      <family val="2"/>
    </font>
    <font>
      <b/>
      <sz val="12"/>
      <color indexed="8"/>
      <name val="Arial"/>
      <family val="2"/>
    </font>
    <font>
      <u/>
      <sz val="10"/>
      <color indexed="12"/>
      <name val="MS Sans Serif"/>
      <family val="2"/>
    </font>
    <font>
      <u/>
      <sz val="10"/>
      <color indexed="12"/>
      <name val="Foundry Form Sans"/>
    </font>
    <font>
      <u/>
      <sz val="5"/>
      <color indexed="12"/>
      <name val="Arial"/>
      <family val="2"/>
    </font>
    <font>
      <sz val="12"/>
      <color indexed="8"/>
      <name val="Arial"/>
      <family val="2"/>
    </font>
    <font>
      <b/>
      <sz val="12"/>
      <color indexed="9"/>
      <name val="Arial"/>
      <family val="2"/>
    </font>
    <font>
      <sz val="12"/>
      <color indexed="9"/>
      <name val="Arial"/>
      <family val="2"/>
    </font>
    <font>
      <sz val="10"/>
      <name val="CG Times"/>
      <family val="1"/>
    </font>
    <font>
      <sz val="12"/>
      <color indexed="20"/>
      <name val="Arial"/>
      <family val="2"/>
    </font>
    <font>
      <b/>
      <sz val="12"/>
      <color indexed="52"/>
      <name val="Arial"/>
      <family val="2"/>
    </font>
    <font>
      <i/>
      <sz val="12"/>
      <color indexed="23"/>
      <name val="Arial"/>
      <family val="2"/>
    </font>
    <font>
      <sz val="12"/>
      <color indexed="17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2"/>
      <color indexed="62"/>
      <name val="Arial"/>
      <family val="2"/>
    </font>
    <font>
      <sz val="12"/>
      <color indexed="52"/>
      <name val="Arial"/>
      <family val="2"/>
    </font>
    <font>
      <sz val="12"/>
      <color indexed="60"/>
      <name val="Arial"/>
      <family val="2"/>
    </font>
    <font>
      <u/>
      <sz val="8.5"/>
      <color indexed="12"/>
      <name val="Arial"/>
      <family val="2"/>
    </font>
    <font>
      <u/>
      <sz val="8"/>
      <color indexed="12"/>
      <name val="Arial"/>
      <family val="2"/>
    </font>
    <font>
      <u/>
      <sz val="11"/>
      <color indexed="45"/>
      <name val="Calibri"/>
      <family val="2"/>
    </font>
    <font>
      <u/>
      <sz val="12"/>
      <color indexed="12"/>
      <name val="Arial"/>
      <family val="2"/>
    </font>
    <font>
      <u/>
      <sz val="11"/>
      <color indexed="25"/>
      <name val="Calibri"/>
      <family val="2"/>
    </font>
    <font>
      <b/>
      <sz val="15"/>
      <color indexed="62"/>
      <name val="Calibri"/>
      <family val="2"/>
    </font>
    <font>
      <b/>
      <sz val="11"/>
      <color indexed="62"/>
      <name val="Calibri"/>
      <family val="2"/>
    </font>
    <font>
      <b/>
      <sz val="13"/>
      <color indexed="62"/>
      <name val="Calibri"/>
      <family val="2"/>
    </font>
    <font>
      <u/>
      <sz val="11"/>
      <color indexed="36"/>
      <name val="Calibri"/>
      <family val="2"/>
    </font>
    <font>
      <u/>
      <sz val="11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8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Courier"/>
      <family val="3"/>
    </font>
    <font>
      <u/>
      <sz val="8.5"/>
      <color indexed="12"/>
      <name val="Book Antiqua"/>
      <family val="1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2"/>
      <color theme="1"/>
      <name val="Arial"/>
      <family val="2"/>
    </font>
    <font>
      <sz val="11"/>
      <color theme="0"/>
      <name val="Calibri"/>
      <family val="2"/>
      <scheme val="minor"/>
    </font>
    <font>
      <sz val="11"/>
      <color rgb="FFFFFFFF"/>
      <name val="Calibri"/>
      <family val="2"/>
    </font>
    <font>
      <sz val="11"/>
      <color rgb="FF9C0006"/>
      <name val="Calibri"/>
      <family val="2"/>
      <scheme val="minor"/>
    </font>
    <font>
      <sz val="11"/>
      <color rgb="FF800080"/>
      <name val="Calibri"/>
      <family val="2"/>
    </font>
    <font>
      <sz val="11"/>
      <color indexed="3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rgb="FFFF9900"/>
      <name val="Calibri"/>
      <family val="2"/>
    </font>
    <font>
      <b/>
      <sz val="11"/>
      <color theme="0"/>
      <name val="Calibri"/>
      <family val="2"/>
      <scheme val="minor"/>
    </font>
    <font>
      <b/>
      <sz val="11"/>
      <color rgb="FFFFFFFF"/>
      <name val="Calibri"/>
      <family val="2"/>
    </font>
    <font>
      <i/>
      <sz val="11"/>
      <color rgb="FF7F7F7F"/>
      <name val="Calibri"/>
      <family val="2"/>
      <scheme val="minor"/>
    </font>
    <font>
      <i/>
      <sz val="11"/>
      <color rgb="FF808080"/>
      <name val="Calibri"/>
      <family val="2"/>
    </font>
    <font>
      <u/>
      <sz val="11"/>
      <color rgb="FF800080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008000"/>
      <name val="Calibri"/>
      <family val="2"/>
    </font>
    <font>
      <b/>
      <sz val="10"/>
      <color rgb="FF000000"/>
      <name val="Arial"/>
      <family val="2"/>
    </font>
    <font>
      <b/>
      <sz val="15"/>
      <color indexed="62"/>
      <name val="Calibri"/>
      <family val="2"/>
      <scheme val="minor"/>
    </font>
    <font>
      <b/>
      <sz val="15"/>
      <color rgb="FF003366"/>
      <name val="Calibri"/>
      <family val="2"/>
    </font>
    <font>
      <b/>
      <sz val="13"/>
      <color rgb="FF003366"/>
      <name val="Calibri"/>
      <family val="2"/>
    </font>
    <font>
      <b/>
      <sz val="11"/>
      <color rgb="FF003366"/>
      <name val="Calibri"/>
      <family val="2"/>
    </font>
    <font>
      <u/>
      <sz val="11"/>
      <color theme="10"/>
      <name val="Calibri"/>
      <family val="2"/>
    </font>
    <font>
      <u/>
      <sz val="10"/>
      <color theme="10"/>
      <name val="Arial"/>
      <family val="2"/>
    </font>
    <font>
      <u/>
      <sz val="9.35"/>
      <color theme="10"/>
      <name val="Calibri"/>
      <family val="2"/>
    </font>
    <font>
      <u/>
      <sz val="11"/>
      <color theme="10"/>
      <name val="Calibri"/>
      <family val="2"/>
      <scheme val="minor"/>
    </font>
    <font>
      <u/>
      <sz val="12"/>
      <color theme="10"/>
      <name val="Arial"/>
      <family val="2"/>
    </font>
    <font>
      <u/>
      <sz val="10"/>
      <color rgb="FF0000FF"/>
      <name val="MS Sans Serif"/>
      <family val="2"/>
    </font>
    <font>
      <u/>
      <sz val="11"/>
      <color rgb="FF0000FF"/>
      <name val="Calibri"/>
      <family val="2"/>
      <scheme val="minor"/>
    </font>
    <font>
      <u/>
      <sz val="10"/>
      <color rgb="FF0000FF"/>
      <name val="Arial"/>
      <family val="2"/>
    </font>
    <font>
      <u/>
      <sz val="10.199999999999999"/>
      <color theme="10"/>
      <name val="Arial"/>
      <family val="2"/>
    </font>
    <font>
      <sz val="11"/>
      <color indexed="54"/>
      <name val="Calibri"/>
      <family val="2"/>
      <scheme val="minor"/>
    </font>
    <font>
      <sz val="11"/>
      <color rgb="FF333399"/>
      <name val="Calibri"/>
      <family val="2"/>
    </font>
    <font>
      <sz val="11"/>
      <color rgb="FFFA7D00"/>
      <name val="Calibri"/>
      <family val="2"/>
      <scheme val="minor"/>
    </font>
    <font>
      <sz val="11"/>
      <color rgb="FFFF9900"/>
      <name val="Calibri"/>
      <family val="2"/>
    </font>
    <font>
      <sz val="11"/>
      <color rgb="FF9C6500"/>
      <name val="Calibri"/>
      <family val="2"/>
      <scheme val="minor"/>
    </font>
    <font>
      <sz val="11"/>
      <color rgb="FF993300"/>
      <name val="Calibri"/>
      <family val="2"/>
    </font>
    <font>
      <sz val="10"/>
      <color rgb="FF000000"/>
      <name val="Arial"/>
      <family val="2"/>
    </font>
    <font>
      <sz val="12"/>
      <color rgb="FF000000"/>
      <name val="Arial"/>
      <family val="2"/>
    </font>
    <font>
      <b/>
      <sz val="16"/>
      <color theme="1"/>
      <name val="Tahoma"/>
      <family val="2"/>
    </font>
    <font>
      <b/>
      <sz val="16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9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31"/>
        <bgColor indexed="22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45"/>
      </patternFill>
    </fill>
    <fill>
      <patternFill patternType="solid">
        <fgColor indexed="45"/>
        <bgColor indexed="29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42"/>
        <bgColor indexed="27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46"/>
        <bgColor indexed="24"/>
      </patternFill>
    </fill>
    <fill>
      <patternFill patternType="solid">
        <fgColor indexed="27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</patternFill>
    </fill>
    <fill>
      <patternFill patternType="solid">
        <fgColor indexed="44"/>
        <bgColor indexed="31"/>
      </patternFill>
    </fill>
    <fill>
      <patternFill patternType="solid">
        <fgColor indexed="29"/>
      </patternFill>
    </fill>
    <fill>
      <patternFill patternType="solid">
        <fgColor indexed="29"/>
        <bgColor indexed="45"/>
      </patternFill>
    </fill>
    <fill>
      <patternFill patternType="solid">
        <fgColor indexed="11"/>
      </patternFill>
    </fill>
    <fill>
      <patternFill patternType="solid">
        <fgColor indexed="11"/>
        <bgColor indexed="49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51"/>
        <bgColor indexed="13"/>
      </patternFill>
    </fill>
    <fill>
      <patternFill patternType="solid">
        <fgColor indexed="30"/>
      </patternFill>
    </fill>
    <fill>
      <patternFill patternType="solid">
        <fgColor indexed="62"/>
      </patternFill>
    </fill>
    <fill>
      <patternFill patternType="solid">
        <fgColor indexed="30"/>
        <bgColor indexed="21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20"/>
        <bgColor indexed="36"/>
      </patternFill>
    </fill>
    <fill>
      <patternFill patternType="solid">
        <fgColor indexed="55"/>
      </patternFill>
    </fill>
    <fill>
      <patternFill patternType="solid">
        <fgColor indexed="49"/>
        <bgColor indexed="40"/>
      </patternFill>
    </fill>
    <fill>
      <patternFill patternType="solid">
        <fgColor indexed="52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</patternFill>
    </fill>
    <fill>
      <patternFill patternType="solid">
        <fgColor indexed="10"/>
        <bgColor indexed="60"/>
      </patternFill>
    </fill>
    <fill>
      <patternFill patternType="solid">
        <fgColor indexed="57"/>
      </patternFill>
    </fill>
    <fill>
      <patternFill patternType="solid">
        <fgColor indexed="57"/>
        <bgColor indexed="21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23"/>
      </patternFill>
    </fill>
    <fill>
      <patternFill patternType="lightUp">
        <fgColor indexed="9"/>
        <bgColor indexed="27"/>
      </patternFill>
    </fill>
    <fill>
      <patternFill patternType="lightUp">
        <fgColor indexed="9"/>
        <bgColor indexed="26"/>
      </patternFill>
    </fill>
    <fill>
      <patternFill patternType="solid">
        <fgColor indexed="43"/>
        <bgColor indexed="26"/>
      </patternFill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theme="8" tint="0.79998168889431442"/>
        <bgColor indexed="65"/>
      </patternFill>
    </fill>
    <fill>
      <patternFill patternType="solid">
        <fgColor rgb="FFCCFFFF"/>
        <bgColor rgb="FFCCFFFF"/>
      </patternFill>
    </fill>
    <fill>
      <patternFill patternType="solid">
        <fgColor theme="9" tint="0.79998168889431442"/>
        <bgColor indexed="65"/>
      </patternFill>
    </fill>
    <fill>
      <patternFill patternType="solid">
        <fgColor rgb="FFFFCC99"/>
        <bgColor rgb="FFFFCC99"/>
      </patternFill>
    </fill>
    <fill>
      <patternFill patternType="solid">
        <fgColor rgb="FF99CCFF"/>
        <bgColor rgb="FF99CCFF"/>
      </patternFill>
    </fill>
    <fill>
      <patternFill patternType="solid">
        <fgColor theme="5" tint="0.59999389629810485"/>
        <bgColor indexed="65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theme="8" tint="0.59999389629810485"/>
        <bgColor indexed="65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theme="5" tint="0.39997558519241921"/>
        <bgColor indexed="65"/>
      </patternFill>
    </fill>
    <fill>
      <patternFill patternType="solid">
        <fgColor rgb="FF800080"/>
        <bgColor rgb="FF800080"/>
      </patternFill>
    </fill>
    <fill>
      <patternFill patternType="solid">
        <fgColor theme="8" tint="0.39997558519241921"/>
        <bgColor indexed="65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theme="4"/>
      </patternFill>
    </fill>
    <fill>
      <patternFill patternType="solid">
        <fgColor rgb="FF333399"/>
        <bgColor rgb="FF333399"/>
      </patternFill>
    </fill>
    <fill>
      <patternFill patternType="solid">
        <fgColor theme="5"/>
      </patternFill>
    </fill>
    <fill>
      <patternFill patternType="solid">
        <fgColor rgb="FFFF0000"/>
        <bgColor rgb="FFFF0000"/>
      </patternFill>
    </fill>
    <fill>
      <patternFill patternType="solid">
        <fgColor theme="6"/>
      </patternFill>
    </fill>
    <fill>
      <patternFill patternType="solid">
        <fgColor rgb="FF339966"/>
        <bgColor rgb="FF339966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6600"/>
        <bgColor rgb="FFFF6600"/>
      </patternFill>
    </fill>
    <fill>
      <patternFill patternType="solid">
        <fgColor rgb="FFFFC7CE"/>
      </patternFill>
    </fill>
    <fill>
      <patternFill patternType="solid">
        <fgColor rgb="FFC0C0C0"/>
        <bgColor rgb="FFC0C0C0"/>
      </patternFill>
    </fill>
    <fill>
      <patternFill patternType="solid">
        <fgColor rgb="FFFFFFCC"/>
        <bgColor rgb="FFFFFFCC"/>
      </patternFill>
    </fill>
    <fill>
      <patternFill patternType="solid">
        <fgColor rgb="FFA5A5A5"/>
      </patternFill>
    </fill>
    <fill>
      <patternFill patternType="solid">
        <fgColor rgb="FF969696"/>
        <bgColor rgb="FF969696"/>
      </patternFill>
    </fill>
    <fill>
      <patternFill patternType="solid">
        <fgColor rgb="FFC6EFCE"/>
      </patternFill>
    </fill>
    <fill>
      <patternFill patternType="solid">
        <fgColor rgb="FFFFFF99"/>
        <bgColor rgb="FFFFFF99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FF"/>
      </left>
      <right style="thin">
        <color rgb="FF0000FF"/>
      </right>
      <top style="thin">
        <color rgb="FF0000FF"/>
      </top>
      <bottom style="thin">
        <color rgb="FF0000F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rgb="FF333399"/>
      </bottom>
      <diagonal/>
    </border>
    <border>
      <left/>
      <right/>
      <top/>
      <bottom style="thick">
        <color rgb="FFC0C0C0"/>
      </bottom>
      <diagonal/>
    </border>
    <border>
      <left/>
      <right/>
      <top/>
      <bottom style="medium">
        <color rgb="FF0066CC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double">
        <color rgb="FFFF99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8820">
    <xf numFmtId="0" fontId="0" fillId="0" borderId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60" fillId="4" borderId="0" applyNumberFormat="0" applyBorder="0" applyAlignment="0" applyProtection="0"/>
    <xf numFmtId="0" fontId="1" fillId="3" borderId="0" applyNumberFormat="0" applyBorder="0" applyAlignment="0" applyProtection="0"/>
    <xf numFmtId="0" fontId="1" fillId="2" borderId="0" applyNumberFormat="0" applyBorder="0" applyAlignment="0" applyProtection="0"/>
    <xf numFmtId="0" fontId="60" fillId="4" borderId="0" applyNumberFormat="0" applyBorder="0" applyAlignment="0" applyProtection="0"/>
    <xf numFmtId="0" fontId="1" fillId="2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1" fillId="2" borderId="0" applyNumberFormat="0" applyBorder="0" applyAlignment="0" applyProtection="0"/>
    <xf numFmtId="0" fontId="27" fillId="2" borderId="0" applyNumberFormat="0" applyBorder="0" applyAlignment="0" applyProtection="0"/>
    <xf numFmtId="0" fontId="61" fillId="50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61" fillId="50" borderId="0" applyNumberFormat="0" applyBorder="0" applyAlignment="0" applyProtection="0"/>
    <xf numFmtId="0" fontId="1" fillId="2" borderId="0" applyNumberFormat="0" applyBorder="0" applyAlignment="0" applyProtection="0"/>
    <xf numFmtId="0" fontId="61" fillId="50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61" fillId="50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62" fillId="5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62" fillId="5" borderId="0" applyNumberFormat="0" applyBorder="0" applyAlignment="0" applyProtection="0"/>
    <xf numFmtId="0" fontId="62" fillId="5" borderId="0" applyNumberFormat="0" applyBorder="0" applyAlignment="0" applyProtection="0"/>
    <xf numFmtId="0" fontId="62" fillId="5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27" fillId="2" borderId="0" applyNumberFormat="0" applyBorder="0" applyAlignment="0" applyProtection="0"/>
    <xf numFmtId="0" fontId="27" fillId="2" borderId="0" applyNumberFormat="0" applyBorder="0" applyAlignment="0" applyProtection="0"/>
    <xf numFmtId="0" fontId="1" fillId="2" borderId="0" applyNumberFormat="0" applyBorder="0" applyAlignment="0" applyProtection="0"/>
    <xf numFmtId="0" fontId="27" fillId="2" borderId="0" applyNumberFormat="0" applyBorder="0" applyAlignment="0" applyProtection="0"/>
    <xf numFmtId="0" fontId="1" fillId="2" borderId="0" applyNumberFormat="0" applyBorder="0" applyAlignment="0" applyProtection="0"/>
    <xf numFmtId="0" fontId="60" fillId="5" borderId="0" applyNumberFormat="0" applyBorder="0" applyAlignment="0" applyProtection="0"/>
    <xf numFmtId="0" fontId="1" fillId="3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62" fillId="5" borderId="0" applyNumberFormat="0" applyBorder="0" applyAlignment="0" applyProtection="0"/>
    <xf numFmtId="0" fontId="1" fillId="2" borderId="0" applyNumberFormat="0" applyBorder="0" applyAlignment="0" applyProtection="0"/>
    <xf numFmtId="0" fontId="62" fillId="5" borderId="0" applyNumberFormat="0" applyBorder="0" applyAlignment="0" applyProtection="0"/>
    <xf numFmtId="0" fontId="62" fillId="5" borderId="0" applyNumberFormat="0" applyBorder="0" applyAlignment="0" applyProtection="0"/>
    <xf numFmtId="0" fontId="62" fillId="5" borderId="0" applyNumberFormat="0" applyBorder="0" applyAlignment="0" applyProtection="0"/>
    <xf numFmtId="0" fontId="1" fillId="3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27" fillId="2" borderId="0" applyNumberFormat="0" applyBorder="0" applyAlignment="0" applyProtection="0"/>
    <xf numFmtId="0" fontId="1" fillId="3" borderId="0" applyNumberFormat="0" applyBorder="0" applyAlignment="0" applyProtection="0"/>
    <xf numFmtId="0" fontId="27" fillId="2" borderId="0" applyNumberFormat="0" applyBorder="0" applyAlignment="0" applyProtection="0"/>
    <xf numFmtId="0" fontId="1" fillId="2" borderId="0" applyNumberFormat="0" applyBorder="0" applyAlignment="0" applyProtection="0"/>
    <xf numFmtId="0" fontId="27" fillId="2" borderId="0" applyNumberFormat="0" applyBorder="0" applyAlignment="0" applyProtection="0"/>
    <xf numFmtId="0" fontId="27" fillId="2" borderId="0" applyNumberFormat="0" applyBorder="0" applyAlignment="0" applyProtection="0"/>
    <xf numFmtId="0" fontId="27" fillId="2" borderId="0" applyNumberFormat="0" applyBorder="0" applyAlignment="0" applyProtection="0"/>
    <xf numFmtId="0" fontId="62" fillId="5" borderId="0" applyNumberFormat="0" applyBorder="0" applyAlignment="0" applyProtection="0"/>
    <xf numFmtId="0" fontId="27" fillId="2" borderId="0" applyNumberFormat="0" applyBorder="0" applyAlignment="0" applyProtection="0"/>
    <xf numFmtId="0" fontId="62" fillId="5" borderId="0" applyNumberFormat="0" applyBorder="0" applyAlignment="0" applyProtection="0"/>
    <xf numFmtId="0" fontId="62" fillId="5" borderId="0" applyNumberFormat="0" applyBorder="0" applyAlignment="0" applyProtection="0"/>
    <xf numFmtId="0" fontId="62" fillId="5" borderId="0" applyNumberFormat="0" applyBorder="0" applyAlignment="0" applyProtection="0"/>
    <xf numFmtId="0" fontId="27" fillId="2" borderId="0" applyNumberFormat="0" applyBorder="0" applyAlignment="0" applyProtection="0"/>
    <xf numFmtId="0" fontId="27" fillId="2" borderId="0" applyNumberFormat="0" applyBorder="0" applyAlignment="0" applyProtection="0"/>
    <xf numFmtId="0" fontId="27" fillId="2" borderId="0" applyNumberFormat="0" applyBorder="0" applyAlignment="0" applyProtection="0"/>
    <xf numFmtId="0" fontId="27" fillId="2" borderId="0" applyNumberFormat="0" applyBorder="0" applyAlignment="0" applyProtection="0"/>
    <xf numFmtId="0" fontId="27" fillId="2" borderId="0" applyNumberFormat="0" applyBorder="0" applyAlignment="0" applyProtection="0"/>
    <xf numFmtId="0" fontId="27" fillId="2" borderId="0" applyNumberFormat="0" applyBorder="0" applyAlignment="0" applyProtection="0"/>
    <xf numFmtId="0" fontId="27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60" fillId="4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60" fillId="4" borderId="0" applyNumberFormat="0" applyBorder="0" applyAlignment="0" applyProtection="0"/>
    <xf numFmtId="0" fontId="1" fillId="3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60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60" fillId="8" borderId="0" applyNumberFormat="0" applyBorder="0" applyAlignment="0" applyProtection="0"/>
    <xf numFmtId="0" fontId="1" fillId="6" borderId="0" applyNumberFormat="0" applyBorder="0" applyAlignment="0" applyProtection="0"/>
    <xf numFmtId="0" fontId="60" fillId="8" borderId="0" applyNumberFormat="0" applyBorder="0" applyAlignment="0" applyProtection="0"/>
    <xf numFmtId="0" fontId="60" fillId="8" borderId="0" applyNumberFormat="0" applyBorder="0" applyAlignment="0" applyProtection="0"/>
    <xf numFmtId="0" fontId="60" fillId="8" borderId="0" applyNumberFormat="0" applyBorder="0" applyAlignment="0" applyProtection="0"/>
    <xf numFmtId="0" fontId="60" fillId="8" borderId="0" applyNumberFormat="0" applyBorder="0" applyAlignment="0" applyProtection="0"/>
    <xf numFmtId="0" fontId="60" fillId="8" borderId="0" applyNumberFormat="0" applyBorder="0" applyAlignment="0" applyProtection="0"/>
    <xf numFmtId="0" fontId="60" fillId="8" borderId="0" applyNumberFormat="0" applyBorder="0" applyAlignment="0" applyProtection="0"/>
    <xf numFmtId="0" fontId="60" fillId="8" borderId="0" applyNumberFormat="0" applyBorder="0" applyAlignment="0" applyProtection="0"/>
    <xf numFmtId="0" fontId="60" fillId="8" borderId="0" applyNumberFormat="0" applyBorder="0" applyAlignment="0" applyProtection="0"/>
    <xf numFmtId="0" fontId="60" fillId="8" borderId="0" applyNumberFormat="0" applyBorder="0" applyAlignment="0" applyProtection="0"/>
    <xf numFmtId="0" fontId="60" fillId="8" borderId="0" applyNumberFormat="0" applyBorder="0" applyAlignment="0" applyProtection="0"/>
    <xf numFmtId="0" fontId="60" fillId="8" borderId="0" applyNumberFormat="0" applyBorder="0" applyAlignment="0" applyProtection="0"/>
    <xf numFmtId="0" fontId="60" fillId="8" borderId="0" applyNumberFormat="0" applyBorder="0" applyAlignment="0" applyProtection="0"/>
    <xf numFmtId="0" fontId="60" fillId="8" borderId="0" applyNumberFormat="0" applyBorder="0" applyAlignment="0" applyProtection="0"/>
    <xf numFmtId="0" fontId="60" fillId="8" borderId="0" applyNumberFormat="0" applyBorder="0" applyAlignment="0" applyProtection="0"/>
    <xf numFmtId="0" fontId="60" fillId="8" borderId="0" applyNumberFormat="0" applyBorder="0" applyAlignment="0" applyProtection="0"/>
    <xf numFmtId="0" fontId="60" fillId="8" borderId="0" applyNumberFormat="0" applyBorder="0" applyAlignment="0" applyProtection="0"/>
    <xf numFmtId="0" fontId="60" fillId="8" borderId="0" applyNumberFormat="0" applyBorder="0" applyAlignment="0" applyProtection="0"/>
    <xf numFmtId="0" fontId="1" fillId="6" borderId="0" applyNumberFormat="0" applyBorder="0" applyAlignment="0" applyProtection="0"/>
    <xf numFmtId="0" fontId="27" fillId="6" borderId="0" applyNumberFormat="0" applyBorder="0" applyAlignment="0" applyProtection="0"/>
    <xf numFmtId="0" fontId="61" fillId="51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61" fillId="51" borderId="0" applyNumberFormat="0" applyBorder="0" applyAlignment="0" applyProtection="0"/>
    <xf numFmtId="0" fontId="1" fillId="6" borderId="0" applyNumberFormat="0" applyBorder="0" applyAlignment="0" applyProtection="0"/>
    <xf numFmtId="0" fontId="61" fillId="51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61" fillId="51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62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62" fillId="8" borderId="0" applyNumberFormat="0" applyBorder="0" applyAlignment="0" applyProtection="0"/>
    <xf numFmtId="0" fontId="62" fillId="8" borderId="0" applyNumberFormat="0" applyBorder="0" applyAlignment="0" applyProtection="0"/>
    <xf numFmtId="0" fontId="62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1" fillId="6" borderId="0" applyNumberFormat="0" applyBorder="0" applyAlignment="0" applyProtection="0"/>
    <xf numFmtId="0" fontId="27" fillId="6" borderId="0" applyNumberFormat="0" applyBorder="0" applyAlignment="0" applyProtection="0"/>
    <xf numFmtId="0" fontId="1" fillId="6" borderId="0" applyNumberFormat="0" applyBorder="0" applyAlignment="0" applyProtection="0"/>
    <xf numFmtId="0" fontId="60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62" fillId="8" borderId="0" applyNumberFormat="0" applyBorder="0" applyAlignment="0" applyProtection="0"/>
    <xf numFmtId="0" fontId="1" fillId="6" borderId="0" applyNumberFormat="0" applyBorder="0" applyAlignment="0" applyProtection="0"/>
    <xf numFmtId="0" fontId="62" fillId="8" borderId="0" applyNumberFormat="0" applyBorder="0" applyAlignment="0" applyProtection="0"/>
    <xf numFmtId="0" fontId="62" fillId="8" borderId="0" applyNumberFormat="0" applyBorder="0" applyAlignment="0" applyProtection="0"/>
    <xf numFmtId="0" fontId="62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27" fillId="6" borderId="0" applyNumberFormat="0" applyBorder="0" applyAlignment="0" applyProtection="0"/>
    <xf numFmtId="0" fontId="1" fillId="7" borderId="0" applyNumberFormat="0" applyBorder="0" applyAlignment="0" applyProtection="0"/>
    <xf numFmtId="0" fontId="27" fillId="6" borderId="0" applyNumberFormat="0" applyBorder="0" applyAlignment="0" applyProtection="0"/>
    <xf numFmtId="0" fontId="1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62" fillId="8" borderId="0" applyNumberFormat="0" applyBorder="0" applyAlignment="0" applyProtection="0"/>
    <xf numFmtId="0" fontId="27" fillId="6" borderId="0" applyNumberFormat="0" applyBorder="0" applyAlignment="0" applyProtection="0"/>
    <xf numFmtId="0" fontId="62" fillId="8" borderId="0" applyNumberFormat="0" applyBorder="0" applyAlignment="0" applyProtection="0"/>
    <xf numFmtId="0" fontId="62" fillId="8" borderId="0" applyNumberFormat="0" applyBorder="0" applyAlignment="0" applyProtection="0"/>
    <xf numFmtId="0" fontId="62" fillId="8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60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60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60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9" borderId="0" applyNumberFormat="0" applyBorder="0" applyAlignment="0" applyProtection="0"/>
    <xf numFmtId="0" fontId="60" fillId="11" borderId="0" applyNumberFormat="0" applyBorder="0" applyAlignment="0" applyProtection="0"/>
    <xf numFmtId="0" fontId="1" fillId="9" borderId="0" applyNumberFormat="0" applyBorder="0" applyAlignment="0" applyProtection="0"/>
    <xf numFmtId="0" fontId="60" fillId="11" borderId="0" applyNumberFormat="0" applyBorder="0" applyAlignment="0" applyProtection="0"/>
    <xf numFmtId="0" fontId="60" fillId="11" borderId="0" applyNumberFormat="0" applyBorder="0" applyAlignment="0" applyProtection="0"/>
    <xf numFmtId="0" fontId="60" fillId="11" borderId="0" applyNumberFormat="0" applyBorder="0" applyAlignment="0" applyProtection="0"/>
    <xf numFmtId="0" fontId="60" fillId="11" borderId="0" applyNumberFormat="0" applyBorder="0" applyAlignment="0" applyProtection="0"/>
    <xf numFmtId="0" fontId="60" fillId="11" borderId="0" applyNumberFormat="0" applyBorder="0" applyAlignment="0" applyProtection="0"/>
    <xf numFmtId="0" fontId="60" fillId="11" borderId="0" applyNumberFormat="0" applyBorder="0" applyAlignment="0" applyProtection="0"/>
    <xf numFmtId="0" fontId="60" fillId="11" borderId="0" applyNumberFormat="0" applyBorder="0" applyAlignment="0" applyProtection="0"/>
    <xf numFmtId="0" fontId="60" fillId="11" borderId="0" applyNumberFormat="0" applyBorder="0" applyAlignment="0" applyProtection="0"/>
    <xf numFmtId="0" fontId="60" fillId="11" borderId="0" applyNumberFormat="0" applyBorder="0" applyAlignment="0" applyProtection="0"/>
    <xf numFmtId="0" fontId="60" fillId="11" borderId="0" applyNumberFormat="0" applyBorder="0" applyAlignment="0" applyProtection="0"/>
    <xf numFmtId="0" fontId="60" fillId="11" borderId="0" applyNumberFormat="0" applyBorder="0" applyAlignment="0" applyProtection="0"/>
    <xf numFmtId="0" fontId="60" fillId="11" borderId="0" applyNumberFormat="0" applyBorder="0" applyAlignment="0" applyProtection="0"/>
    <xf numFmtId="0" fontId="60" fillId="11" borderId="0" applyNumberFormat="0" applyBorder="0" applyAlignment="0" applyProtection="0"/>
    <xf numFmtId="0" fontId="60" fillId="11" borderId="0" applyNumberFormat="0" applyBorder="0" applyAlignment="0" applyProtection="0"/>
    <xf numFmtId="0" fontId="60" fillId="11" borderId="0" applyNumberFormat="0" applyBorder="0" applyAlignment="0" applyProtection="0"/>
    <xf numFmtId="0" fontId="60" fillId="11" borderId="0" applyNumberFormat="0" applyBorder="0" applyAlignment="0" applyProtection="0"/>
    <xf numFmtId="0" fontId="60" fillId="11" borderId="0" applyNumberFormat="0" applyBorder="0" applyAlignment="0" applyProtection="0"/>
    <xf numFmtId="0" fontId="1" fillId="9" borderId="0" applyNumberFormat="0" applyBorder="0" applyAlignment="0" applyProtection="0"/>
    <xf numFmtId="0" fontId="27" fillId="9" borderId="0" applyNumberFormat="0" applyBorder="0" applyAlignment="0" applyProtection="0"/>
    <xf numFmtId="0" fontId="61" fillId="52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61" fillId="52" borderId="0" applyNumberFormat="0" applyBorder="0" applyAlignment="0" applyProtection="0"/>
    <xf numFmtId="0" fontId="1" fillId="9" borderId="0" applyNumberFormat="0" applyBorder="0" applyAlignment="0" applyProtection="0"/>
    <xf numFmtId="0" fontId="61" fillId="52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61" fillId="52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62" fillId="11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62" fillId="11" borderId="0" applyNumberFormat="0" applyBorder="0" applyAlignment="0" applyProtection="0"/>
    <xf numFmtId="0" fontId="62" fillId="11" borderId="0" applyNumberFormat="0" applyBorder="0" applyAlignment="0" applyProtection="0"/>
    <xf numFmtId="0" fontId="62" fillId="11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1" fillId="9" borderId="0" applyNumberFormat="0" applyBorder="0" applyAlignment="0" applyProtection="0"/>
    <xf numFmtId="0" fontId="27" fillId="9" borderId="0" applyNumberFormat="0" applyBorder="0" applyAlignment="0" applyProtection="0"/>
    <xf numFmtId="0" fontId="1" fillId="9" borderId="0" applyNumberFormat="0" applyBorder="0" applyAlignment="0" applyProtection="0"/>
    <xf numFmtId="0" fontId="60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62" fillId="11" borderId="0" applyNumberFormat="0" applyBorder="0" applyAlignment="0" applyProtection="0"/>
    <xf numFmtId="0" fontId="1" fillId="9" borderId="0" applyNumberFormat="0" applyBorder="0" applyAlignment="0" applyProtection="0"/>
    <xf numFmtId="0" fontId="62" fillId="11" borderId="0" applyNumberFormat="0" applyBorder="0" applyAlignment="0" applyProtection="0"/>
    <xf numFmtId="0" fontId="62" fillId="11" borderId="0" applyNumberFormat="0" applyBorder="0" applyAlignment="0" applyProtection="0"/>
    <xf numFmtId="0" fontId="62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7" fillId="9" borderId="0" applyNumberFormat="0" applyBorder="0" applyAlignment="0" applyProtection="0"/>
    <xf numFmtId="0" fontId="1" fillId="10" borderId="0" applyNumberFormat="0" applyBorder="0" applyAlignment="0" applyProtection="0"/>
    <xf numFmtId="0" fontId="27" fillId="9" borderId="0" applyNumberFormat="0" applyBorder="0" applyAlignment="0" applyProtection="0"/>
    <xf numFmtId="0" fontId="1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62" fillId="11" borderId="0" applyNumberFormat="0" applyBorder="0" applyAlignment="0" applyProtection="0"/>
    <xf numFmtId="0" fontId="27" fillId="9" borderId="0" applyNumberFormat="0" applyBorder="0" applyAlignment="0" applyProtection="0"/>
    <xf numFmtId="0" fontId="62" fillId="11" borderId="0" applyNumberFormat="0" applyBorder="0" applyAlignment="0" applyProtection="0"/>
    <xf numFmtId="0" fontId="62" fillId="11" borderId="0" applyNumberFormat="0" applyBorder="0" applyAlignment="0" applyProtection="0"/>
    <xf numFmtId="0" fontId="62" fillId="11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60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60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60" fillId="4" borderId="0" applyNumberFormat="0" applyBorder="0" applyAlignment="0" applyProtection="0"/>
    <xf numFmtId="0" fontId="1" fillId="13" borderId="0" applyNumberFormat="0" applyBorder="0" applyAlignment="0" applyProtection="0"/>
    <xf numFmtId="0" fontId="1" fillId="12" borderId="0" applyNumberFormat="0" applyBorder="0" applyAlignment="0" applyProtection="0"/>
    <xf numFmtId="0" fontId="60" fillId="4" borderId="0" applyNumberFormat="0" applyBorder="0" applyAlignment="0" applyProtection="0"/>
    <xf numFmtId="0" fontId="1" fillId="12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1" fillId="12" borderId="0" applyNumberFormat="0" applyBorder="0" applyAlignment="0" applyProtection="0"/>
    <xf numFmtId="0" fontId="27" fillId="12" borderId="0" applyNumberFormat="0" applyBorder="0" applyAlignment="0" applyProtection="0"/>
    <xf numFmtId="0" fontId="61" fillId="53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61" fillId="53" borderId="0" applyNumberFormat="0" applyBorder="0" applyAlignment="0" applyProtection="0"/>
    <xf numFmtId="0" fontId="1" fillId="12" borderId="0" applyNumberFormat="0" applyBorder="0" applyAlignment="0" applyProtection="0"/>
    <xf numFmtId="0" fontId="61" fillId="53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61" fillId="53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62" fillId="5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62" fillId="5" borderId="0" applyNumberFormat="0" applyBorder="0" applyAlignment="0" applyProtection="0"/>
    <xf numFmtId="0" fontId="62" fillId="5" borderId="0" applyNumberFormat="0" applyBorder="0" applyAlignment="0" applyProtection="0"/>
    <xf numFmtId="0" fontId="62" fillId="5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1" fillId="12" borderId="0" applyNumberFormat="0" applyBorder="0" applyAlignment="0" applyProtection="0"/>
    <xf numFmtId="0" fontId="27" fillId="12" borderId="0" applyNumberFormat="0" applyBorder="0" applyAlignment="0" applyProtection="0"/>
    <xf numFmtId="0" fontId="1" fillId="12" borderId="0" applyNumberFormat="0" applyBorder="0" applyAlignment="0" applyProtection="0"/>
    <xf numFmtId="0" fontId="60" fillId="5" borderId="0" applyNumberFormat="0" applyBorder="0" applyAlignment="0" applyProtection="0"/>
    <xf numFmtId="0" fontId="1" fillId="13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62" fillId="5" borderId="0" applyNumberFormat="0" applyBorder="0" applyAlignment="0" applyProtection="0"/>
    <xf numFmtId="0" fontId="1" fillId="12" borderId="0" applyNumberFormat="0" applyBorder="0" applyAlignment="0" applyProtection="0"/>
    <xf numFmtId="0" fontId="62" fillId="5" borderId="0" applyNumberFormat="0" applyBorder="0" applyAlignment="0" applyProtection="0"/>
    <xf numFmtId="0" fontId="62" fillId="5" borderId="0" applyNumberFormat="0" applyBorder="0" applyAlignment="0" applyProtection="0"/>
    <xf numFmtId="0" fontId="62" fillId="5" borderId="0" applyNumberFormat="0" applyBorder="0" applyAlignment="0" applyProtection="0"/>
    <xf numFmtId="0" fontId="1" fillId="13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27" fillId="12" borderId="0" applyNumberFormat="0" applyBorder="0" applyAlignment="0" applyProtection="0"/>
    <xf numFmtId="0" fontId="1" fillId="13" borderId="0" applyNumberFormat="0" applyBorder="0" applyAlignment="0" applyProtection="0"/>
    <xf numFmtId="0" fontId="27" fillId="12" borderId="0" applyNumberFormat="0" applyBorder="0" applyAlignment="0" applyProtection="0"/>
    <xf numFmtId="0" fontId="1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62" fillId="5" borderId="0" applyNumberFormat="0" applyBorder="0" applyAlignment="0" applyProtection="0"/>
    <xf numFmtId="0" fontId="27" fillId="12" borderId="0" applyNumberFormat="0" applyBorder="0" applyAlignment="0" applyProtection="0"/>
    <xf numFmtId="0" fontId="62" fillId="5" borderId="0" applyNumberFormat="0" applyBorder="0" applyAlignment="0" applyProtection="0"/>
    <xf numFmtId="0" fontId="62" fillId="5" borderId="0" applyNumberFormat="0" applyBorder="0" applyAlignment="0" applyProtection="0"/>
    <xf numFmtId="0" fontId="62" fillId="5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60" fillId="4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60" fillId="4" borderId="0" applyNumberFormat="0" applyBorder="0" applyAlignment="0" applyProtection="0"/>
    <xf numFmtId="0" fontId="1" fillId="13" borderId="0" applyNumberFormat="0" applyBorder="0" applyAlignment="0" applyProtection="0"/>
    <xf numFmtId="0" fontId="60" fillId="54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7" fillId="14" borderId="0" applyNumberFormat="0" applyBorder="0" applyAlignment="0" applyProtection="0"/>
    <xf numFmtId="0" fontId="61" fillId="55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61" fillId="55" borderId="0" applyNumberFormat="0" applyBorder="0" applyAlignment="0" applyProtection="0"/>
    <xf numFmtId="0" fontId="1" fillId="14" borderId="0" applyNumberFormat="0" applyBorder="0" applyAlignment="0" applyProtection="0"/>
    <xf numFmtId="0" fontId="61" fillId="55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61" fillId="55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62" fillId="5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62" fillId="5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1" fillId="14" borderId="0" applyNumberFormat="0" applyBorder="0" applyAlignment="0" applyProtection="0"/>
    <xf numFmtId="0" fontId="27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62" fillId="54" borderId="0" applyNumberFormat="0" applyBorder="0" applyAlignment="0" applyProtection="0"/>
    <xf numFmtId="0" fontId="1" fillId="14" borderId="0" applyNumberFormat="0" applyBorder="0" applyAlignment="0" applyProtection="0"/>
    <xf numFmtId="0" fontId="62" fillId="54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27" fillId="14" borderId="0" applyNumberFormat="0" applyBorder="0" applyAlignment="0" applyProtection="0"/>
    <xf numFmtId="0" fontId="1" fillId="15" borderId="0" applyNumberFormat="0" applyBorder="0" applyAlignment="0" applyProtection="0"/>
    <xf numFmtId="0" fontId="27" fillId="14" borderId="0" applyNumberFormat="0" applyBorder="0" applyAlignment="0" applyProtection="0"/>
    <xf numFmtId="0" fontId="1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62" fillId="54" borderId="0" applyNumberFormat="0" applyBorder="0" applyAlignment="0" applyProtection="0"/>
    <xf numFmtId="0" fontId="27" fillId="14" borderId="0" applyNumberFormat="0" applyBorder="0" applyAlignment="0" applyProtection="0"/>
    <xf numFmtId="0" fontId="62" fillId="5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60" fillId="5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27" fillId="8" borderId="0" applyNumberFormat="0" applyBorder="0" applyAlignment="0" applyProtection="0"/>
    <xf numFmtId="0" fontId="61" fillId="57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61" fillId="57" borderId="0" applyNumberFormat="0" applyBorder="0" applyAlignment="0" applyProtection="0"/>
    <xf numFmtId="0" fontId="1" fillId="8" borderId="0" applyNumberFormat="0" applyBorder="0" applyAlignment="0" applyProtection="0"/>
    <xf numFmtId="0" fontId="61" fillId="57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61" fillId="57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62" fillId="5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62" fillId="5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1" fillId="8" borderId="0" applyNumberFormat="0" applyBorder="0" applyAlignment="0" applyProtection="0"/>
    <xf numFmtId="0" fontId="27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62" fillId="56" borderId="0" applyNumberFormat="0" applyBorder="0" applyAlignment="0" applyProtection="0"/>
    <xf numFmtId="0" fontId="1" fillId="8" borderId="0" applyNumberFormat="0" applyBorder="0" applyAlignment="0" applyProtection="0"/>
    <xf numFmtId="0" fontId="62" fillId="56" borderId="0" applyNumberFormat="0" applyBorder="0" applyAlignment="0" applyProtection="0"/>
    <xf numFmtId="0" fontId="1" fillId="16" borderId="0" applyNumberFormat="0" applyBorder="0" applyAlignment="0" applyProtection="0"/>
    <xf numFmtId="0" fontId="1" fillId="8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27" fillId="8" borderId="0" applyNumberFormat="0" applyBorder="0" applyAlignment="0" applyProtection="0"/>
    <xf numFmtId="0" fontId="1" fillId="16" borderId="0" applyNumberFormat="0" applyBorder="0" applyAlignment="0" applyProtection="0"/>
    <xf numFmtId="0" fontId="27" fillId="8" borderId="0" applyNumberFormat="0" applyBorder="0" applyAlignment="0" applyProtection="0"/>
    <xf numFmtId="0" fontId="1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62" fillId="56" borderId="0" applyNumberFormat="0" applyBorder="0" applyAlignment="0" applyProtection="0"/>
    <xf numFmtId="0" fontId="27" fillId="8" borderId="0" applyNumberFormat="0" applyBorder="0" applyAlignment="0" applyProtection="0"/>
    <xf numFmtId="0" fontId="62" fillId="56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60" fillId="4" borderId="0" applyNumberFormat="0" applyBorder="0" applyAlignment="0" applyProtection="0"/>
    <xf numFmtId="0" fontId="1" fillId="18" borderId="0" applyNumberFormat="0" applyBorder="0" applyAlignment="0" applyProtection="0"/>
    <xf numFmtId="0" fontId="1" fillId="17" borderId="0" applyNumberFormat="0" applyBorder="0" applyAlignment="0" applyProtection="0"/>
    <xf numFmtId="0" fontId="60" fillId="4" borderId="0" applyNumberFormat="0" applyBorder="0" applyAlignment="0" applyProtection="0"/>
    <xf numFmtId="0" fontId="1" fillId="17" borderId="0" applyNumberFormat="0" applyBorder="0" applyAlignment="0" applyProtection="0"/>
    <xf numFmtId="0" fontId="60" fillId="4" borderId="0" applyNumberFormat="0" applyBorder="0" applyAlignment="0" applyProtection="0"/>
    <xf numFmtId="0" fontId="60" fillId="4" borderId="0" applyNumberFormat="0" applyBorder="0" applyAlignment="0" applyProtection="0"/>
    <xf numFmtId="0" fontId="60" fillId="4" borderId="0" applyNumberFormat="0" applyBorder="0" applyAlignment="0" applyProtection="0"/>
    <xf numFmtId="0" fontId="60" fillId="4" borderId="0" applyNumberFormat="0" applyBorder="0" applyAlignment="0" applyProtection="0"/>
    <xf numFmtId="0" fontId="60" fillId="4" borderId="0" applyNumberFormat="0" applyBorder="0" applyAlignment="0" applyProtection="0"/>
    <xf numFmtId="0" fontId="60" fillId="4" borderId="0" applyNumberFormat="0" applyBorder="0" applyAlignment="0" applyProtection="0"/>
    <xf numFmtId="0" fontId="60" fillId="4" borderId="0" applyNumberFormat="0" applyBorder="0" applyAlignment="0" applyProtection="0"/>
    <xf numFmtId="0" fontId="60" fillId="4" borderId="0" applyNumberFormat="0" applyBorder="0" applyAlignment="0" applyProtection="0"/>
    <xf numFmtId="0" fontId="60" fillId="4" borderId="0" applyNumberFormat="0" applyBorder="0" applyAlignment="0" applyProtection="0"/>
    <xf numFmtId="0" fontId="60" fillId="4" borderId="0" applyNumberFormat="0" applyBorder="0" applyAlignment="0" applyProtection="0"/>
    <xf numFmtId="0" fontId="60" fillId="4" borderId="0" applyNumberFormat="0" applyBorder="0" applyAlignment="0" applyProtection="0"/>
    <xf numFmtId="0" fontId="60" fillId="4" borderId="0" applyNumberFormat="0" applyBorder="0" applyAlignment="0" applyProtection="0"/>
    <xf numFmtId="0" fontId="60" fillId="4" borderId="0" applyNumberFormat="0" applyBorder="0" applyAlignment="0" applyProtection="0"/>
    <xf numFmtId="0" fontId="60" fillId="4" borderId="0" applyNumberFormat="0" applyBorder="0" applyAlignment="0" applyProtection="0"/>
    <xf numFmtId="0" fontId="60" fillId="4" borderId="0" applyNumberFormat="0" applyBorder="0" applyAlignment="0" applyProtection="0"/>
    <xf numFmtId="0" fontId="60" fillId="4" borderId="0" applyNumberFormat="0" applyBorder="0" applyAlignment="0" applyProtection="0"/>
    <xf numFmtId="0" fontId="60" fillId="4" borderId="0" applyNumberFormat="0" applyBorder="0" applyAlignment="0" applyProtection="0"/>
    <xf numFmtId="0" fontId="1" fillId="17" borderId="0" applyNumberFormat="0" applyBorder="0" applyAlignment="0" applyProtection="0"/>
    <xf numFmtId="0" fontId="27" fillId="17" borderId="0" applyNumberFormat="0" applyBorder="0" applyAlignment="0" applyProtection="0"/>
    <xf numFmtId="0" fontId="61" fillId="58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61" fillId="58" borderId="0" applyNumberFormat="0" applyBorder="0" applyAlignment="0" applyProtection="0"/>
    <xf numFmtId="0" fontId="1" fillId="17" borderId="0" applyNumberFormat="0" applyBorder="0" applyAlignment="0" applyProtection="0"/>
    <xf numFmtId="0" fontId="61" fillId="58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61" fillId="58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62" fillId="4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62" fillId="4" borderId="0" applyNumberFormat="0" applyBorder="0" applyAlignment="0" applyProtection="0"/>
    <xf numFmtId="0" fontId="62" fillId="4" borderId="0" applyNumberFormat="0" applyBorder="0" applyAlignment="0" applyProtection="0"/>
    <xf numFmtId="0" fontId="62" fillId="4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27" fillId="17" borderId="0" applyNumberFormat="0" applyBorder="0" applyAlignment="0" applyProtection="0"/>
    <xf numFmtId="0" fontId="27" fillId="17" borderId="0" applyNumberFormat="0" applyBorder="0" applyAlignment="0" applyProtection="0"/>
    <xf numFmtId="0" fontId="1" fillId="17" borderId="0" applyNumberFormat="0" applyBorder="0" applyAlignment="0" applyProtection="0"/>
    <xf numFmtId="0" fontId="27" fillId="17" borderId="0" applyNumberFormat="0" applyBorder="0" applyAlignment="0" applyProtection="0"/>
    <xf numFmtId="0" fontId="1" fillId="17" borderId="0" applyNumberFormat="0" applyBorder="0" applyAlignment="0" applyProtection="0"/>
    <xf numFmtId="0" fontId="60" fillId="4" borderId="0" applyNumberFormat="0" applyBorder="0" applyAlignment="0" applyProtection="0"/>
    <xf numFmtId="0" fontId="1" fillId="18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62" fillId="4" borderId="0" applyNumberFormat="0" applyBorder="0" applyAlignment="0" applyProtection="0"/>
    <xf numFmtId="0" fontId="1" fillId="17" borderId="0" applyNumberFormat="0" applyBorder="0" applyAlignment="0" applyProtection="0"/>
    <xf numFmtId="0" fontId="62" fillId="4" borderId="0" applyNumberFormat="0" applyBorder="0" applyAlignment="0" applyProtection="0"/>
    <xf numFmtId="0" fontId="62" fillId="4" borderId="0" applyNumberFormat="0" applyBorder="0" applyAlignment="0" applyProtection="0"/>
    <xf numFmtId="0" fontId="62" fillId="4" borderId="0" applyNumberFormat="0" applyBorder="0" applyAlignment="0" applyProtection="0"/>
    <xf numFmtId="0" fontId="1" fillId="18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27" fillId="17" borderId="0" applyNumberFormat="0" applyBorder="0" applyAlignment="0" applyProtection="0"/>
    <xf numFmtId="0" fontId="1" fillId="18" borderId="0" applyNumberFormat="0" applyBorder="0" applyAlignment="0" applyProtection="0"/>
    <xf numFmtId="0" fontId="27" fillId="17" borderId="0" applyNumberFormat="0" applyBorder="0" applyAlignment="0" applyProtection="0"/>
    <xf numFmtId="0" fontId="1" fillId="17" borderId="0" applyNumberFormat="0" applyBorder="0" applyAlignment="0" applyProtection="0"/>
    <xf numFmtId="0" fontId="27" fillId="17" borderId="0" applyNumberFormat="0" applyBorder="0" applyAlignment="0" applyProtection="0"/>
    <xf numFmtId="0" fontId="27" fillId="17" borderId="0" applyNumberFormat="0" applyBorder="0" applyAlignment="0" applyProtection="0"/>
    <xf numFmtId="0" fontId="27" fillId="17" borderId="0" applyNumberFormat="0" applyBorder="0" applyAlignment="0" applyProtection="0"/>
    <xf numFmtId="0" fontId="62" fillId="4" borderId="0" applyNumberFormat="0" applyBorder="0" applyAlignment="0" applyProtection="0"/>
    <xf numFmtId="0" fontId="27" fillId="17" borderId="0" applyNumberFormat="0" applyBorder="0" applyAlignment="0" applyProtection="0"/>
    <xf numFmtId="0" fontId="62" fillId="4" borderId="0" applyNumberFormat="0" applyBorder="0" applyAlignment="0" applyProtection="0"/>
    <xf numFmtId="0" fontId="62" fillId="4" borderId="0" applyNumberFormat="0" applyBorder="0" applyAlignment="0" applyProtection="0"/>
    <xf numFmtId="0" fontId="62" fillId="4" borderId="0" applyNumberFormat="0" applyBorder="0" applyAlignment="0" applyProtection="0"/>
    <xf numFmtId="0" fontId="27" fillId="17" borderId="0" applyNumberFormat="0" applyBorder="0" applyAlignment="0" applyProtection="0"/>
    <xf numFmtId="0" fontId="27" fillId="17" borderId="0" applyNumberFormat="0" applyBorder="0" applyAlignment="0" applyProtection="0"/>
    <xf numFmtId="0" fontId="27" fillId="17" borderId="0" applyNumberFormat="0" applyBorder="0" applyAlignment="0" applyProtection="0"/>
    <xf numFmtId="0" fontId="27" fillId="17" borderId="0" applyNumberFormat="0" applyBorder="0" applyAlignment="0" applyProtection="0"/>
    <xf numFmtId="0" fontId="27" fillId="17" borderId="0" applyNumberFormat="0" applyBorder="0" applyAlignment="0" applyProtection="0"/>
    <xf numFmtId="0" fontId="27" fillId="17" borderId="0" applyNumberFormat="0" applyBorder="0" applyAlignment="0" applyProtection="0"/>
    <xf numFmtId="0" fontId="27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60" fillId="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60" fillId="4" borderId="0" applyNumberFormat="0" applyBorder="0" applyAlignment="0" applyProtection="0"/>
    <xf numFmtId="0" fontId="1" fillId="18" borderId="0" applyNumberFormat="0" applyBorder="0" applyAlignment="0" applyProtection="0"/>
    <xf numFmtId="0" fontId="60" fillId="59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27" fillId="19" borderId="0" applyNumberFormat="0" applyBorder="0" applyAlignment="0" applyProtection="0"/>
    <xf numFmtId="0" fontId="61" fillId="60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61" fillId="60" borderId="0" applyNumberFormat="0" applyBorder="0" applyAlignment="0" applyProtection="0"/>
    <xf numFmtId="0" fontId="1" fillId="19" borderId="0" applyNumberFormat="0" applyBorder="0" applyAlignment="0" applyProtection="0"/>
    <xf numFmtId="0" fontId="61" fillId="60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61" fillId="60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62" fillId="5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62" fillId="5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1" fillId="19" borderId="0" applyNumberFormat="0" applyBorder="0" applyAlignment="0" applyProtection="0"/>
    <xf numFmtId="0" fontId="27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62" fillId="59" borderId="0" applyNumberFormat="0" applyBorder="0" applyAlignment="0" applyProtection="0"/>
    <xf numFmtId="0" fontId="1" fillId="19" borderId="0" applyNumberFormat="0" applyBorder="0" applyAlignment="0" applyProtection="0"/>
    <xf numFmtId="0" fontId="62" fillId="59" borderId="0" applyNumberFormat="0" applyBorder="0" applyAlignment="0" applyProtection="0"/>
    <xf numFmtId="0" fontId="1" fillId="20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27" fillId="19" borderId="0" applyNumberFormat="0" applyBorder="0" applyAlignment="0" applyProtection="0"/>
    <xf numFmtId="0" fontId="1" fillId="20" borderId="0" applyNumberFormat="0" applyBorder="0" applyAlignment="0" applyProtection="0"/>
    <xf numFmtId="0" fontId="27" fillId="19" borderId="0" applyNumberFormat="0" applyBorder="0" applyAlignment="0" applyProtection="0"/>
    <xf numFmtId="0" fontId="1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62" fillId="59" borderId="0" applyNumberFormat="0" applyBorder="0" applyAlignment="0" applyProtection="0"/>
    <xf numFmtId="0" fontId="27" fillId="19" borderId="0" applyNumberFormat="0" applyBorder="0" applyAlignment="0" applyProtection="0"/>
    <xf numFmtId="0" fontId="62" fillId="5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60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21" borderId="0" applyNumberFormat="0" applyBorder="0" applyAlignment="0" applyProtection="0"/>
    <xf numFmtId="0" fontId="60" fillId="23" borderId="0" applyNumberFormat="0" applyBorder="0" applyAlignment="0" applyProtection="0"/>
    <xf numFmtId="0" fontId="1" fillId="21" borderId="0" applyNumberFormat="0" applyBorder="0" applyAlignment="0" applyProtection="0"/>
    <xf numFmtId="0" fontId="60" fillId="23" borderId="0" applyNumberFormat="0" applyBorder="0" applyAlignment="0" applyProtection="0"/>
    <xf numFmtId="0" fontId="60" fillId="23" borderId="0" applyNumberFormat="0" applyBorder="0" applyAlignment="0" applyProtection="0"/>
    <xf numFmtId="0" fontId="60" fillId="23" borderId="0" applyNumberFormat="0" applyBorder="0" applyAlignment="0" applyProtection="0"/>
    <xf numFmtId="0" fontId="60" fillId="23" borderId="0" applyNumberFormat="0" applyBorder="0" applyAlignment="0" applyProtection="0"/>
    <xf numFmtId="0" fontId="60" fillId="23" borderId="0" applyNumberFormat="0" applyBorder="0" applyAlignment="0" applyProtection="0"/>
    <xf numFmtId="0" fontId="60" fillId="23" borderId="0" applyNumberFormat="0" applyBorder="0" applyAlignment="0" applyProtection="0"/>
    <xf numFmtId="0" fontId="60" fillId="23" borderId="0" applyNumberFormat="0" applyBorder="0" applyAlignment="0" applyProtection="0"/>
    <xf numFmtId="0" fontId="60" fillId="23" borderId="0" applyNumberFormat="0" applyBorder="0" applyAlignment="0" applyProtection="0"/>
    <xf numFmtId="0" fontId="60" fillId="23" borderId="0" applyNumberFormat="0" applyBorder="0" applyAlignment="0" applyProtection="0"/>
    <xf numFmtId="0" fontId="60" fillId="23" borderId="0" applyNumberFormat="0" applyBorder="0" applyAlignment="0" applyProtection="0"/>
    <xf numFmtId="0" fontId="60" fillId="23" borderId="0" applyNumberFormat="0" applyBorder="0" applyAlignment="0" applyProtection="0"/>
    <xf numFmtId="0" fontId="60" fillId="23" borderId="0" applyNumberFormat="0" applyBorder="0" applyAlignment="0" applyProtection="0"/>
    <xf numFmtId="0" fontId="60" fillId="23" borderId="0" applyNumberFormat="0" applyBorder="0" applyAlignment="0" applyProtection="0"/>
    <xf numFmtId="0" fontId="60" fillId="23" borderId="0" applyNumberFormat="0" applyBorder="0" applyAlignment="0" applyProtection="0"/>
    <xf numFmtId="0" fontId="60" fillId="23" borderId="0" applyNumberFormat="0" applyBorder="0" applyAlignment="0" applyProtection="0"/>
    <xf numFmtId="0" fontId="60" fillId="23" borderId="0" applyNumberFormat="0" applyBorder="0" applyAlignment="0" applyProtection="0"/>
    <xf numFmtId="0" fontId="60" fillId="23" borderId="0" applyNumberFormat="0" applyBorder="0" applyAlignment="0" applyProtection="0"/>
    <xf numFmtId="0" fontId="1" fillId="21" borderId="0" applyNumberFormat="0" applyBorder="0" applyAlignment="0" applyProtection="0"/>
    <xf numFmtId="0" fontId="27" fillId="21" borderId="0" applyNumberFormat="0" applyBorder="0" applyAlignment="0" applyProtection="0"/>
    <xf numFmtId="0" fontId="61" fillId="6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61" fillId="61" borderId="0" applyNumberFormat="0" applyBorder="0" applyAlignment="0" applyProtection="0"/>
    <xf numFmtId="0" fontId="1" fillId="21" borderId="0" applyNumberFormat="0" applyBorder="0" applyAlignment="0" applyProtection="0"/>
    <xf numFmtId="0" fontId="61" fillId="6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61" fillId="6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62" fillId="23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62" fillId="23" borderId="0" applyNumberFormat="0" applyBorder="0" applyAlignment="0" applyProtection="0"/>
    <xf numFmtId="0" fontId="62" fillId="23" borderId="0" applyNumberFormat="0" applyBorder="0" applyAlignment="0" applyProtection="0"/>
    <xf numFmtId="0" fontId="62" fillId="23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27" fillId="21" borderId="0" applyNumberFormat="0" applyBorder="0" applyAlignment="0" applyProtection="0"/>
    <xf numFmtId="0" fontId="27" fillId="21" borderId="0" applyNumberFormat="0" applyBorder="0" applyAlignment="0" applyProtection="0"/>
    <xf numFmtId="0" fontId="1" fillId="21" borderId="0" applyNumberFormat="0" applyBorder="0" applyAlignment="0" applyProtection="0"/>
    <xf numFmtId="0" fontId="27" fillId="21" borderId="0" applyNumberFormat="0" applyBorder="0" applyAlignment="0" applyProtection="0"/>
    <xf numFmtId="0" fontId="1" fillId="21" borderId="0" applyNumberFormat="0" applyBorder="0" applyAlignment="0" applyProtection="0"/>
    <xf numFmtId="0" fontId="60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62" fillId="23" borderId="0" applyNumberFormat="0" applyBorder="0" applyAlignment="0" applyProtection="0"/>
    <xf numFmtId="0" fontId="1" fillId="21" borderId="0" applyNumberFormat="0" applyBorder="0" applyAlignment="0" applyProtection="0"/>
    <xf numFmtId="0" fontId="62" fillId="23" borderId="0" applyNumberFormat="0" applyBorder="0" applyAlignment="0" applyProtection="0"/>
    <xf numFmtId="0" fontId="62" fillId="23" borderId="0" applyNumberFormat="0" applyBorder="0" applyAlignment="0" applyProtection="0"/>
    <xf numFmtId="0" fontId="62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27" fillId="21" borderId="0" applyNumberFormat="0" applyBorder="0" applyAlignment="0" applyProtection="0"/>
    <xf numFmtId="0" fontId="1" fillId="22" borderId="0" applyNumberFormat="0" applyBorder="0" applyAlignment="0" applyProtection="0"/>
    <xf numFmtId="0" fontId="27" fillId="21" borderId="0" applyNumberFormat="0" applyBorder="0" applyAlignment="0" applyProtection="0"/>
    <xf numFmtId="0" fontId="1" fillId="21" borderId="0" applyNumberFormat="0" applyBorder="0" applyAlignment="0" applyProtection="0"/>
    <xf numFmtId="0" fontId="27" fillId="21" borderId="0" applyNumberFormat="0" applyBorder="0" applyAlignment="0" applyProtection="0"/>
    <xf numFmtId="0" fontId="27" fillId="21" borderId="0" applyNumberFormat="0" applyBorder="0" applyAlignment="0" applyProtection="0"/>
    <xf numFmtId="0" fontId="27" fillId="21" borderId="0" applyNumberFormat="0" applyBorder="0" applyAlignment="0" applyProtection="0"/>
    <xf numFmtId="0" fontId="62" fillId="23" borderId="0" applyNumberFormat="0" applyBorder="0" applyAlignment="0" applyProtection="0"/>
    <xf numFmtId="0" fontId="27" fillId="21" borderId="0" applyNumberFormat="0" applyBorder="0" applyAlignment="0" applyProtection="0"/>
    <xf numFmtId="0" fontId="62" fillId="23" borderId="0" applyNumberFormat="0" applyBorder="0" applyAlignment="0" applyProtection="0"/>
    <xf numFmtId="0" fontId="62" fillId="23" borderId="0" applyNumberFormat="0" applyBorder="0" applyAlignment="0" applyProtection="0"/>
    <xf numFmtId="0" fontId="62" fillId="23" borderId="0" applyNumberFormat="0" applyBorder="0" applyAlignment="0" applyProtection="0"/>
    <xf numFmtId="0" fontId="27" fillId="21" borderId="0" applyNumberFormat="0" applyBorder="0" applyAlignment="0" applyProtection="0"/>
    <xf numFmtId="0" fontId="27" fillId="21" borderId="0" applyNumberFormat="0" applyBorder="0" applyAlignment="0" applyProtection="0"/>
    <xf numFmtId="0" fontId="27" fillId="21" borderId="0" applyNumberFormat="0" applyBorder="0" applyAlignment="0" applyProtection="0"/>
    <xf numFmtId="0" fontId="27" fillId="21" borderId="0" applyNumberFormat="0" applyBorder="0" applyAlignment="0" applyProtection="0"/>
    <xf numFmtId="0" fontId="27" fillId="21" borderId="0" applyNumberFormat="0" applyBorder="0" applyAlignment="0" applyProtection="0"/>
    <xf numFmtId="0" fontId="27" fillId="21" borderId="0" applyNumberFormat="0" applyBorder="0" applyAlignment="0" applyProtection="0"/>
    <xf numFmtId="0" fontId="27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60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60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60" fillId="4" borderId="0" applyNumberFormat="0" applyBorder="0" applyAlignment="0" applyProtection="0"/>
    <xf numFmtId="0" fontId="1" fillId="13" borderId="0" applyNumberFormat="0" applyBorder="0" applyAlignment="0" applyProtection="0"/>
    <xf numFmtId="0" fontId="1" fillId="12" borderId="0" applyNumberFormat="0" applyBorder="0" applyAlignment="0" applyProtection="0"/>
    <xf numFmtId="0" fontId="60" fillId="4" borderId="0" applyNumberFormat="0" applyBorder="0" applyAlignment="0" applyProtection="0"/>
    <xf numFmtId="0" fontId="1" fillId="12" borderId="0" applyNumberFormat="0" applyBorder="0" applyAlignment="0" applyProtection="0"/>
    <xf numFmtId="0" fontId="60" fillId="4" borderId="0" applyNumberFormat="0" applyBorder="0" applyAlignment="0" applyProtection="0"/>
    <xf numFmtId="0" fontId="60" fillId="4" borderId="0" applyNumberFormat="0" applyBorder="0" applyAlignment="0" applyProtection="0"/>
    <xf numFmtId="0" fontId="60" fillId="4" borderId="0" applyNumberFormat="0" applyBorder="0" applyAlignment="0" applyProtection="0"/>
    <xf numFmtId="0" fontId="60" fillId="4" borderId="0" applyNumberFormat="0" applyBorder="0" applyAlignment="0" applyProtection="0"/>
    <xf numFmtId="0" fontId="60" fillId="4" borderId="0" applyNumberFormat="0" applyBorder="0" applyAlignment="0" applyProtection="0"/>
    <xf numFmtId="0" fontId="60" fillId="4" borderId="0" applyNumberFormat="0" applyBorder="0" applyAlignment="0" applyProtection="0"/>
    <xf numFmtId="0" fontId="60" fillId="4" borderId="0" applyNumberFormat="0" applyBorder="0" applyAlignment="0" applyProtection="0"/>
    <xf numFmtId="0" fontId="60" fillId="4" borderId="0" applyNumberFormat="0" applyBorder="0" applyAlignment="0" applyProtection="0"/>
    <xf numFmtId="0" fontId="60" fillId="4" borderId="0" applyNumberFormat="0" applyBorder="0" applyAlignment="0" applyProtection="0"/>
    <xf numFmtId="0" fontId="60" fillId="4" borderId="0" applyNumberFormat="0" applyBorder="0" applyAlignment="0" applyProtection="0"/>
    <xf numFmtId="0" fontId="60" fillId="4" borderId="0" applyNumberFormat="0" applyBorder="0" applyAlignment="0" applyProtection="0"/>
    <xf numFmtId="0" fontId="60" fillId="4" borderId="0" applyNumberFormat="0" applyBorder="0" applyAlignment="0" applyProtection="0"/>
    <xf numFmtId="0" fontId="60" fillId="4" borderId="0" applyNumberFormat="0" applyBorder="0" applyAlignment="0" applyProtection="0"/>
    <xf numFmtId="0" fontId="60" fillId="4" borderId="0" applyNumberFormat="0" applyBorder="0" applyAlignment="0" applyProtection="0"/>
    <xf numFmtId="0" fontId="60" fillId="4" borderId="0" applyNumberFormat="0" applyBorder="0" applyAlignment="0" applyProtection="0"/>
    <xf numFmtId="0" fontId="60" fillId="4" borderId="0" applyNumberFormat="0" applyBorder="0" applyAlignment="0" applyProtection="0"/>
    <xf numFmtId="0" fontId="60" fillId="4" borderId="0" applyNumberFormat="0" applyBorder="0" applyAlignment="0" applyProtection="0"/>
    <xf numFmtId="0" fontId="1" fillId="12" borderId="0" applyNumberFormat="0" applyBorder="0" applyAlignment="0" applyProtection="0"/>
    <xf numFmtId="0" fontId="27" fillId="12" borderId="0" applyNumberFormat="0" applyBorder="0" applyAlignment="0" applyProtection="0"/>
    <xf numFmtId="0" fontId="61" fillId="53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61" fillId="53" borderId="0" applyNumberFormat="0" applyBorder="0" applyAlignment="0" applyProtection="0"/>
    <xf numFmtId="0" fontId="1" fillId="12" borderId="0" applyNumberFormat="0" applyBorder="0" applyAlignment="0" applyProtection="0"/>
    <xf numFmtId="0" fontId="61" fillId="53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61" fillId="53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62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62" fillId="4" borderId="0" applyNumberFormat="0" applyBorder="0" applyAlignment="0" applyProtection="0"/>
    <xf numFmtId="0" fontId="62" fillId="4" borderId="0" applyNumberFormat="0" applyBorder="0" applyAlignment="0" applyProtection="0"/>
    <xf numFmtId="0" fontId="62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1" fillId="12" borderId="0" applyNumberFormat="0" applyBorder="0" applyAlignment="0" applyProtection="0"/>
    <xf numFmtId="0" fontId="27" fillId="12" borderId="0" applyNumberFormat="0" applyBorder="0" applyAlignment="0" applyProtection="0"/>
    <xf numFmtId="0" fontId="1" fillId="12" borderId="0" applyNumberFormat="0" applyBorder="0" applyAlignment="0" applyProtection="0"/>
    <xf numFmtId="0" fontId="60" fillId="4" borderId="0" applyNumberFormat="0" applyBorder="0" applyAlignment="0" applyProtection="0"/>
    <xf numFmtId="0" fontId="1" fillId="13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62" fillId="4" borderId="0" applyNumberFormat="0" applyBorder="0" applyAlignment="0" applyProtection="0"/>
    <xf numFmtId="0" fontId="1" fillId="12" borderId="0" applyNumberFormat="0" applyBorder="0" applyAlignment="0" applyProtection="0"/>
    <xf numFmtId="0" fontId="62" fillId="4" borderId="0" applyNumberFormat="0" applyBorder="0" applyAlignment="0" applyProtection="0"/>
    <xf numFmtId="0" fontId="62" fillId="4" borderId="0" applyNumberFormat="0" applyBorder="0" applyAlignment="0" applyProtection="0"/>
    <xf numFmtId="0" fontId="62" fillId="4" borderId="0" applyNumberFormat="0" applyBorder="0" applyAlignment="0" applyProtection="0"/>
    <xf numFmtId="0" fontId="1" fillId="13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27" fillId="12" borderId="0" applyNumberFormat="0" applyBorder="0" applyAlignment="0" applyProtection="0"/>
    <xf numFmtId="0" fontId="1" fillId="13" borderId="0" applyNumberFormat="0" applyBorder="0" applyAlignment="0" applyProtection="0"/>
    <xf numFmtId="0" fontId="27" fillId="12" borderId="0" applyNumberFormat="0" applyBorder="0" applyAlignment="0" applyProtection="0"/>
    <xf numFmtId="0" fontId="1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62" fillId="4" borderId="0" applyNumberFormat="0" applyBorder="0" applyAlignment="0" applyProtection="0"/>
    <xf numFmtId="0" fontId="27" fillId="12" borderId="0" applyNumberFormat="0" applyBorder="0" applyAlignment="0" applyProtection="0"/>
    <xf numFmtId="0" fontId="62" fillId="4" borderId="0" applyNumberFormat="0" applyBorder="0" applyAlignment="0" applyProtection="0"/>
    <xf numFmtId="0" fontId="62" fillId="4" borderId="0" applyNumberFormat="0" applyBorder="0" applyAlignment="0" applyProtection="0"/>
    <xf numFmtId="0" fontId="62" fillId="4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60" fillId="4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60" fillId="4" borderId="0" applyNumberFormat="0" applyBorder="0" applyAlignment="0" applyProtection="0"/>
    <xf numFmtId="0" fontId="1" fillId="13" borderId="0" applyNumberFormat="0" applyBorder="0" applyAlignment="0" applyProtection="0"/>
    <xf numFmtId="0" fontId="60" fillId="62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27" fillId="17" borderId="0" applyNumberFormat="0" applyBorder="0" applyAlignment="0" applyProtection="0"/>
    <xf numFmtId="0" fontId="61" fillId="58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61" fillId="58" borderId="0" applyNumberFormat="0" applyBorder="0" applyAlignment="0" applyProtection="0"/>
    <xf numFmtId="0" fontId="1" fillId="17" borderId="0" applyNumberFormat="0" applyBorder="0" applyAlignment="0" applyProtection="0"/>
    <xf numFmtId="0" fontId="61" fillId="58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61" fillId="58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62" fillId="62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62" fillId="62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27" fillId="17" borderId="0" applyNumberFormat="0" applyBorder="0" applyAlignment="0" applyProtection="0"/>
    <xf numFmtId="0" fontId="27" fillId="17" borderId="0" applyNumberFormat="0" applyBorder="0" applyAlignment="0" applyProtection="0"/>
    <xf numFmtId="0" fontId="1" fillId="17" borderId="0" applyNumberFormat="0" applyBorder="0" applyAlignment="0" applyProtection="0"/>
    <xf numFmtId="0" fontId="27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62" fillId="62" borderId="0" applyNumberFormat="0" applyBorder="0" applyAlignment="0" applyProtection="0"/>
    <xf numFmtId="0" fontId="1" fillId="17" borderId="0" applyNumberFormat="0" applyBorder="0" applyAlignment="0" applyProtection="0"/>
    <xf numFmtId="0" fontId="62" fillId="62" borderId="0" applyNumberFormat="0" applyBorder="0" applyAlignment="0" applyProtection="0"/>
    <xf numFmtId="0" fontId="1" fillId="18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27" fillId="17" borderId="0" applyNumberFormat="0" applyBorder="0" applyAlignment="0" applyProtection="0"/>
    <xf numFmtId="0" fontId="1" fillId="18" borderId="0" applyNumberFormat="0" applyBorder="0" applyAlignment="0" applyProtection="0"/>
    <xf numFmtId="0" fontId="27" fillId="17" borderId="0" applyNumberFormat="0" applyBorder="0" applyAlignment="0" applyProtection="0"/>
    <xf numFmtId="0" fontId="1" fillId="17" borderId="0" applyNumberFormat="0" applyBorder="0" applyAlignment="0" applyProtection="0"/>
    <xf numFmtId="0" fontId="27" fillId="17" borderId="0" applyNumberFormat="0" applyBorder="0" applyAlignment="0" applyProtection="0"/>
    <xf numFmtId="0" fontId="27" fillId="17" borderId="0" applyNumberFormat="0" applyBorder="0" applyAlignment="0" applyProtection="0"/>
    <xf numFmtId="0" fontId="27" fillId="17" borderId="0" applyNumberFormat="0" applyBorder="0" applyAlignment="0" applyProtection="0"/>
    <xf numFmtId="0" fontId="62" fillId="62" borderId="0" applyNumberFormat="0" applyBorder="0" applyAlignment="0" applyProtection="0"/>
    <xf numFmtId="0" fontId="27" fillId="17" borderId="0" applyNumberFormat="0" applyBorder="0" applyAlignment="0" applyProtection="0"/>
    <xf numFmtId="0" fontId="62" fillId="62" borderId="0" applyNumberFormat="0" applyBorder="0" applyAlignment="0" applyProtection="0"/>
    <xf numFmtId="0" fontId="27" fillId="17" borderId="0" applyNumberFormat="0" applyBorder="0" applyAlignment="0" applyProtection="0"/>
    <xf numFmtId="0" fontId="27" fillId="17" borderId="0" applyNumberFormat="0" applyBorder="0" applyAlignment="0" applyProtection="0"/>
    <xf numFmtId="0" fontId="27" fillId="17" borderId="0" applyNumberFormat="0" applyBorder="0" applyAlignment="0" applyProtection="0"/>
    <xf numFmtId="0" fontId="27" fillId="17" borderId="0" applyNumberFormat="0" applyBorder="0" applyAlignment="0" applyProtection="0"/>
    <xf numFmtId="0" fontId="27" fillId="17" borderId="0" applyNumberFormat="0" applyBorder="0" applyAlignment="0" applyProtection="0"/>
    <xf numFmtId="0" fontId="27" fillId="17" borderId="0" applyNumberFormat="0" applyBorder="0" applyAlignment="0" applyProtection="0"/>
    <xf numFmtId="0" fontId="27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60" fillId="8" borderId="0" applyNumberFormat="0" applyBorder="0" applyAlignment="0" applyProtection="0"/>
    <xf numFmtId="0" fontId="1" fillId="25" borderId="0" applyNumberFormat="0" applyBorder="0" applyAlignment="0" applyProtection="0"/>
    <xf numFmtId="0" fontId="1" fillId="24" borderId="0" applyNumberFormat="0" applyBorder="0" applyAlignment="0" applyProtection="0"/>
    <xf numFmtId="0" fontId="60" fillId="8" borderId="0" applyNumberFormat="0" applyBorder="0" applyAlignment="0" applyProtection="0"/>
    <xf numFmtId="0" fontId="1" fillId="24" borderId="0" applyNumberFormat="0" applyBorder="0" applyAlignment="0" applyProtection="0"/>
    <xf numFmtId="0" fontId="60" fillId="8" borderId="0" applyNumberFormat="0" applyBorder="0" applyAlignment="0" applyProtection="0"/>
    <xf numFmtId="0" fontId="60" fillId="8" borderId="0" applyNumberFormat="0" applyBorder="0" applyAlignment="0" applyProtection="0"/>
    <xf numFmtId="0" fontId="60" fillId="8" borderId="0" applyNumberFormat="0" applyBorder="0" applyAlignment="0" applyProtection="0"/>
    <xf numFmtId="0" fontId="60" fillId="8" borderId="0" applyNumberFormat="0" applyBorder="0" applyAlignment="0" applyProtection="0"/>
    <xf numFmtId="0" fontId="60" fillId="8" borderId="0" applyNumberFormat="0" applyBorder="0" applyAlignment="0" applyProtection="0"/>
    <xf numFmtId="0" fontId="60" fillId="8" borderId="0" applyNumberFormat="0" applyBorder="0" applyAlignment="0" applyProtection="0"/>
    <xf numFmtId="0" fontId="60" fillId="8" borderId="0" applyNumberFormat="0" applyBorder="0" applyAlignment="0" applyProtection="0"/>
    <xf numFmtId="0" fontId="60" fillId="8" borderId="0" applyNumberFormat="0" applyBorder="0" applyAlignment="0" applyProtection="0"/>
    <xf numFmtId="0" fontId="60" fillId="8" borderId="0" applyNumberFormat="0" applyBorder="0" applyAlignment="0" applyProtection="0"/>
    <xf numFmtId="0" fontId="60" fillId="8" borderId="0" applyNumberFormat="0" applyBorder="0" applyAlignment="0" applyProtection="0"/>
    <xf numFmtId="0" fontId="60" fillId="8" borderId="0" applyNumberFormat="0" applyBorder="0" applyAlignment="0" applyProtection="0"/>
    <xf numFmtId="0" fontId="60" fillId="8" borderId="0" applyNumberFormat="0" applyBorder="0" applyAlignment="0" applyProtection="0"/>
    <xf numFmtId="0" fontId="60" fillId="8" borderId="0" applyNumberFormat="0" applyBorder="0" applyAlignment="0" applyProtection="0"/>
    <xf numFmtId="0" fontId="60" fillId="8" borderId="0" applyNumberFormat="0" applyBorder="0" applyAlignment="0" applyProtection="0"/>
    <xf numFmtId="0" fontId="60" fillId="8" borderId="0" applyNumberFormat="0" applyBorder="0" applyAlignment="0" applyProtection="0"/>
    <xf numFmtId="0" fontId="60" fillId="8" borderId="0" applyNumberFormat="0" applyBorder="0" applyAlignment="0" applyProtection="0"/>
    <xf numFmtId="0" fontId="60" fillId="8" borderId="0" applyNumberFormat="0" applyBorder="0" applyAlignment="0" applyProtection="0"/>
    <xf numFmtId="0" fontId="1" fillId="24" borderId="0" applyNumberFormat="0" applyBorder="0" applyAlignment="0" applyProtection="0"/>
    <xf numFmtId="0" fontId="27" fillId="24" borderId="0" applyNumberFormat="0" applyBorder="0" applyAlignment="0" applyProtection="0"/>
    <xf numFmtId="0" fontId="61" fillId="63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61" fillId="63" borderId="0" applyNumberFormat="0" applyBorder="0" applyAlignment="0" applyProtection="0"/>
    <xf numFmtId="0" fontId="1" fillId="24" borderId="0" applyNumberFormat="0" applyBorder="0" applyAlignment="0" applyProtection="0"/>
    <xf numFmtId="0" fontId="61" fillId="63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61" fillId="63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62" fillId="8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62" fillId="8" borderId="0" applyNumberFormat="0" applyBorder="0" applyAlignment="0" applyProtection="0"/>
    <xf numFmtId="0" fontId="62" fillId="8" borderId="0" applyNumberFormat="0" applyBorder="0" applyAlignment="0" applyProtection="0"/>
    <xf numFmtId="0" fontId="62" fillId="8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27" fillId="24" borderId="0" applyNumberFormat="0" applyBorder="0" applyAlignment="0" applyProtection="0"/>
    <xf numFmtId="0" fontId="27" fillId="24" borderId="0" applyNumberFormat="0" applyBorder="0" applyAlignment="0" applyProtection="0"/>
    <xf numFmtId="0" fontId="1" fillId="24" borderId="0" applyNumberFormat="0" applyBorder="0" applyAlignment="0" applyProtection="0"/>
    <xf numFmtId="0" fontId="27" fillId="24" borderId="0" applyNumberFormat="0" applyBorder="0" applyAlignment="0" applyProtection="0"/>
    <xf numFmtId="0" fontId="1" fillId="24" borderId="0" applyNumberFormat="0" applyBorder="0" applyAlignment="0" applyProtection="0"/>
    <xf numFmtId="0" fontId="60" fillId="8" borderId="0" applyNumberFormat="0" applyBorder="0" applyAlignment="0" applyProtection="0"/>
    <xf numFmtId="0" fontId="1" fillId="25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62" fillId="8" borderId="0" applyNumberFormat="0" applyBorder="0" applyAlignment="0" applyProtection="0"/>
    <xf numFmtId="0" fontId="1" fillId="24" borderId="0" applyNumberFormat="0" applyBorder="0" applyAlignment="0" applyProtection="0"/>
    <xf numFmtId="0" fontId="62" fillId="8" borderId="0" applyNumberFormat="0" applyBorder="0" applyAlignment="0" applyProtection="0"/>
    <xf numFmtId="0" fontId="62" fillId="8" borderId="0" applyNumberFormat="0" applyBorder="0" applyAlignment="0" applyProtection="0"/>
    <xf numFmtId="0" fontId="62" fillId="8" borderId="0" applyNumberFormat="0" applyBorder="0" applyAlignment="0" applyProtection="0"/>
    <xf numFmtId="0" fontId="1" fillId="2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27" fillId="24" borderId="0" applyNumberFormat="0" applyBorder="0" applyAlignment="0" applyProtection="0"/>
    <xf numFmtId="0" fontId="1" fillId="25" borderId="0" applyNumberFormat="0" applyBorder="0" applyAlignment="0" applyProtection="0"/>
    <xf numFmtId="0" fontId="27" fillId="24" borderId="0" applyNumberFormat="0" applyBorder="0" applyAlignment="0" applyProtection="0"/>
    <xf numFmtId="0" fontId="1" fillId="24" borderId="0" applyNumberFormat="0" applyBorder="0" applyAlignment="0" applyProtection="0"/>
    <xf numFmtId="0" fontId="27" fillId="24" borderId="0" applyNumberFormat="0" applyBorder="0" applyAlignment="0" applyProtection="0"/>
    <xf numFmtId="0" fontId="27" fillId="24" borderId="0" applyNumberFormat="0" applyBorder="0" applyAlignment="0" applyProtection="0"/>
    <xf numFmtId="0" fontId="27" fillId="24" borderId="0" applyNumberFormat="0" applyBorder="0" applyAlignment="0" applyProtection="0"/>
    <xf numFmtId="0" fontId="62" fillId="8" borderId="0" applyNumberFormat="0" applyBorder="0" applyAlignment="0" applyProtection="0"/>
    <xf numFmtId="0" fontId="27" fillId="24" borderId="0" applyNumberFormat="0" applyBorder="0" applyAlignment="0" applyProtection="0"/>
    <xf numFmtId="0" fontId="62" fillId="8" borderId="0" applyNumberFormat="0" applyBorder="0" applyAlignment="0" applyProtection="0"/>
    <xf numFmtId="0" fontId="62" fillId="8" borderId="0" applyNumberFormat="0" applyBorder="0" applyAlignment="0" applyProtection="0"/>
    <xf numFmtId="0" fontId="62" fillId="8" borderId="0" applyNumberFormat="0" applyBorder="0" applyAlignment="0" applyProtection="0"/>
    <xf numFmtId="0" fontId="27" fillId="24" borderId="0" applyNumberFormat="0" applyBorder="0" applyAlignment="0" applyProtection="0"/>
    <xf numFmtId="0" fontId="27" fillId="24" borderId="0" applyNumberFormat="0" applyBorder="0" applyAlignment="0" applyProtection="0"/>
    <xf numFmtId="0" fontId="27" fillId="24" borderId="0" applyNumberFormat="0" applyBorder="0" applyAlignment="0" applyProtection="0"/>
    <xf numFmtId="0" fontId="27" fillId="24" borderId="0" applyNumberFormat="0" applyBorder="0" applyAlignment="0" applyProtection="0"/>
    <xf numFmtId="0" fontId="27" fillId="24" borderId="0" applyNumberFormat="0" applyBorder="0" applyAlignment="0" applyProtection="0"/>
    <xf numFmtId="0" fontId="27" fillId="24" borderId="0" applyNumberFormat="0" applyBorder="0" applyAlignment="0" applyProtection="0"/>
    <xf numFmtId="0" fontId="27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60" fillId="8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60" fillId="8" borderId="0" applyNumberFormat="0" applyBorder="0" applyAlignment="0" applyProtection="0"/>
    <xf numFmtId="0" fontId="1" fillId="25" borderId="0" applyNumberFormat="0" applyBorder="0" applyAlignment="0" applyProtection="0"/>
    <xf numFmtId="0" fontId="63" fillId="27" borderId="0" applyNumberFormat="0" applyBorder="0" applyAlignment="0" applyProtection="0"/>
    <xf numFmtId="0" fontId="63" fillId="27" borderId="0" applyNumberFormat="0" applyBorder="0" applyAlignment="0" applyProtection="0"/>
    <xf numFmtId="0" fontId="63" fillId="27" borderId="0" applyNumberFormat="0" applyBorder="0" applyAlignment="0" applyProtection="0"/>
    <xf numFmtId="0" fontId="63" fillId="27" borderId="0" applyNumberFormat="0" applyBorder="0" applyAlignment="0" applyProtection="0"/>
    <xf numFmtId="0" fontId="63" fillId="27" borderId="0" applyNumberFormat="0" applyBorder="0" applyAlignment="0" applyProtection="0"/>
    <xf numFmtId="0" fontId="63" fillId="27" borderId="0" applyNumberFormat="0" applyBorder="0" applyAlignment="0" applyProtection="0"/>
    <xf numFmtId="0" fontId="9" fillId="26" borderId="0" applyNumberFormat="0" applyBorder="0" applyAlignment="0" applyProtection="0"/>
    <xf numFmtId="0" fontId="64" fillId="64" borderId="0" applyNumberFormat="0" applyBorder="0" applyAlignment="0" applyProtection="0"/>
    <xf numFmtId="0" fontId="9" fillId="26" borderId="0" applyNumberFormat="0" applyBorder="0" applyAlignment="0" applyProtection="0"/>
    <xf numFmtId="0" fontId="64" fillId="64" borderId="0" applyNumberFormat="0" applyBorder="0" applyAlignment="0" applyProtection="0"/>
    <xf numFmtId="0" fontId="9" fillId="26" borderId="0" applyNumberFormat="0" applyBorder="0" applyAlignment="0" applyProtection="0"/>
    <xf numFmtId="0" fontId="2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8" borderId="0" applyNumberFormat="0" applyBorder="0" applyAlignment="0" applyProtection="0"/>
    <xf numFmtId="0" fontId="9" fillId="26" borderId="0" applyNumberFormat="0" applyBorder="0" applyAlignment="0" applyProtection="0"/>
    <xf numFmtId="0" fontId="9" fillId="28" borderId="0" applyNumberFormat="0" applyBorder="0" applyAlignment="0" applyProtection="0"/>
    <xf numFmtId="0" fontId="29" fillId="26" borderId="0" applyNumberFormat="0" applyBorder="0" applyAlignment="0" applyProtection="0"/>
    <xf numFmtId="0" fontId="9" fillId="28" borderId="0" applyNumberFormat="0" applyBorder="0" applyAlignment="0" applyProtection="0"/>
    <xf numFmtId="0" fontId="29" fillId="26" borderId="0" applyNumberFormat="0" applyBorder="0" applyAlignment="0" applyProtection="0"/>
    <xf numFmtId="0" fontId="29" fillId="26" borderId="0" applyNumberFormat="0" applyBorder="0" applyAlignment="0" applyProtection="0"/>
    <xf numFmtId="0" fontId="9" fillId="26" borderId="0" applyNumberFormat="0" applyBorder="0" applyAlignment="0" applyProtection="0"/>
    <xf numFmtId="0" fontId="63" fillId="27" borderId="0" applyNumberFormat="0" applyBorder="0" applyAlignment="0" applyProtection="0"/>
    <xf numFmtId="0" fontId="63" fillId="29" borderId="0" applyNumberFormat="0" applyBorder="0" applyAlignment="0" applyProtection="0"/>
    <xf numFmtId="0" fontId="63" fillId="27" borderId="0" applyNumberFormat="0" applyBorder="0" applyAlignment="0" applyProtection="0"/>
    <xf numFmtId="0" fontId="63" fillId="27" borderId="0" applyNumberFormat="0" applyBorder="0" applyAlignment="0" applyProtection="0"/>
    <xf numFmtId="0" fontId="63" fillId="27" borderId="0" applyNumberFormat="0" applyBorder="0" applyAlignment="0" applyProtection="0"/>
    <xf numFmtId="0" fontId="63" fillId="29" borderId="0" applyNumberFormat="0" applyBorder="0" applyAlignment="0" applyProtection="0"/>
    <xf numFmtId="0" fontId="63" fillId="27" borderId="0" applyNumberFormat="0" applyBorder="0" applyAlignment="0" applyProtection="0"/>
    <xf numFmtId="0" fontId="63" fillId="27" borderId="0" applyNumberFormat="0" applyBorder="0" applyAlignment="0" applyProtection="0"/>
    <xf numFmtId="0" fontId="63" fillId="27" borderId="0" applyNumberFormat="0" applyBorder="0" applyAlignment="0" applyProtection="0"/>
    <xf numFmtId="0" fontId="63" fillId="27" borderId="0" applyNumberFormat="0" applyBorder="0" applyAlignment="0" applyProtection="0"/>
    <xf numFmtId="0" fontId="63" fillId="27" borderId="0" applyNumberFormat="0" applyBorder="0" applyAlignment="0" applyProtection="0"/>
    <xf numFmtId="0" fontId="63" fillId="27" borderId="0" applyNumberFormat="0" applyBorder="0" applyAlignment="0" applyProtection="0"/>
    <xf numFmtId="0" fontId="63" fillId="27" borderId="0" applyNumberFormat="0" applyBorder="0" applyAlignment="0" applyProtection="0"/>
    <xf numFmtId="0" fontId="63" fillId="27" borderId="0" applyNumberFormat="0" applyBorder="0" applyAlignment="0" applyProtection="0"/>
    <xf numFmtId="0" fontId="63" fillId="27" borderId="0" applyNumberFormat="0" applyBorder="0" applyAlignment="0" applyProtection="0"/>
    <xf numFmtId="0" fontId="63" fillId="27" borderId="0" applyNumberFormat="0" applyBorder="0" applyAlignment="0" applyProtection="0"/>
    <xf numFmtId="0" fontId="63" fillId="27" borderId="0" applyNumberFormat="0" applyBorder="0" applyAlignment="0" applyProtection="0"/>
    <xf numFmtId="0" fontId="63" fillId="27" borderId="0" applyNumberFormat="0" applyBorder="0" applyAlignment="0" applyProtection="0"/>
    <xf numFmtId="0" fontId="63" fillId="65" borderId="0" applyNumberFormat="0" applyBorder="0" applyAlignment="0" applyProtection="0"/>
    <xf numFmtId="0" fontId="9" fillId="19" borderId="0" applyNumberFormat="0" applyBorder="0" applyAlignment="0" applyProtection="0"/>
    <xf numFmtId="0" fontId="64" fillId="60" borderId="0" applyNumberFormat="0" applyBorder="0" applyAlignment="0" applyProtection="0"/>
    <xf numFmtId="0" fontId="9" fillId="19" borderId="0" applyNumberFormat="0" applyBorder="0" applyAlignment="0" applyProtection="0"/>
    <xf numFmtId="0" fontId="64" fillId="60" borderId="0" applyNumberFormat="0" applyBorder="0" applyAlignment="0" applyProtection="0"/>
    <xf numFmtId="0" fontId="9" fillId="19" borderId="0" applyNumberFormat="0" applyBorder="0" applyAlignment="0" applyProtection="0"/>
    <xf numFmtId="0" fontId="2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29" fillId="19" borderId="0" applyNumberFormat="0" applyBorder="0" applyAlignment="0" applyProtection="0"/>
    <xf numFmtId="0" fontId="9" fillId="20" borderId="0" applyNumberFormat="0" applyBorder="0" applyAlignment="0" applyProtection="0"/>
    <xf numFmtId="0" fontId="29" fillId="19" borderId="0" applyNumberFormat="0" applyBorder="0" applyAlignment="0" applyProtection="0"/>
    <xf numFmtId="0" fontId="29" fillId="19" borderId="0" applyNumberFormat="0" applyBorder="0" applyAlignment="0" applyProtection="0"/>
    <xf numFmtId="0" fontId="9" fillId="19" borderId="0" applyNumberFormat="0" applyBorder="0" applyAlignment="0" applyProtection="0"/>
    <xf numFmtId="0" fontId="63" fillId="23" borderId="0" applyNumberFormat="0" applyBorder="0" applyAlignment="0" applyProtection="0"/>
    <xf numFmtId="0" fontId="63" fillId="23" borderId="0" applyNumberFormat="0" applyBorder="0" applyAlignment="0" applyProtection="0"/>
    <xf numFmtId="0" fontId="63" fillId="23" borderId="0" applyNumberFormat="0" applyBorder="0" applyAlignment="0" applyProtection="0"/>
    <xf numFmtId="0" fontId="63" fillId="23" borderId="0" applyNumberFormat="0" applyBorder="0" applyAlignment="0" applyProtection="0"/>
    <xf numFmtId="0" fontId="63" fillId="23" borderId="0" applyNumberFormat="0" applyBorder="0" applyAlignment="0" applyProtection="0"/>
    <xf numFmtId="0" fontId="63" fillId="23" borderId="0" applyNumberFormat="0" applyBorder="0" applyAlignment="0" applyProtection="0"/>
    <xf numFmtId="0" fontId="9" fillId="21" borderId="0" applyNumberFormat="0" applyBorder="0" applyAlignment="0" applyProtection="0"/>
    <xf numFmtId="0" fontId="64" fillId="61" borderId="0" applyNumberFormat="0" applyBorder="0" applyAlignment="0" applyProtection="0"/>
    <xf numFmtId="0" fontId="9" fillId="21" borderId="0" applyNumberFormat="0" applyBorder="0" applyAlignment="0" applyProtection="0"/>
    <xf numFmtId="0" fontId="64" fillId="61" borderId="0" applyNumberFormat="0" applyBorder="0" applyAlignment="0" applyProtection="0"/>
    <xf numFmtId="0" fontId="9" fillId="21" borderId="0" applyNumberFormat="0" applyBorder="0" applyAlignment="0" applyProtection="0"/>
    <xf numFmtId="0" fontId="2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29" fillId="21" borderId="0" applyNumberFormat="0" applyBorder="0" applyAlignment="0" applyProtection="0"/>
    <xf numFmtId="0" fontId="9" fillId="22" borderId="0" applyNumberFormat="0" applyBorder="0" applyAlignment="0" applyProtection="0"/>
    <xf numFmtId="0" fontId="29" fillId="21" borderId="0" applyNumberFormat="0" applyBorder="0" applyAlignment="0" applyProtection="0"/>
    <xf numFmtId="0" fontId="29" fillId="21" borderId="0" applyNumberFormat="0" applyBorder="0" applyAlignment="0" applyProtection="0"/>
    <xf numFmtId="0" fontId="9" fillId="21" borderId="0" applyNumberFormat="0" applyBorder="0" applyAlignment="0" applyProtection="0"/>
    <xf numFmtId="0" fontId="63" fillId="23" borderId="0" applyNumberFormat="0" applyBorder="0" applyAlignment="0" applyProtection="0"/>
    <xf numFmtId="0" fontId="63" fillId="23" borderId="0" applyNumberFormat="0" applyBorder="0" applyAlignment="0" applyProtection="0"/>
    <xf numFmtId="0" fontId="63" fillId="23" borderId="0" applyNumberFormat="0" applyBorder="0" applyAlignment="0" applyProtection="0"/>
    <xf numFmtId="0" fontId="63" fillId="23" borderId="0" applyNumberFormat="0" applyBorder="0" applyAlignment="0" applyProtection="0"/>
    <xf numFmtId="0" fontId="63" fillId="23" borderId="0" applyNumberFormat="0" applyBorder="0" applyAlignment="0" applyProtection="0"/>
    <xf numFmtId="0" fontId="63" fillId="23" borderId="0" applyNumberFormat="0" applyBorder="0" applyAlignment="0" applyProtection="0"/>
    <xf numFmtId="0" fontId="63" fillId="23" borderId="0" applyNumberFormat="0" applyBorder="0" applyAlignment="0" applyProtection="0"/>
    <xf numFmtId="0" fontId="63" fillId="23" borderId="0" applyNumberFormat="0" applyBorder="0" applyAlignment="0" applyProtection="0"/>
    <xf numFmtId="0" fontId="63" fillId="23" borderId="0" applyNumberFormat="0" applyBorder="0" applyAlignment="0" applyProtection="0"/>
    <xf numFmtId="0" fontId="63" fillId="23" borderId="0" applyNumberFormat="0" applyBorder="0" applyAlignment="0" applyProtection="0"/>
    <xf numFmtId="0" fontId="63" fillId="23" borderId="0" applyNumberFormat="0" applyBorder="0" applyAlignment="0" applyProtection="0"/>
    <xf numFmtId="0" fontId="63" fillId="23" borderId="0" applyNumberFormat="0" applyBorder="0" applyAlignment="0" applyProtection="0"/>
    <xf numFmtId="0" fontId="63" fillId="23" borderId="0" applyNumberFormat="0" applyBorder="0" applyAlignment="0" applyProtection="0"/>
    <xf numFmtId="0" fontId="63" fillId="23" borderId="0" applyNumberFormat="0" applyBorder="0" applyAlignment="0" applyProtection="0"/>
    <xf numFmtId="0" fontId="63" fillId="23" borderId="0" applyNumberFormat="0" applyBorder="0" applyAlignment="0" applyProtection="0"/>
    <xf numFmtId="0" fontId="63" fillId="23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9" fillId="30" borderId="0" applyNumberFormat="0" applyBorder="0" applyAlignment="0" applyProtection="0"/>
    <xf numFmtId="0" fontId="64" fillId="66" borderId="0" applyNumberFormat="0" applyBorder="0" applyAlignment="0" applyProtection="0"/>
    <xf numFmtId="0" fontId="9" fillId="30" borderId="0" applyNumberFormat="0" applyBorder="0" applyAlignment="0" applyProtection="0"/>
    <xf numFmtId="0" fontId="64" fillId="66" borderId="0" applyNumberFormat="0" applyBorder="0" applyAlignment="0" applyProtection="0"/>
    <xf numFmtId="0" fontId="9" fillId="30" borderId="0" applyNumberFormat="0" applyBorder="0" applyAlignment="0" applyProtection="0"/>
    <xf numFmtId="0" fontId="2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29" fillId="30" borderId="0" applyNumberFormat="0" applyBorder="0" applyAlignment="0" applyProtection="0"/>
    <xf numFmtId="0" fontId="9" fillId="31" borderId="0" applyNumberFormat="0" applyBorder="0" applyAlignment="0" applyProtection="0"/>
    <xf numFmtId="0" fontId="29" fillId="30" borderId="0" applyNumberFormat="0" applyBorder="0" applyAlignment="0" applyProtection="0"/>
    <xf numFmtId="0" fontId="29" fillId="30" borderId="0" applyNumberFormat="0" applyBorder="0" applyAlignment="0" applyProtection="0"/>
    <xf numFmtId="0" fontId="9" fillId="30" borderId="0" applyNumberFormat="0" applyBorder="0" applyAlignment="0" applyProtection="0"/>
    <xf numFmtId="0" fontId="63" fillId="4" borderId="0" applyNumberFormat="0" applyBorder="0" applyAlignment="0" applyProtection="0"/>
    <xf numFmtId="0" fontId="63" fillId="32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32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67" borderId="0" applyNumberFormat="0" applyBorder="0" applyAlignment="0" applyProtection="0"/>
    <xf numFmtId="0" fontId="9" fillId="29" borderId="0" applyNumberFormat="0" applyBorder="0" applyAlignment="0" applyProtection="0"/>
    <xf numFmtId="0" fontId="64" fillId="68" borderId="0" applyNumberFormat="0" applyBorder="0" applyAlignment="0" applyProtection="0"/>
    <xf numFmtId="0" fontId="9" fillId="29" borderId="0" applyNumberFormat="0" applyBorder="0" applyAlignment="0" applyProtection="0"/>
    <xf numFmtId="0" fontId="64" fillId="68" borderId="0" applyNumberFormat="0" applyBorder="0" applyAlignment="0" applyProtection="0"/>
    <xf numFmtId="0" fontId="9" fillId="29" borderId="0" applyNumberFormat="0" applyBorder="0" applyAlignment="0" applyProtection="0"/>
    <xf numFmtId="0" fontId="29" fillId="29" borderId="0" applyNumberFormat="0" applyBorder="0" applyAlignment="0" applyProtection="0"/>
    <xf numFmtId="0" fontId="9" fillId="29" borderId="0" applyNumberFormat="0" applyBorder="0" applyAlignment="0" applyProtection="0"/>
    <xf numFmtId="0" fontId="9" fillId="33" borderId="0" applyNumberFormat="0" applyBorder="0" applyAlignment="0" applyProtection="0"/>
    <xf numFmtId="0" fontId="9" fillId="29" borderId="0" applyNumberFormat="0" applyBorder="0" applyAlignment="0" applyProtection="0"/>
    <xf numFmtId="0" fontId="9" fillId="33" borderId="0" applyNumberFormat="0" applyBorder="0" applyAlignment="0" applyProtection="0"/>
    <xf numFmtId="0" fontId="29" fillId="29" borderId="0" applyNumberFormat="0" applyBorder="0" applyAlignment="0" applyProtection="0"/>
    <xf numFmtId="0" fontId="9" fillId="33" borderId="0" applyNumberFormat="0" applyBorder="0" applyAlignment="0" applyProtection="0"/>
    <xf numFmtId="0" fontId="29" fillId="29" borderId="0" applyNumberFormat="0" applyBorder="0" applyAlignment="0" applyProtection="0"/>
    <xf numFmtId="0" fontId="29" fillId="29" borderId="0" applyNumberFormat="0" applyBorder="0" applyAlignment="0" applyProtection="0"/>
    <xf numFmtId="0" fontId="9" fillId="29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9" fillId="34" borderId="0" applyNumberFormat="0" applyBorder="0" applyAlignment="0" applyProtection="0"/>
    <xf numFmtId="0" fontId="64" fillId="69" borderId="0" applyNumberFormat="0" applyBorder="0" applyAlignment="0" applyProtection="0"/>
    <xf numFmtId="0" fontId="9" fillId="34" borderId="0" applyNumberFormat="0" applyBorder="0" applyAlignment="0" applyProtection="0"/>
    <xf numFmtId="0" fontId="64" fillId="69" borderId="0" applyNumberFormat="0" applyBorder="0" applyAlignment="0" applyProtection="0"/>
    <xf numFmtId="0" fontId="9" fillId="34" borderId="0" applyNumberFormat="0" applyBorder="0" applyAlignment="0" applyProtection="0"/>
    <xf numFmtId="0" fontId="29" fillId="34" borderId="0" applyNumberFormat="0" applyBorder="0" applyAlignment="0" applyProtection="0"/>
    <xf numFmtId="0" fontId="9" fillId="34" borderId="0" applyNumberFormat="0" applyBorder="0" applyAlignment="0" applyProtection="0"/>
    <xf numFmtId="0" fontId="9" fillId="35" borderId="0" applyNumberFormat="0" applyBorder="0" applyAlignment="0" applyProtection="0"/>
    <xf numFmtId="0" fontId="9" fillId="34" borderId="0" applyNumberFormat="0" applyBorder="0" applyAlignment="0" applyProtection="0"/>
    <xf numFmtId="0" fontId="9" fillId="35" borderId="0" applyNumberFormat="0" applyBorder="0" applyAlignment="0" applyProtection="0"/>
    <xf numFmtId="0" fontId="29" fillId="34" borderId="0" applyNumberFormat="0" applyBorder="0" applyAlignment="0" applyProtection="0"/>
    <xf numFmtId="0" fontId="9" fillId="35" borderId="0" applyNumberFormat="0" applyBorder="0" applyAlignment="0" applyProtection="0"/>
    <xf numFmtId="0" fontId="29" fillId="34" borderId="0" applyNumberFormat="0" applyBorder="0" applyAlignment="0" applyProtection="0"/>
    <xf numFmtId="0" fontId="29" fillId="34" borderId="0" applyNumberFormat="0" applyBorder="0" applyAlignment="0" applyProtection="0"/>
    <xf numFmtId="0" fontId="9" fillId="34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70" borderId="0" applyNumberFormat="0" applyBorder="0" applyAlignment="0" applyProtection="0"/>
    <xf numFmtId="0" fontId="9" fillId="27" borderId="0" applyNumberFormat="0" applyBorder="0" applyAlignment="0" applyProtection="0"/>
    <xf numFmtId="0" fontId="64" fillId="71" borderId="0" applyNumberFormat="0" applyBorder="0" applyAlignment="0" applyProtection="0"/>
    <xf numFmtId="0" fontId="9" fillId="27" borderId="0" applyNumberFormat="0" applyBorder="0" applyAlignment="0" applyProtection="0"/>
    <xf numFmtId="0" fontId="64" fillId="71" borderId="0" applyNumberFormat="0" applyBorder="0" applyAlignment="0" applyProtection="0"/>
    <xf numFmtId="0" fontId="9" fillId="27" borderId="0" applyNumberFormat="0" applyBorder="0" applyAlignment="0" applyProtection="0"/>
    <xf numFmtId="0" fontId="2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36" borderId="0" applyNumberFormat="0" applyBorder="0" applyAlignment="0" applyProtection="0"/>
    <xf numFmtId="0" fontId="9" fillId="27" borderId="0" applyNumberFormat="0" applyBorder="0" applyAlignment="0" applyProtection="0"/>
    <xf numFmtId="0" fontId="9" fillId="36" borderId="0" applyNumberFormat="0" applyBorder="0" applyAlignment="0" applyProtection="0"/>
    <xf numFmtId="0" fontId="29" fillId="27" borderId="0" applyNumberFormat="0" applyBorder="0" applyAlignment="0" applyProtection="0"/>
    <xf numFmtId="0" fontId="9" fillId="36" borderId="0" applyNumberFormat="0" applyBorder="0" applyAlignment="0" applyProtection="0"/>
    <xf numFmtId="0" fontId="29" fillId="27" borderId="0" applyNumberFormat="0" applyBorder="0" applyAlignment="0" applyProtection="0"/>
    <xf numFmtId="0" fontId="29" fillId="27" borderId="0" applyNumberFormat="0" applyBorder="0" applyAlignment="0" applyProtection="0"/>
    <xf numFmtId="0" fontId="9" fillId="27" borderId="0" applyNumberFormat="0" applyBorder="0" applyAlignment="0" applyProtection="0"/>
    <xf numFmtId="0" fontId="63" fillId="29" borderId="0" applyNumberFormat="0" applyBorder="0" applyAlignment="0" applyProtection="0"/>
    <xf numFmtId="0" fontId="63" fillId="29" borderId="0" applyNumberFormat="0" applyBorder="0" applyAlignment="0" applyProtection="0"/>
    <xf numFmtId="0" fontId="63" fillId="72" borderId="0" applyNumberFormat="0" applyBorder="0" applyAlignment="0" applyProtection="0"/>
    <xf numFmtId="0" fontId="9" fillId="37" borderId="0" applyNumberFormat="0" applyBorder="0" applyAlignment="0" applyProtection="0"/>
    <xf numFmtId="0" fontId="64" fillId="73" borderId="0" applyNumberFormat="0" applyBorder="0" applyAlignment="0" applyProtection="0"/>
    <xf numFmtId="0" fontId="9" fillId="37" borderId="0" applyNumberFormat="0" applyBorder="0" applyAlignment="0" applyProtection="0"/>
    <xf numFmtId="0" fontId="64" fillId="73" borderId="0" applyNumberFormat="0" applyBorder="0" applyAlignment="0" applyProtection="0"/>
    <xf numFmtId="0" fontId="9" fillId="37" borderId="0" applyNumberFormat="0" applyBorder="0" applyAlignment="0" applyProtection="0"/>
    <xf numFmtId="0" fontId="2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8" borderId="0" applyNumberFormat="0" applyBorder="0" applyAlignment="0" applyProtection="0"/>
    <xf numFmtId="0" fontId="9" fillId="37" borderId="0" applyNumberFormat="0" applyBorder="0" applyAlignment="0" applyProtection="0"/>
    <xf numFmtId="0" fontId="9" fillId="38" borderId="0" applyNumberFormat="0" applyBorder="0" applyAlignment="0" applyProtection="0"/>
    <xf numFmtId="0" fontId="29" fillId="37" borderId="0" applyNumberFormat="0" applyBorder="0" applyAlignment="0" applyProtection="0"/>
    <xf numFmtId="0" fontId="9" fillId="38" borderId="0" applyNumberFormat="0" applyBorder="0" applyAlignment="0" applyProtection="0"/>
    <xf numFmtId="0" fontId="29" fillId="37" borderId="0" applyNumberFormat="0" applyBorder="0" applyAlignment="0" applyProtection="0"/>
    <xf numFmtId="0" fontId="29" fillId="37" borderId="0" applyNumberFormat="0" applyBorder="0" applyAlignment="0" applyProtection="0"/>
    <xf numFmtId="0" fontId="9" fillId="37" borderId="0" applyNumberFormat="0" applyBorder="0" applyAlignment="0" applyProtection="0"/>
    <xf numFmtId="0" fontId="63" fillId="74" borderId="0" applyNumberFormat="0" applyBorder="0" applyAlignment="0" applyProtection="0"/>
    <xf numFmtId="0" fontId="9" fillId="39" borderId="0" applyNumberFormat="0" applyBorder="0" applyAlignment="0" applyProtection="0"/>
    <xf numFmtId="0" fontId="64" fillId="75" borderId="0" applyNumberFormat="0" applyBorder="0" applyAlignment="0" applyProtection="0"/>
    <xf numFmtId="0" fontId="9" fillId="39" borderId="0" applyNumberFormat="0" applyBorder="0" applyAlignment="0" applyProtection="0"/>
    <xf numFmtId="0" fontId="64" fillId="75" borderId="0" applyNumberFormat="0" applyBorder="0" applyAlignment="0" applyProtection="0"/>
    <xf numFmtId="0" fontId="9" fillId="39" borderId="0" applyNumberFormat="0" applyBorder="0" applyAlignment="0" applyProtection="0"/>
    <xf numFmtId="0" fontId="2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40" borderId="0" applyNumberFormat="0" applyBorder="0" applyAlignment="0" applyProtection="0"/>
    <xf numFmtId="0" fontId="9" fillId="39" borderId="0" applyNumberFormat="0" applyBorder="0" applyAlignment="0" applyProtection="0"/>
    <xf numFmtId="0" fontId="9" fillId="40" borderId="0" applyNumberFormat="0" applyBorder="0" applyAlignment="0" applyProtection="0"/>
    <xf numFmtId="0" fontId="29" fillId="39" borderId="0" applyNumberFormat="0" applyBorder="0" applyAlignment="0" applyProtection="0"/>
    <xf numFmtId="0" fontId="9" fillId="40" borderId="0" applyNumberFormat="0" applyBorder="0" applyAlignment="0" applyProtection="0"/>
    <xf numFmtId="0" fontId="29" fillId="39" borderId="0" applyNumberFormat="0" applyBorder="0" applyAlignment="0" applyProtection="0"/>
    <xf numFmtId="0" fontId="29" fillId="39" borderId="0" applyNumberFormat="0" applyBorder="0" applyAlignment="0" applyProtection="0"/>
    <xf numFmtId="0" fontId="9" fillId="39" borderId="0" applyNumberFormat="0" applyBorder="0" applyAlignment="0" applyProtection="0"/>
    <xf numFmtId="0" fontId="63" fillId="74" borderId="0" applyNumberFormat="0" applyBorder="0" applyAlignment="0" applyProtection="0"/>
    <xf numFmtId="0" fontId="63" fillId="41" borderId="0" applyNumberFormat="0" applyBorder="0" applyAlignment="0" applyProtection="0"/>
    <xf numFmtId="0" fontId="63" fillId="41" borderId="0" applyNumberFormat="0" applyBorder="0" applyAlignment="0" applyProtection="0"/>
    <xf numFmtId="0" fontId="63" fillId="41" borderId="0" applyNumberFormat="0" applyBorder="0" applyAlignment="0" applyProtection="0"/>
    <xf numFmtId="0" fontId="63" fillId="41" borderId="0" applyNumberFormat="0" applyBorder="0" applyAlignment="0" applyProtection="0"/>
    <xf numFmtId="0" fontId="63" fillId="41" borderId="0" applyNumberFormat="0" applyBorder="0" applyAlignment="0" applyProtection="0"/>
    <xf numFmtId="0" fontId="63" fillId="41" borderId="0" applyNumberFormat="0" applyBorder="0" applyAlignment="0" applyProtection="0"/>
    <xf numFmtId="0" fontId="9" fillId="30" borderId="0" applyNumberFormat="0" applyBorder="0" applyAlignment="0" applyProtection="0"/>
    <xf numFmtId="0" fontId="64" fillId="66" borderId="0" applyNumberFormat="0" applyBorder="0" applyAlignment="0" applyProtection="0"/>
    <xf numFmtId="0" fontId="9" fillId="30" borderId="0" applyNumberFormat="0" applyBorder="0" applyAlignment="0" applyProtection="0"/>
    <xf numFmtId="0" fontId="64" fillId="66" borderId="0" applyNumberFormat="0" applyBorder="0" applyAlignment="0" applyProtection="0"/>
    <xf numFmtId="0" fontId="9" fillId="30" borderId="0" applyNumberFormat="0" applyBorder="0" applyAlignment="0" applyProtection="0"/>
    <xf numFmtId="0" fontId="2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29" fillId="30" borderId="0" applyNumberFormat="0" applyBorder="0" applyAlignment="0" applyProtection="0"/>
    <xf numFmtId="0" fontId="9" fillId="31" borderId="0" applyNumberFormat="0" applyBorder="0" applyAlignment="0" applyProtection="0"/>
    <xf numFmtId="0" fontId="29" fillId="30" borderId="0" applyNumberFormat="0" applyBorder="0" applyAlignment="0" applyProtection="0"/>
    <xf numFmtId="0" fontId="29" fillId="30" borderId="0" applyNumberFormat="0" applyBorder="0" applyAlignment="0" applyProtection="0"/>
    <xf numFmtId="0" fontId="9" fillId="30" borderId="0" applyNumberFormat="0" applyBorder="0" applyAlignment="0" applyProtection="0"/>
    <xf numFmtId="0" fontId="63" fillId="41" borderId="0" applyNumberFormat="0" applyBorder="0" applyAlignment="0" applyProtection="0"/>
    <xf numFmtId="0" fontId="63" fillId="41" borderId="0" applyNumberFormat="0" applyBorder="0" applyAlignment="0" applyProtection="0"/>
    <xf numFmtId="0" fontId="63" fillId="41" borderId="0" applyNumberFormat="0" applyBorder="0" applyAlignment="0" applyProtection="0"/>
    <xf numFmtId="0" fontId="63" fillId="41" borderId="0" applyNumberFormat="0" applyBorder="0" applyAlignment="0" applyProtection="0"/>
    <xf numFmtId="0" fontId="63" fillId="41" borderId="0" applyNumberFormat="0" applyBorder="0" applyAlignment="0" applyProtection="0"/>
    <xf numFmtId="0" fontId="63" fillId="41" borderId="0" applyNumberFormat="0" applyBorder="0" applyAlignment="0" applyProtection="0"/>
    <xf numFmtId="0" fontId="63" fillId="41" borderId="0" applyNumberFormat="0" applyBorder="0" applyAlignment="0" applyProtection="0"/>
    <xf numFmtId="0" fontId="63" fillId="41" borderId="0" applyNumberFormat="0" applyBorder="0" applyAlignment="0" applyProtection="0"/>
    <xf numFmtId="0" fontId="63" fillId="41" borderId="0" applyNumberFormat="0" applyBorder="0" applyAlignment="0" applyProtection="0"/>
    <xf numFmtId="0" fontId="63" fillId="41" borderId="0" applyNumberFormat="0" applyBorder="0" applyAlignment="0" applyProtection="0"/>
    <xf numFmtId="0" fontId="63" fillId="41" borderId="0" applyNumberFormat="0" applyBorder="0" applyAlignment="0" applyProtection="0"/>
    <xf numFmtId="0" fontId="63" fillId="41" borderId="0" applyNumberFormat="0" applyBorder="0" applyAlignment="0" applyProtection="0"/>
    <xf numFmtId="0" fontId="63" fillId="41" borderId="0" applyNumberFormat="0" applyBorder="0" applyAlignment="0" applyProtection="0"/>
    <xf numFmtId="0" fontId="63" fillId="41" borderId="0" applyNumberFormat="0" applyBorder="0" applyAlignment="0" applyProtection="0"/>
    <xf numFmtId="0" fontId="63" fillId="41" borderId="0" applyNumberFormat="0" applyBorder="0" applyAlignment="0" applyProtection="0"/>
    <xf numFmtId="0" fontId="63" fillId="41" borderId="0" applyNumberFormat="0" applyBorder="0" applyAlignment="0" applyProtection="0"/>
    <xf numFmtId="0" fontId="63" fillId="76" borderId="0" applyNumberFormat="0" applyBorder="0" applyAlignment="0" applyProtection="0"/>
    <xf numFmtId="0" fontId="9" fillId="29" borderId="0" applyNumberFormat="0" applyBorder="0" applyAlignment="0" applyProtection="0"/>
    <xf numFmtId="0" fontId="64" fillId="68" borderId="0" applyNumberFormat="0" applyBorder="0" applyAlignment="0" applyProtection="0"/>
    <xf numFmtId="0" fontId="9" fillId="29" borderId="0" applyNumberFormat="0" applyBorder="0" applyAlignment="0" applyProtection="0"/>
    <xf numFmtId="0" fontId="64" fillId="68" borderId="0" applyNumberFormat="0" applyBorder="0" applyAlignment="0" applyProtection="0"/>
    <xf numFmtId="0" fontId="9" fillId="29" borderId="0" applyNumberFormat="0" applyBorder="0" applyAlignment="0" applyProtection="0"/>
    <xf numFmtId="0" fontId="29" fillId="29" borderId="0" applyNumberFormat="0" applyBorder="0" applyAlignment="0" applyProtection="0"/>
    <xf numFmtId="0" fontId="9" fillId="29" borderId="0" applyNumberFormat="0" applyBorder="0" applyAlignment="0" applyProtection="0"/>
    <xf numFmtId="0" fontId="9" fillId="33" borderId="0" applyNumberFormat="0" applyBorder="0" applyAlignment="0" applyProtection="0"/>
    <xf numFmtId="0" fontId="9" fillId="29" borderId="0" applyNumberFormat="0" applyBorder="0" applyAlignment="0" applyProtection="0"/>
    <xf numFmtId="0" fontId="9" fillId="33" borderId="0" applyNumberFormat="0" applyBorder="0" applyAlignment="0" applyProtection="0"/>
    <xf numFmtId="0" fontId="29" fillId="29" borderId="0" applyNumberFormat="0" applyBorder="0" applyAlignment="0" applyProtection="0"/>
    <xf numFmtId="0" fontId="9" fillId="33" borderId="0" applyNumberFormat="0" applyBorder="0" applyAlignment="0" applyProtection="0"/>
    <xf numFmtId="0" fontId="29" fillId="29" borderId="0" applyNumberFormat="0" applyBorder="0" applyAlignment="0" applyProtection="0"/>
    <xf numFmtId="0" fontId="29" fillId="29" borderId="0" applyNumberFormat="0" applyBorder="0" applyAlignment="0" applyProtection="0"/>
    <xf numFmtId="0" fontId="9" fillId="29" borderId="0" applyNumberFormat="0" applyBorder="0" applyAlignment="0" applyProtection="0"/>
    <xf numFmtId="0" fontId="63" fillId="77" borderId="0" applyNumberFormat="0" applyBorder="0" applyAlignment="0" applyProtection="0"/>
    <xf numFmtId="0" fontId="9" fillId="42" borderId="0" applyNumberFormat="0" applyBorder="0" applyAlignment="0" applyProtection="0"/>
    <xf numFmtId="0" fontId="64" fillId="78" borderId="0" applyNumberFormat="0" applyBorder="0" applyAlignment="0" applyProtection="0"/>
    <xf numFmtId="0" fontId="9" fillId="42" borderId="0" applyNumberFormat="0" applyBorder="0" applyAlignment="0" applyProtection="0"/>
    <xf numFmtId="0" fontId="64" fillId="78" borderId="0" applyNumberFormat="0" applyBorder="0" applyAlignment="0" applyProtection="0"/>
    <xf numFmtId="0" fontId="9" fillId="42" borderId="0" applyNumberFormat="0" applyBorder="0" applyAlignment="0" applyProtection="0"/>
    <xf numFmtId="0" fontId="29" fillId="42" borderId="0" applyNumberFormat="0" applyBorder="0" applyAlignment="0" applyProtection="0"/>
    <xf numFmtId="0" fontId="9" fillId="42" borderId="0" applyNumberFormat="0" applyBorder="0" applyAlignment="0" applyProtection="0"/>
    <xf numFmtId="0" fontId="9" fillId="43" borderId="0" applyNumberFormat="0" applyBorder="0" applyAlignment="0" applyProtection="0"/>
    <xf numFmtId="0" fontId="9" fillId="42" borderId="0" applyNumberFormat="0" applyBorder="0" applyAlignment="0" applyProtection="0"/>
    <xf numFmtId="0" fontId="9" fillId="43" borderId="0" applyNumberFormat="0" applyBorder="0" applyAlignment="0" applyProtection="0"/>
    <xf numFmtId="0" fontId="29" fillId="42" borderId="0" applyNumberFormat="0" applyBorder="0" applyAlignment="0" applyProtection="0"/>
    <xf numFmtId="0" fontId="9" fillId="43" borderId="0" applyNumberFormat="0" applyBorder="0" applyAlignment="0" applyProtection="0"/>
    <xf numFmtId="0" fontId="29" fillId="42" borderId="0" applyNumberFormat="0" applyBorder="0" applyAlignment="0" applyProtection="0"/>
    <xf numFmtId="0" fontId="29" fillId="42" borderId="0" applyNumberFormat="0" applyBorder="0" applyAlignment="0" applyProtection="0"/>
    <xf numFmtId="0" fontId="9" fillId="42" borderId="0" applyNumberFormat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65" fillId="79" borderId="0" applyNumberFormat="0" applyBorder="0" applyAlignment="0" applyProtection="0"/>
    <xf numFmtId="0" fontId="10" fillId="6" borderId="0" applyNumberFormat="0" applyBorder="0" applyAlignment="0" applyProtection="0"/>
    <xf numFmtId="0" fontId="66" fillId="51" borderId="0" applyNumberFormat="0" applyBorder="0" applyAlignment="0" applyProtection="0"/>
    <xf numFmtId="0" fontId="10" fillId="6" borderId="0" applyNumberFormat="0" applyBorder="0" applyAlignment="0" applyProtection="0"/>
    <xf numFmtId="0" fontId="66" fillId="51" borderId="0" applyNumberFormat="0" applyBorder="0" applyAlignment="0" applyProtection="0"/>
    <xf numFmtId="0" fontId="10" fillId="6" borderId="0" applyNumberFormat="0" applyBorder="0" applyAlignment="0" applyProtection="0"/>
    <xf numFmtId="0" fontId="31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31" fillId="6" borderId="0" applyNumberFormat="0" applyBorder="0" applyAlignment="0" applyProtection="0"/>
    <xf numFmtId="0" fontId="10" fillId="7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10" fillId="6" borderId="0" applyNumberFormat="0" applyBorder="0" applyAlignment="0" applyProtection="0"/>
    <xf numFmtId="0" fontId="67" fillId="79" borderId="0" applyNumberFormat="0" applyBorder="0" applyAlignment="0" applyProtection="0"/>
    <xf numFmtId="0" fontId="67" fillId="79" borderId="0" applyNumberFormat="0" applyBorder="0" applyAlignment="0" applyProtection="0"/>
    <xf numFmtId="0" fontId="68" fillId="5" borderId="12" applyNumberFormat="0" applyAlignment="0" applyProtection="0"/>
    <xf numFmtId="0" fontId="32" fillId="4" borderId="1" applyNumberFormat="0" applyAlignment="0" applyProtection="0"/>
    <xf numFmtId="0" fontId="32" fillId="4" borderId="1" applyNumberFormat="0" applyAlignment="0" applyProtection="0"/>
    <xf numFmtId="0" fontId="32" fillId="4" borderId="1" applyNumberFormat="0" applyAlignment="0" applyProtection="0"/>
    <xf numFmtId="0" fontId="68" fillId="5" borderId="12" applyNumberFormat="0" applyAlignment="0" applyProtection="0"/>
    <xf numFmtId="0" fontId="32" fillId="4" borderId="1" applyNumberFormat="0" applyAlignment="0" applyProtection="0"/>
    <xf numFmtId="0" fontId="32" fillId="4" borderId="1" applyNumberFormat="0" applyAlignment="0" applyProtection="0"/>
    <xf numFmtId="0" fontId="32" fillId="4" borderId="1" applyNumberFormat="0" applyAlignment="0" applyProtection="0"/>
    <xf numFmtId="0" fontId="32" fillId="4" borderId="1" applyNumberFormat="0" applyAlignment="0" applyProtection="0"/>
    <xf numFmtId="0" fontId="32" fillId="4" borderId="1" applyNumberFormat="0" applyAlignment="0" applyProtection="0"/>
    <xf numFmtId="0" fontId="32" fillId="4" borderId="1" applyNumberFormat="0" applyAlignment="0" applyProtection="0"/>
    <xf numFmtId="0" fontId="32" fillId="4" borderId="1" applyNumberFormat="0" applyAlignment="0" applyProtection="0"/>
    <xf numFmtId="0" fontId="32" fillId="4" borderId="1" applyNumberFormat="0" applyAlignment="0" applyProtection="0"/>
    <xf numFmtId="0" fontId="32" fillId="4" borderId="1" applyNumberFormat="0" applyAlignment="0" applyProtection="0"/>
    <xf numFmtId="0" fontId="32" fillId="4" borderId="1" applyNumberFormat="0" applyAlignment="0" applyProtection="0"/>
    <xf numFmtId="0" fontId="32" fillId="4" borderId="1" applyNumberFormat="0" applyAlignment="0" applyProtection="0"/>
    <xf numFmtId="0" fontId="32" fillId="4" borderId="1" applyNumberFormat="0" applyAlignment="0" applyProtection="0"/>
    <xf numFmtId="0" fontId="32" fillId="4" borderId="1" applyNumberFormat="0" applyAlignment="0" applyProtection="0"/>
    <xf numFmtId="0" fontId="32" fillId="4" borderId="1" applyNumberFormat="0" applyAlignment="0" applyProtection="0"/>
    <xf numFmtId="0" fontId="32" fillId="4" borderId="1" applyNumberFormat="0" applyAlignment="0" applyProtection="0"/>
    <xf numFmtId="0" fontId="32" fillId="4" borderId="1" applyNumberFormat="0" applyAlignment="0" applyProtection="0"/>
    <xf numFmtId="0" fontId="32" fillId="4" borderId="1" applyNumberFormat="0" applyAlignment="0" applyProtection="0"/>
    <xf numFmtId="0" fontId="68" fillId="5" borderId="12" applyNumberFormat="0" applyAlignment="0" applyProtection="0"/>
    <xf numFmtId="0" fontId="32" fillId="4" borderId="1" applyNumberFormat="0" applyAlignment="0" applyProtection="0"/>
    <xf numFmtId="0" fontId="32" fillId="4" borderId="1" applyNumberFormat="0" applyAlignment="0" applyProtection="0"/>
    <xf numFmtId="0" fontId="68" fillId="5" borderId="12" applyNumberFormat="0" applyAlignment="0" applyProtection="0"/>
    <xf numFmtId="0" fontId="32" fillId="4" borderId="1" applyNumberFormat="0" applyAlignment="0" applyProtection="0"/>
    <xf numFmtId="0" fontId="68" fillId="5" borderId="12" applyNumberFormat="0" applyAlignment="0" applyProtection="0"/>
    <xf numFmtId="0" fontId="68" fillId="5" borderId="12" applyNumberFormat="0" applyAlignment="0" applyProtection="0"/>
    <xf numFmtId="0" fontId="32" fillId="4" borderId="1" applyNumberFormat="0" applyAlignment="0" applyProtection="0"/>
    <xf numFmtId="0" fontId="32" fillId="4" borderId="1" applyNumberFormat="0" applyAlignment="0" applyProtection="0"/>
    <xf numFmtId="0" fontId="68" fillId="5" borderId="12" applyNumberFormat="0" applyAlignment="0" applyProtection="0"/>
    <xf numFmtId="0" fontId="68" fillId="5" borderId="12" applyNumberFormat="0" applyAlignment="0" applyProtection="0"/>
    <xf numFmtId="0" fontId="32" fillId="4" borderId="1" applyNumberFormat="0" applyAlignment="0" applyProtection="0"/>
    <xf numFmtId="0" fontId="68" fillId="5" borderId="12" applyNumberFormat="0" applyAlignment="0" applyProtection="0"/>
    <xf numFmtId="0" fontId="32" fillId="4" borderId="1" applyNumberFormat="0" applyAlignment="0" applyProtection="0"/>
    <xf numFmtId="0" fontId="68" fillId="5" borderId="12" applyNumberFormat="0" applyAlignment="0" applyProtection="0"/>
    <xf numFmtId="0" fontId="32" fillId="4" borderId="1" applyNumberFormat="0" applyAlignment="0" applyProtection="0"/>
    <xf numFmtId="0" fontId="32" fillId="4" borderId="1" applyNumberFormat="0" applyAlignment="0" applyProtection="0"/>
    <xf numFmtId="0" fontId="68" fillId="5" borderId="12" applyNumberFormat="0" applyAlignment="0" applyProtection="0"/>
    <xf numFmtId="0" fontId="32" fillId="4" borderId="1" applyNumberFormat="0" applyAlignment="0" applyProtection="0"/>
    <xf numFmtId="0" fontId="32" fillId="4" borderId="1" applyNumberFormat="0" applyAlignment="0" applyProtection="0"/>
    <xf numFmtId="0" fontId="68" fillId="5" borderId="12" applyNumberFormat="0" applyAlignment="0" applyProtection="0"/>
    <xf numFmtId="0" fontId="32" fillId="4" borderId="1" applyNumberFormat="0" applyAlignment="0" applyProtection="0"/>
    <xf numFmtId="0" fontId="32" fillId="4" borderId="1" applyNumberFormat="0" applyAlignment="0" applyProtection="0"/>
    <xf numFmtId="0" fontId="68" fillId="5" borderId="12" applyNumberFormat="0" applyAlignment="0" applyProtection="0"/>
    <xf numFmtId="0" fontId="32" fillId="4" borderId="1" applyNumberFormat="0" applyAlignment="0" applyProtection="0"/>
    <xf numFmtId="0" fontId="32" fillId="4" borderId="1" applyNumberFormat="0" applyAlignment="0" applyProtection="0"/>
    <xf numFmtId="0" fontId="68" fillId="5" borderId="12" applyNumberFormat="0" applyAlignment="0" applyProtection="0"/>
    <xf numFmtId="0" fontId="32" fillId="4" borderId="1" applyNumberFormat="0" applyAlignment="0" applyProtection="0"/>
    <xf numFmtId="0" fontId="32" fillId="4" borderId="1" applyNumberFormat="0" applyAlignment="0" applyProtection="0"/>
    <xf numFmtId="0" fontId="68" fillId="5" borderId="12" applyNumberFormat="0" applyAlignment="0" applyProtection="0"/>
    <xf numFmtId="0" fontId="32" fillId="4" borderId="1" applyNumberFormat="0" applyAlignment="0" applyProtection="0"/>
    <xf numFmtId="0" fontId="68" fillId="5" borderId="12" applyNumberFormat="0" applyAlignment="0" applyProtection="0"/>
    <xf numFmtId="0" fontId="68" fillId="5" borderId="12" applyNumberFormat="0" applyAlignment="0" applyProtection="0"/>
    <xf numFmtId="0" fontId="32" fillId="4" borderId="1" applyNumberFormat="0" applyAlignment="0" applyProtection="0"/>
    <xf numFmtId="0" fontId="32" fillId="4" borderId="1" applyNumberFormat="0" applyAlignment="0" applyProtection="0"/>
    <xf numFmtId="0" fontId="68" fillId="5" borderId="12" applyNumberFormat="0" applyAlignment="0" applyProtection="0"/>
    <xf numFmtId="0" fontId="32" fillId="4" borderId="1" applyNumberFormat="0" applyAlignment="0" applyProtection="0"/>
    <xf numFmtId="0" fontId="68" fillId="5" borderId="12" applyNumberFormat="0" applyAlignment="0" applyProtection="0"/>
    <xf numFmtId="0" fontId="68" fillId="5" borderId="12" applyNumberFormat="0" applyAlignment="0" applyProtection="0"/>
    <xf numFmtId="0" fontId="68" fillId="5" borderId="12" applyNumberFormat="0" applyAlignment="0" applyProtection="0"/>
    <xf numFmtId="0" fontId="68" fillId="5" borderId="12" applyNumberFormat="0" applyAlignment="0" applyProtection="0"/>
    <xf numFmtId="0" fontId="68" fillId="5" borderId="12" applyNumberFormat="0" applyAlignment="0" applyProtection="0"/>
    <xf numFmtId="0" fontId="68" fillId="5" borderId="12" applyNumberFormat="0" applyAlignment="0" applyProtection="0"/>
    <xf numFmtId="0" fontId="11" fillId="4" borderId="1" applyNumberFormat="0" applyAlignment="0" applyProtection="0"/>
    <xf numFmtId="0" fontId="32" fillId="4" borderId="1" applyNumberFormat="0" applyAlignment="0" applyProtection="0"/>
    <xf numFmtId="0" fontId="32" fillId="4" borderId="1" applyNumberFormat="0" applyAlignment="0" applyProtection="0"/>
    <xf numFmtId="0" fontId="32" fillId="4" borderId="1" applyNumberFormat="0" applyAlignment="0" applyProtection="0"/>
    <xf numFmtId="0" fontId="11" fillId="4" borderId="1" applyNumberFormat="0" applyAlignment="0" applyProtection="0"/>
    <xf numFmtId="0" fontId="69" fillId="80" borderId="13" applyNumberFormat="0" applyAlignment="0" applyProtection="0"/>
    <xf numFmtId="0" fontId="11" fillId="4" borderId="1" applyNumberFormat="0" applyAlignment="0" applyProtection="0"/>
    <xf numFmtId="0" fontId="32" fillId="4" borderId="1" applyNumberFormat="0" applyAlignment="0" applyProtection="0"/>
    <xf numFmtId="0" fontId="11" fillId="4" borderId="1" applyNumberFormat="0" applyAlignment="0" applyProtection="0"/>
    <xf numFmtId="0" fontId="32" fillId="4" borderId="1" applyNumberFormat="0" applyAlignment="0" applyProtection="0"/>
    <xf numFmtId="0" fontId="69" fillId="80" borderId="13" applyNumberFormat="0" applyAlignment="0" applyProtection="0"/>
    <xf numFmtId="0" fontId="32" fillId="4" borderId="1" applyNumberFormat="0" applyAlignment="0" applyProtection="0"/>
    <xf numFmtId="0" fontId="69" fillId="80" borderId="13" applyNumberFormat="0" applyAlignment="0" applyProtection="0"/>
    <xf numFmtId="0" fontId="32" fillId="4" borderId="1" applyNumberFormat="0" applyAlignment="0" applyProtection="0"/>
    <xf numFmtId="0" fontId="11" fillId="4" borderId="1" applyNumberFormat="0" applyAlignment="0" applyProtection="0"/>
    <xf numFmtId="0" fontId="32" fillId="4" borderId="1" applyNumberFormat="0" applyAlignment="0" applyProtection="0"/>
    <xf numFmtId="0" fontId="32" fillId="4" borderId="1" applyNumberFormat="0" applyAlignment="0" applyProtection="0"/>
    <xf numFmtId="0" fontId="11" fillId="4" borderId="1" applyNumberFormat="0" applyAlignment="0" applyProtection="0"/>
    <xf numFmtId="0" fontId="32" fillId="4" borderId="1" applyNumberFormat="0" applyAlignment="0" applyProtection="0"/>
    <xf numFmtId="0" fontId="32" fillId="4" borderId="1" applyNumberFormat="0" applyAlignment="0" applyProtection="0"/>
    <xf numFmtId="0" fontId="32" fillId="4" borderId="1" applyNumberFormat="0" applyAlignment="0" applyProtection="0"/>
    <xf numFmtId="0" fontId="32" fillId="4" borderId="1" applyNumberFormat="0" applyAlignment="0" applyProtection="0"/>
    <xf numFmtId="0" fontId="32" fillId="4" borderId="1" applyNumberFormat="0" applyAlignment="0" applyProtection="0"/>
    <xf numFmtId="0" fontId="32" fillId="4" borderId="1" applyNumberFormat="0" applyAlignment="0" applyProtection="0"/>
    <xf numFmtId="0" fontId="32" fillId="4" borderId="1" applyNumberFormat="0" applyAlignment="0" applyProtection="0"/>
    <xf numFmtId="0" fontId="32" fillId="4" borderId="1" applyNumberFormat="0" applyAlignment="0" applyProtection="0"/>
    <xf numFmtId="0" fontId="32" fillId="4" borderId="1" applyNumberFormat="0" applyAlignment="0" applyProtection="0"/>
    <xf numFmtId="0" fontId="32" fillId="4" borderId="1" applyNumberFormat="0" applyAlignment="0" applyProtection="0"/>
    <xf numFmtId="0" fontId="32" fillId="4" borderId="1" applyNumberFormat="0" applyAlignment="0" applyProtection="0"/>
    <xf numFmtId="0" fontId="32" fillId="4" borderId="1" applyNumberFormat="0" applyAlignment="0" applyProtection="0"/>
    <xf numFmtId="0" fontId="32" fillId="4" borderId="1" applyNumberFormat="0" applyAlignment="0" applyProtection="0"/>
    <xf numFmtId="0" fontId="11" fillId="4" borderId="1" applyNumberFormat="0" applyAlignment="0" applyProtection="0"/>
    <xf numFmtId="0" fontId="11" fillId="44" borderId="1" applyNumberFormat="0" applyAlignment="0" applyProtection="0"/>
    <xf numFmtId="0" fontId="32" fillId="4" borderId="1" applyNumberFormat="0" applyAlignment="0" applyProtection="0"/>
    <xf numFmtId="0" fontId="32" fillId="4" borderId="1" applyNumberFormat="0" applyAlignment="0" applyProtection="0"/>
    <xf numFmtId="0" fontId="32" fillId="4" borderId="1" applyNumberFormat="0" applyAlignment="0" applyProtection="0"/>
    <xf numFmtId="0" fontId="11" fillId="44" borderId="1" applyNumberFormat="0" applyAlignment="0" applyProtection="0"/>
    <xf numFmtId="0" fontId="32" fillId="4" borderId="1" applyNumberFormat="0" applyAlignment="0" applyProtection="0"/>
    <xf numFmtId="0" fontId="11" fillId="4" borderId="1" applyNumberFormat="0" applyAlignment="0" applyProtection="0"/>
    <xf numFmtId="0" fontId="32" fillId="4" borderId="1" applyNumberFormat="0" applyAlignment="0" applyProtection="0"/>
    <xf numFmtId="0" fontId="32" fillId="4" borderId="1" applyNumberFormat="0" applyAlignment="0" applyProtection="0"/>
    <xf numFmtId="0" fontId="11" fillId="4" borderId="1" applyNumberFormat="0" applyAlignment="0" applyProtection="0"/>
    <xf numFmtId="0" fontId="32" fillId="4" borderId="1" applyNumberFormat="0" applyAlignment="0" applyProtection="0"/>
    <xf numFmtId="0" fontId="11" fillId="44" borderId="1" applyNumberFormat="0" applyAlignment="0" applyProtection="0"/>
    <xf numFmtId="0" fontId="32" fillId="4" borderId="1" applyNumberFormat="0" applyAlignment="0" applyProtection="0"/>
    <xf numFmtId="0" fontId="32" fillId="4" borderId="1" applyNumberFormat="0" applyAlignment="0" applyProtection="0"/>
    <xf numFmtId="0" fontId="32" fillId="4" borderId="1" applyNumberFormat="0" applyAlignment="0" applyProtection="0"/>
    <xf numFmtId="0" fontId="32" fillId="4" borderId="1" applyNumberFormat="0" applyAlignment="0" applyProtection="0"/>
    <xf numFmtId="0" fontId="32" fillId="4" borderId="1" applyNumberFormat="0" applyAlignment="0" applyProtection="0"/>
    <xf numFmtId="0" fontId="32" fillId="4" borderId="1" applyNumberFormat="0" applyAlignment="0" applyProtection="0"/>
    <xf numFmtId="0" fontId="32" fillId="4" borderId="1" applyNumberFormat="0" applyAlignment="0" applyProtection="0"/>
    <xf numFmtId="0" fontId="32" fillId="4" borderId="1" applyNumberFormat="0" applyAlignment="0" applyProtection="0"/>
    <xf numFmtId="0" fontId="32" fillId="4" borderId="1" applyNumberFormat="0" applyAlignment="0" applyProtection="0"/>
    <xf numFmtId="0" fontId="32" fillId="4" borderId="1" applyNumberFormat="0" applyAlignment="0" applyProtection="0"/>
    <xf numFmtId="0" fontId="32" fillId="4" borderId="1" applyNumberFormat="0" applyAlignment="0" applyProtection="0"/>
    <xf numFmtId="0" fontId="32" fillId="4" borderId="1" applyNumberFormat="0" applyAlignment="0" applyProtection="0"/>
    <xf numFmtId="0" fontId="32" fillId="4" borderId="1" applyNumberFormat="0" applyAlignment="0" applyProtection="0"/>
    <xf numFmtId="0" fontId="32" fillId="4" borderId="1" applyNumberFormat="0" applyAlignment="0" applyProtection="0"/>
    <xf numFmtId="0" fontId="32" fillId="4" borderId="1" applyNumberFormat="0" applyAlignment="0" applyProtection="0"/>
    <xf numFmtId="0" fontId="32" fillId="4" borderId="1" applyNumberFormat="0" applyAlignment="0" applyProtection="0"/>
    <xf numFmtId="0" fontId="32" fillId="4" borderId="1" applyNumberFormat="0" applyAlignment="0" applyProtection="0"/>
    <xf numFmtId="0" fontId="32" fillId="4" borderId="1" applyNumberFormat="0" applyAlignment="0" applyProtection="0"/>
    <xf numFmtId="0" fontId="32" fillId="4" borderId="1" applyNumberFormat="0" applyAlignment="0" applyProtection="0"/>
    <xf numFmtId="0" fontId="32" fillId="4" borderId="1" applyNumberFormat="0" applyAlignment="0" applyProtection="0"/>
    <xf numFmtId="0" fontId="32" fillId="4" borderId="1" applyNumberFormat="0" applyAlignment="0" applyProtection="0"/>
    <xf numFmtId="0" fontId="32" fillId="4" borderId="1" applyNumberFormat="0" applyAlignment="0" applyProtection="0"/>
    <xf numFmtId="0" fontId="32" fillId="4" borderId="1" applyNumberFormat="0" applyAlignment="0" applyProtection="0"/>
    <xf numFmtId="0" fontId="32" fillId="4" borderId="1" applyNumberFormat="0" applyAlignment="0" applyProtection="0"/>
    <xf numFmtId="0" fontId="32" fillId="4" borderId="1" applyNumberFormat="0" applyAlignment="0" applyProtection="0"/>
    <xf numFmtId="0" fontId="32" fillId="4" borderId="1" applyNumberFormat="0" applyAlignment="0" applyProtection="0"/>
    <xf numFmtId="0" fontId="32" fillId="4" borderId="1" applyNumberFormat="0" applyAlignment="0" applyProtection="0"/>
    <xf numFmtId="0" fontId="32" fillId="4" borderId="1" applyNumberFormat="0" applyAlignment="0" applyProtection="0"/>
    <xf numFmtId="0" fontId="32" fillId="4" borderId="1" applyNumberFormat="0" applyAlignment="0" applyProtection="0"/>
    <xf numFmtId="0" fontId="32" fillId="4" borderId="1" applyNumberFormat="0" applyAlignment="0" applyProtection="0"/>
    <xf numFmtId="0" fontId="32" fillId="4" borderId="1" applyNumberFormat="0" applyAlignment="0" applyProtection="0"/>
    <xf numFmtId="0" fontId="32" fillId="4" borderId="1" applyNumberFormat="0" applyAlignment="0" applyProtection="0"/>
    <xf numFmtId="0" fontId="32" fillId="4" borderId="1" applyNumberFormat="0" applyAlignment="0" applyProtection="0"/>
    <xf numFmtId="0" fontId="11" fillId="4" borderId="1" applyNumberFormat="0" applyAlignment="0" applyProtection="0"/>
    <xf numFmtId="0" fontId="32" fillId="4" borderId="1" applyNumberFormat="0" applyAlignment="0" applyProtection="0"/>
    <xf numFmtId="0" fontId="32" fillId="4" borderId="1" applyNumberFormat="0" applyAlignment="0" applyProtection="0"/>
    <xf numFmtId="0" fontId="32" fillId="4" borderId="1" applyNumberFormat="0" applyAlignment="0" applyProtection="0"/>
    <xf numFmtId="0" fontId="11" fillId="4" borderId="1" applyNumberFormat="0" applyAlignment="0" applyProtection="0"/>
    <xf numFmtId="0" fontId="32" fillId="4" borderId="1" applyNumberFormat="0" applyAlignment="0" applyProtection="0"/>
    <xf numFmtId="0" fontId="32" fillId="4" borderId="1" applyNumberFormat="0" applyAlignment="0" applyProtection="0"/>
    <xf numFmtId="0" fontId="32" fillId="4" borderId="1" applyNumberFormat="0" applyAlignment="0" applyProtection="0"/>
    <xf numFmtId="0" fontId="32" fillId="4" borderId="1" applyNumberFormat="0" applyAlignment="0" applyProtection="0"/>
    <xf numFmtId="0" fontId="32" fillId="4" borderId="1" applyNumberFormat="0" applyAlignment="0" applyProtection="0"/>
    <xf numFmtId="0" fontId="32" fillId="4" borderId="1" applyNumberFormat="0" applyAlignment="0" applyProtection="0"/>
    <xf numFmtId="0" fontId="32" fillId="4" borderId="1" applyNumberFormat="0" applyAlignment="0" applyProtection="0"/>
    <xf numFmtId="0" fontId="32" fillId="4" borderId="1" applyNumberFormat="0" applyAlignment="0" applyProtection="0"/>
    <xf numFmtId="0" fontId="32" fillId="4" borderId="1" applyNumberFormat="0" applyAlignment="0" applyProtection="0"/>
    <xf numFmtId="0" fontId="32" fillId="4" borderId="1" applyNumberFormat="0" applyAlignment="0" applyProtection="0"/>
    <xf numFmtId="0" fontId="32" fillId="4" borderId="1" applyNumberFormat="0" applyAlignment="0" applyProtection="0"/>
    <xf numFmtId="0" fontId="32" fillId="4" borderId="1" applyNumberFormat="0" applyAlignment="0" applyProtection="0"/>
    <xf numFmtId="0" fontId="32" fillId="4" borderId="1" applyNumberFormat="0" applyAlignment="0" applyProtection="0"/>
    <xf numFmtId="0" fontId="32" fillId="4" borderId="1" applyNumberFormat="0" applyAlignment="0" applyProtection="0"/>
    <xf numFmtId="0" fontId="32" fillId="4" borderId="1" applyNumberFormat="0" applyAlignment="0" applyProtection="0"/>
    <xf numFmtId="0" fontId="32" fillId="4" borderId="1" applyNumberFormat="0" applyAlignment="0" applyProtection="0"/>
    <xf numFmtId="0" fontId="32" fillId="4" borderId="1" applyNumberFormat="0" applyAlignment="0" applyProtection="0"/>
    <xf numFmtId="0" fontId="11" fillId="44" borderId="1" applyNumberFormat="0" applyAlignment="0" applyProtection="0"/>
    <xf numFmtId="0" fontId="32" fillId="4" borderId="1" applyNumberFormat="0" applyAlignment="0" applyProtection="0"/>
    <xf numFmtId="0" fontId="32" fillId="4" borderId="1" applyNumberFormat="0" applyAlignment="0" applyProtection="0"/>
    <xf numFmtId="0" fontId="32" fillId="4" borderId="1" applyNumberFormat="0" applyAlignment="0" applyProtection="0"/>
    <xf numFmtId="0" fontId="11" fillId="44" borderId="1" applyNumberFormat="0" applyAlignment="0" applyProtection="0"/>
    <xf numFmtId="0" fontId="32" fillId="4" borderId="1" applyNumberFormat="0" applyAlignment="0" applyProtection="0"/>
    <xf numFmtId="0" fontId="68" fillId="5" borderId="12" applyNumberFormat="0" applyAlignment="0" applyProtection="0"/>
    <xf numFmtId="0" fontId="32" fillId="4" borderId="1" applyNumberFormat="0" applyAlignment="0" applyProtection="0"/>
    <xf numFmtId="0" fontId="32" fillId="4" borderId="1" applyNumberFormat="0" applyAlignment="0" applyProtection="0"/>
    <xf numFmtId="0" fontId="11" fillId="44" borderId="1" applyNumberFormat="0" applyAlignment="0" applyProtection="0"/>
    <xf numFmtId="0" fontId="32" fillId="4" borderId="1" applyNumberFormat="0" applyAlignment="0" applyProtection="0"/>
    <xf numFmtId="0" fontId="32" fillId="4" borderId="1" applyNumberFormat="0" applyAlignment="0" applyProtection="0"/>
    <xf numFmtId="0" fontId="32" fillId="4" borderId="1" applyNumberFormat="0" applyAlignment="0" applyProtection="0"/>
    <xf numFmtId="0" fontId="32" fillId="4" borderId="1" applyNumberFormat="0" applyAlignment="0" applyProtection="0"/>
    <xf numFmtId="0" fontId="32" fillId="4" borderId="1" applyNumberFormat="0" applyAlignment="0" applyProtection="0"/>
    <xf numFmtId="0" fontId="32" fillId="4" borderId="1" applyNumberFormat="0" applyAlignment="0" applyProtection="0"/>
    <xf numFmtId="0" fontId="32" fillId="4" borderId="1" applyNumberFormat="0" applyAlignment="0" applyProtection="0"/>
    <xf numFmtId="0" fontId="32" fillId="4" borderId="1" applyNumberFormat="0" applyAlignment="0" applyProtection="0"/>
    <xf numFmtId="0" fontId="32" fillId="4" borderId="1" applyNumberFormat="0" applyAlignment="0" applyProtection="0"/>
    <xf numFmtId="0" fontId="32" fillId="4" borderId="1" applyNumberFormat="0" applyAlignment="0" applyProtection="0"/>
    <xf numFmtId="0" fontId="32" fillId="4" borderId="1" applyNumberFormat="0" applyAlignment="0" applyProtection="0"/>
    <xf numFmtId="0" fontId="32" fillId="4" borderId="1" applyNumberFormat="0" applyAlignment="0" applyProtection="0"/>
    <xf numFmtId="0" fontId="32" fillId="4" borderId="1" applyNumberFormat="0" applyAlignment="0" applyProtection="0"/>
    <xf numFmtId="0" fontId="32" fillId="4" borderId="1" applyNumberFormat="0" applyAlignment="0" applyProtection="0"/>
    <xf numFmtId="0" fontId="11" fillId="44" borderId="1" applyNumberFormat="0" applyAlignment="0" applyProtection="0"/>
    <xf numFmtId="0" fontId="32" fillId="4" borderId="1" applyNumberFormat="0" applyAlignment="0" applyProtection="0"/>
    <xf numFmtId="0" fontId="32" fillId="4" borderId="1" applyNumberFormat="0" applyAlignment="0" applyProtection="0"/>
    <xf numFmtId="0" fontId="32" fillId="4" borderId="1" applyNumberFormat="0" applyAlignment="0" applyProtection="0"/>
    <xf numFmtId="0" fontId="11" fillId="44" borderId="1" applyNumberFormat="0" applyAlignment="0" applyProtection="0"/>
    <xf numFmtId="0" fontId="32" fillId="4" borderId="1" applyNumberFormat="0" applyAlignment="0" applyProtection="0"/>
    <xf numFmtId="0" fontId="68" fillId="5" borderId="12" applyNumberFormat="0" applyAlignment="0" applyProtection="0"/>
    <xf numFmtId="0" fontId="32" fillId="4" borderId="1" applyNumberFormat="0" applyAlignment="0" applyProtection="0"/>
    <xf numFmtId="0" fontId="32" fillId="4" borderId="1" applyNumberFormat="0" applyAlignment="0" applyProtection="0"/>
    <xf numFmtId="0" fontId="11" fillId="44" borderId="1" applyNumberFormat="0" applyAlignment="0" applyProtection="0"/>
    <xf numFmtId="0" fontId="32" fillId="4" borderId="1" applyNumberFormat="0" applyAlignment="0" applyProtection="0"/>
    <xf numFmtId="0" fontId="32" fillId="4" borderId="1" applyNumberFormat="0" applyAlignment="0" applyProtection="0"/>
    <xf numFmtId="0" fontId="32" fillId="4" borderId="1" applyNumberFormat="0" applyAlignment="0" applyProtection="0"/>
    <xf numFmtId="0" fontId="32" fillId="4" borderId="1" applyNumberFormat="0" applyAlignment="0" applyProtection="0"/>
    <xf numFmtId="0" fontId="32" fillId="4" borderId="1" applyNumberFormat="0" applyAlignment="0" applyProtection="0"/>
    <xf numFmtId="0" fontId="32" fillId="4" borderId="1" applyNumberFormat="0" applyAlignment="0" applyProtection="0"/>
    <xf numFmtId="0" fontId="32" fillId="4" borderId="1" applyNumberFormat="0" applyAlignment="0" applyProtection="0"/>
    <xf numFmtId="0" fontId="32" fillId="4" borderId="1" applyNumberFormat="0" applyAlignment="0" applyProtection="0"/>
    <xf numFmtId="0" fontId="32" fillId="4" borderId="1" applyNumberFormat="0" applyAlignment="0" applyProtection="0"/>
    <xf numFmtId="0" fontId="32" fillId="4" borderId="1" applyNumberFormat="0" applyAlignment="0" applyProtection="0"/>
    <xf numFmtId="0" fontId="32" fillId="4" borderId="1" applyNumberFormat="0" applyAlignment="0" applyProtection="0"/>
    <xf numFmtId="0" fontId="32" fillId="4" borderId="1" applyNumberFormat="0" applyAlignment="0" applyProtection="0"/>
    <xf numFmtId="0" fontId="32" fillId="4" borderId="1" applyNumberFormat="0" applyAlignment="0" applyProtection="0"/>
    <xf numFmtId="0" fontId="32" fillId="4" borderId="1" applyNumberFormat="0" applyAlignment="0" applyProtection="0"/>
    <xf numFmtId="0" fontId="11" fillId="44" borderId="1" applyNumberFormat="0" applyAlignment="0" applyProtection="0"/>
    <xf numFmtId="0" fontId="32" fillId="4" borderId="1" applyNumberFormat="0" applyAlignment="0" applyProtection="0"/>
    <xf numFmtId="0" fontId="32" fillId="4" borderId="1" applyNumberFormat="0" applyAlignment="0" applyProtection="0"/>
    <xf numFmtId="0" fontId="32" fillId="4" borderId="1" applyNumberFormat="0" applyAlignment="0" applyProtection="0"/>
    <xf numFmtId="0" fontId="11" fillId="44" borderId="1" applyNumberFormat="0" applyAlignment="0" applyProtection="0"/>
    <xf numFmtId="0" fontId="32" fillId="4" borderId="1" applyNumberFormat="0" applyAlignment="0" applyProtection="0"/>
    <xf numFmtId="0" fontId="68" fillId="5" borderId="12" applyNumberFormat="0" applyAlignment="0" applyProtection="0"/>
    <xf numFmtId="0" fontId="32" fillId="4" borderId="1" applyNumberFormat="0" applyAlignment="0" applyProtection="0"/>
    <xf numFmtId="0" fontId="32" fillId="4" borderId="1" applyNumberFormat="0" applyAlignment="0" applyProtection="0"/>
    <xf numFmtId="0" fontId="11" fillId="44" borderId="1" applyNumberFormat="0" applyAlignment="0" applyProtection="0"/>
    <xf numFmtId="0" fontId="32" fillId="4" borderId="1" applyNumberFormat="0" applyAlignment="0" applyProtection="0"/>
    <xf numFmtId="0" fontId="32" fillId="4" borderId="1" applyNumberFormat="0" applyAlignment="0" applyProtection="0"/>
    <xf numFmtId="0" fontId="32" fillId="4" borderId="1" applyNumberFormat="0" applyAlignment="0" applyProtection="0"/>
    <xf numFmtId="0" fontId="32" fillId="4" borderId="1" applyNumberFormat="0" applyAlignment="0" applyProtection="0"/>
    <xf numFmtId="0" fontId="32" fillId="4" borderId="1" applyNumberFormat="0" applyAlignment="0" applyProtection="0"/>
    <xf numFmtId="0" fontId="32" fillId="4" borderId="1" applyNumberFormat="0" applyAlignment="0" applyProtection="0"/>
    <xf numFmtId="0" fontId="32" fillId="4" borderId="1" applyNumberFormat="0" applyAlignment="0" applyProtection="0"/>
    <xf numFmtId="0" fontId="32" fillId="4" borderId="1" applyNumberFormat="0" applyAlignment="0" applyProtection="0"/>
    <xf numFmtId="0" fontId="32" fillId="4" borderId="1" applyNumberFormat="0" applyAlignment="0" applyProtection="0"/>
    <xf numFmtId="0" fontId="32" fillId="4" borderId="1" applyNumberFormat="0" applyAlignment="0" applyProtection="0"/>
    <xf numFmtId="0" fontId="32" fillId="4" borderId="1" applyNumberFormat="0" applyAlignment="0" applyProtection="0"/>
    <xf numFmtId="0" fontId="32" fillId="4" borderId="1" applyNumberFormat="0" applyAlignment="0" applyProtection="0"/>
    <xf numFmtId="0" fontId="32" fillId="4" borderId="1" applyNumberFormat="0" applyAlignment="0" applyProtection="0"/>
    <xf numFmtId="0" fontId="32" fillId="4" borderId="1" applyNumberFormat="0" applyAlignment="0" applyProtection="0"/>
    <xf numFmtId="0" fontId="68" fillId="5" borderId="12" applyNumberFormat="0" applyAlignment="0" applyProtection="0"/>
    <xf numFmtId="0" fontId="32" fillId="4" borderId="1" applyNumberFormat="0" applyAlignment="0" applyProtection="0"/>
    <xf numFmtId="0" fontId="32" fillId="4" borderId="1" applyNumberFormat="0" applyAlignment="0" applyProtection="0"/>
    <xf numFmtId="0" fontId="32" fillId="4" borderId="1" applyNumberFormat="0" applyAlignment="0" applyProtection="0"/>
    <xf numFmtId="0" fontId="68" fillId="5" borderId="12" applyNumberFormat="0" applyAlignment="0" applyProtection="0"/>
    <xf numFmtId="0" fontId="32" fillId="4" borderId="1" applyNumberFormat="0" applyAlignment="0" applyProtection="0"/>
    <xf numFmtId="0" fontId="32" fillId="4" borderId="1" applyNumberFormat="0" applyAlignment="0" applyProtection="0"/>
    <xf numFmtId="0" fontId="32" fillId="4" borderId="1" applyNumberFormat="0" applyAlignment="0" applyProtection="0"/>
    <xf numFmtId="0" fontId="32" fillId="4" borderId="1" applyNumberFormat="0" applyAlignment="0" applyProtection="0"/>
    <xf numFmtId="0" fontId="32" fillId="4" borderId="1" applyNumberFormat="0" applyAlignment="0" applyProtection="0"/>
    <xf numFmtId="0" fontId="32" fillId="4" borderId="1" applyNumberFormat="0" applyAlignment="0" applyProtection="0"/>
    <xf numFmtId="0" fontId="32" fillId="4" borderId="1" applyNumberFormat="0" applyAlignment="0" applyProtection="0"/>
    <xf numFmtId="0" fontId="32" fillId="4" borderId="1" applyNumberFormat="0" applyAlignment="0" applyProtection="0"/>
    <xf numFmtId="0" fontId="32" fillId="4" borderId="1" applyNumberFormat="0" applyAlignment="0" applyProtection="0"/>
    <xf numFmtId="0" fontId="32" fillId="4" borderId="1" applyNumberFormat="0" applyAlignment="0" applyProtection="0"/>
    <xf numFmtId="0" fontId="32" fillId="4" borderId="1" applyNumberFormat="0" applyAlignment="0" applyProtection="0"/>
    <xf numFmtId="0" fontId="32" fillId="4" borderId="1" applyNumberFormat="0" applyAlignment="0" applyProtection="0"/>
    <xf numFmtId="0" fontId="32" fillId="4" borderId="1" applyNumberFormat="0" applyAlignment="0" applyProtection="0"/>
    <xf numFmtId="0" fontId="32" fillId="4" borderId="1" applyNumberFormat="0" applyAlignment="0" applyProtection="0"/>
    <xf numFmtId="0" fontId="32" fillId="4" borderId="1" applyNumberFormat="0" applyAlignment="0" applyProtection="0"/>
    <xf numFmtId="0" fontId="32" fillId="4" borderId="1" applyNumberFormat="0" applyAlignment="0" applyProtection="0"/>
    <xf numFmtId="0" fontId="32" fillId="4" borderId="1" applyNumberFormat="0" applyAlignment="0" applyProtection="0"/>
    <xf numFmtId="168" fontId="3" fillId="45" borderId="2">
      <alignment horizontal="right" vertical="top"/>
    </xf>
    <xf numFmtId="0" fontId="3" fillId="45" borderId="2">
      <alignment horizontal="left" indent="5"/>
    </xf>
    <xf numFmtId="168" fontId="3" fillId="45" borderId="3" applyNumberFormat="0">
      <alignment horizontal="right" vertical="top"/>
    </xf>
    <xf numFmtId="0" fontId="3" fillId="45" borderId="3">
      <alignment horizontal="left" indent="3"/>
    </xf>
    <xf numFmtId="168" fontId="2" fillId="45" borderId="3" applyNumberFormat="0">
      <alignment horizontal="right" vertical="top"/>
    </xf>
    <xf numFmtId="0" fontId="2" fillId="45" borderId="3">
      <alignment horizontal="left" indent="1"/>
    </xf>
    <xf numFmtId="0" fontId="2" fillId="45" borderId="3">
      <alignment horizontal="right" vertical="top"/>
    </xf>
    <xf numFmtId="0" fontId="2" fillId="45" borderId="3">
      <alignment horizontal="left" indent="2"/>
    </xf>
    <xf numFmtId="168" fontId="3" fillId="45" borderId="3" applyNumberFormat="0">
      <alignment horizontal="right" vertical="top"/>
    </xf>
    <xf numFmtId="0" fontId="3" fillId="45" borderId="3">
      <alignment horizontal="left" indent="3"/>
    </xf>
    <xf numFmtId="0" fontId="27" fillId="81" borderId="14" applyNumberFormat="0" applyFont="0" applyAlignment="0" applyProtection="0"/>
    <xf numFmtId="0" fontId="27" fillId="81" borderId="14" applyNumberFormat="0" applyFont="0" applyAlignment="0" applyProtection="0"/>
    <xf numFmtId="0" fontId="27" fillId="81" borderId="14" applyNumberFormat="0" applyFont="0" applyAlignment="0" applyProtection="0"/>
    <xf numFmtId="0" fontId="27" fillId="81" borderId="14" applyNumberFormat="0" applyFont="0" applyAlignment="0" applyProtection="0"/>
    <xf numFmtId="0" fontId="70" fillId="82" borderId="15" applyNumberFormat="0" applyAlignment="0" applyProtection="0"/>
    <xf numFmtId="0" fontId="12" fillId="32" borderId="4" applyNumberFormat="0" applyAlignment="0" applyProtection="0"/>
    <xf numFmtId="0" fontId="71" fillId="83" borderId="16" applyNumberFormat="0" applyAlignment="0" applyProtection="0"/>
    <xf numFmtId="0" fontId="12" fillId="32" borderId="4" applyNumberFormat="0" applyAlignment="0" applyProtection="0"/>
    <xf numFmtId="0" fontId="71" fillId="83" borderId="16" applyNumberFormat="0" applyAlignment="0" applyProtection="0"/>
    <xf numFmtId="0" fontId="12" fillId="32" borderId="4" applyNumberFormat="0" applyAlignment="0" applyProtection="0"/>
    <xf numFmtId="0" fontId="28" fillId="32" borderId="4" applyNumberFormat="0" applyAlignment="0" applyProtection="0"/>
    <xf numFmtId="0" fontId="12" fillId="32" borderId="4" applyNumberFormat="0" applyAlignment="0" applyProtection="0"/>
    <xf numFmtId="0" fontId="12" fillId="32" borderId="4" applyNumberFormat="0" applyAlignment="0" applyProtection="0"/>
    <xf numFmtId="0" fontId="12" fillId="46" borderId="4" applyNumberFormat="0" applyAlignment="0" applyProtection="0"/>
    <xf numFmtId="0" fontId="12" fillId="32" borderId="4" applyNumberFormat="0" applyAlignment="0" applyProtection="0"/>
    <xf numFmtId="0" fontId="12" fillId="46" borderId="4" applyNumberFormat="0" applyAlignment="0" applyProtection="0"/>
    <xf numFmtId="0" fontId="28" fillId="32" borderId="4" applyNumberFormat="0" applyAlignment="0" applyProtection="0"/>
    <xf numFmtId="0" fontId="12" fillId="46" borderId="4" applyNumberFormat="0" applyAlignment="0" applyProtection="0"/>
    <xf numFmtId="0" fontId="28" fillId="32" borderId="4" applyNumberFormat="0" applyAlignment="0" applyProtection="0"/>
    <xf numFmtId="0" fontId="28" fillId="32" borderId="4" applyNumberFormat="0" applyAlignment="0" applyProtection="0"/>
    <xf numFmtId="0" fontId="12" fillId="32" borderId="4" applyNumberFormat="0" applyAlignment="0" applyProtection="0"/>
    <xf numFmtId="0" fontId="12" fillId="46" borderId="4" applyNumberFormat="0" applyAlignment="0" applyProtection="0"/>
    <xf numFmtId="0" fontId="12" fillId="46" borderId="4" applyNumberFormat="0" applyAlignment="0" applyProtection="0"/>
    <xf numFmtId="0" fontId="12" fillId="46" borderId="4" applyNumberForma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164" fontId="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54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44" fontId="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44" fontId="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0" fontId="3" fillId="0" borderId="0"/>
    <xf numFmtId="0" fontId="30" fillId="0" borderId="0">
      <alignment horizontal="left"/>
      <protection hidden="1"/>
    </xf>
    <xf numFmtId="0" fontId="23" fillId="47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0" fontId="7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43" fillId="0" borderId="0" applyNumberFormat="0" applyFill="0" applyBorder="0" applyAlignment="0" applyProtection="0">
      <alignment vertical="top"/>
      <protection locked="0"/>
    </xf>
    <xf numFmtId="0" fontId="49" fillId="0" borderId="0" applyNumberFormat="0" applyFill="0" applyBorder="0" applyAlignment="0" applyProtection="0"/>
    <xf numFmtId="0" fontId="43" fillId="0" borderId="0" applyNumberFormat="0" applyFill="0" applyBorder="0" applyAlignment="0" applyProtection="0">
      <alignment vertical="top"/>
      <protection locked="0"/>
    </xf>
    <xf numFmtId="0" fontId="49" fillId="0" borderId="0" applyNumberFormat="0" applyFill="0" applyBorder="0" applyAlignment="0" applyProtection="0"/>
    <xf numFmtId="0" fontId="45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5" fillId="0" borderId="0" applyNumberFormat="0" applyFill="0" applyBorder="0" applyAlignment="0" applyProtection="0">
      <alignment vertical="top"/>
      <protection locked="0"/>
    </xf>
    <xf numFmtId="0" fontId="45" fillId="0" borderId="0" applyNumberFormat="0" applyFill="0" applyBorder="0" applyAlignment="0" applyProtection="0">
      <alignment vertical="top"/>
      <protection locked="0"/>
    </xf>
    <xf numFmtId="0" fontId="45" fillId="0" borderId="0" applyNumberFormat="0" applyFill="0" applyBorder="0" applyAlignment="0" applyProtection="0">
      <alignment vertical="top"/>
      <protection locked="0"/>
    </xf>
    <xf numFmtId="0" fontId="45" fillId="0" borderId="0" applyNumberFormat="0" applyFill="0" applyBorder="0" applyAlignment="0" applyProtection="0">
      <alignment vertical="top"/>
      <protection locked="0"/>
    </xf>
    <xf numFmtId="0" fontId="45" fillId="0" borderId="0" applyNumberFormat="0" applyFill="0" applyBorder="0" applyAlignment="0" applyProtection="0">
      <alignment vertical="top"/>
      <protection locked="0"/>
    </xf>
    <xf numFmtId="0" fontId="45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5" fillId="0" borderId="0" applyNumberFormat="0" applyFill="0" applyBorder="0" applyAlignment="0" applyProtection="0">
      <alignment vertical="top"/>
      <protection locked="0"/>
    </xf>
    <xf numFmtId="0" fontId="45" fillId="0" borderId="0" applyNumberFormat="0" applyFill="0" applyBorder="0" applyAlignment="0" applyProtection="0">
      <alignment vertical="top"/>
      <protection locked="0"/>
    </xf>
    <xf numFmtId="0" fontId="45" fillId="0" borderId="0" applyNumberFormat="0" applyFill="0" applyBorder="0" applyAlignment="0" applyProtection="0">
      <alignment vertical="top"/>
      <protection locked="0"/>
    </xf>
    <xf numFmtId="3" fontId="38" fillId="0" borderId="0"/>
    <xf numFmtId="0" fontId="75" fillId="84" borderId="0" applyNumberFormat="0" applyBorder="0" applyAlignment="0" applyProtection="0"/>
    <xf numFmtId="0" fontId="14" fillId="9" borderId="0" applyNumberFormat="0" applyBorder="0" applyAlignment="0" applyProtection="0"/>
    <xf numFmtId="0" fontId="76" fillId="52" borderId="0" applyNumberFormat="0" applyBorder="0" applyAlignment="0" applyProtection="0"/>
    <xf numFmtId="0" fontId="14" fillId="9" borderId="0" applyNumberFormat="0" applyBorder="0" applyAlignment="0" applyProtection="0"/>
    <xf numFmtId="0" fontId="76" fillId="52" borderId="0" applyNumberFormat="0" applyBorder="0" applyAlignment="0" applyProtection="0"/>
    <xf numFmtId="0" fontId="14" fillId="9" borderId="0" applyNumberFormat="0" applyBorder="0" applyAlignment="0" applyProtection="0"/>
    <xf numFmtId="0" fontId="3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34" fillId="9" borderId="0" applyNumberFormat="0" applyBorder="0" applyAlignment="0" applyProtection="0"/>
    <xf numFmtId="0" fontId="14" fillId="10" borderId="0" applyNumberFormat="0" applyBorder="0" applyAlignment="0" applyProtection="0"/>
    <xf numFmtId="0" fontId="34" fillId="9" borderId="0" applyNumberFormat="0" applyBorder="0" applyAlignment="0" applyProtection="0"/>
    <xf numFmtId="0" fontId="34" fillId="9" borderId="0" applyNumberFormat="0" applyBorder="0" applyAlignment="0" applyProtection="0"/>
    <xf numFmtId="0" fontId="14" fillId="9" borderId="0" applyNumberFormat="0" applyBorder="0" applyAlignment="0" applyProtection="0"/>
    <xf numFmtId="0" fontId="75" fillId="84" borderId="0" applyNumberFormat="0" applyBorder="0" applyAlignment="0" applyProtection="0"/>
    <xf numFmtId="1" fontId="77" fillId="85" borderId="17" applyProtection="0">
      <alignment horizontal="center" wrapText="1"/>
    </xf>
    <xf numFmtId="0" fontId="78" fillId="0" borderId="18" applyNumberFormat="0" applyFill="0" applyAlignment="0" applyProtection="0"/>
    <xf numFmtId="0" fontId="78" fillId="0" borderId="18" applyNumberFormat="0" applyFill="0" applyAlignment="0" applyProtection="0"/>
    <xf numFmtId="0" fontId="46" fillId="0" borderId="6" applyNumberFormat="0" applyFill="0" applyAlignment="0" applyProtection="0"/>
    <xf numFmtId="0" fontId="78" fillId="0" borderId="18" applyNumberFormat="0" applyFill="0" applyAlignment="0" applyProtection="0"/>
    <xf numFmtId="0" fontId="78" fillId="0" borderId="18" applyNumberFormat="0" applyFill="0" applyAlignment="0" applyProtection="0"/>
    <xf numFmtId="0" fontId="78" fillId="0" borderId="18" applyNumberFormat="0" applyFill="0" applyAlignment="0" applyProtection="0"/>
    <xf numFmtId="0" fontId="78" fillId="0" borderId="18" applyNumberFormat="0" applyFill="0" applyAlignment="0" applyProtection="0"/>
    <xf numFmtId="0" fontId="78" fillId="0" borderId="18" applyNumberFormat="0" applyFill="0" applyAlignment="0" applyProtection="0"/>
    <xf numFmtId="0" fontId="78" fillId="0" borderId="18" applyNumberFormat="0" applyFill="0" applyAlignment="0" applyProtection="0"/>
    <xf numFmtId="0" fontId="78" fillId="0" borderId="18" applyNumberFormat="0" applyFill="0" applyAlignment="0" applyProtection="0"/>
    <xf numFmtId="0" fontId="78" fillId="0" borderId="18" applyNumberFormat="0" applyFill="0" applyAlignment="0" applyProtection="0"/>
    <xf numFmtId="0" fontId="78" fillId="0" borderId="18" applyNumberFormat="0" applyFill="0" applyAlignment="0" applyProtection="0"/>
    <xf numFmtId="0" fontId="78" fillId="0" borderId="18" applyNumberFormat="0" applyFill="0" applyAlignment="0" applyProtection="0"/>
    <xf numFmtId="0" fontId="46" fillId="0" borderId="6" applyNumberFormat="0" applyFill="0" applyAlignment="0" applyProtection="0"/>
    <xf numFmtId="0" fontId="78" fillId="0" borderId="18" applyNumberFormat="0" applyFill="0" applyAlignment="0" applyProtection="0"/>
    <xf numFmtId="0" fontId="78" fillId="0" borderId="18" applyNumberFormat="0" applyFill="0" applyAlignment="0" applyProtection="0"/>
    <xf numFmtId="0" fontId="78" fillId="0" borderId="18" applyNumberFormat="0" applyFill="0" applyAlignment="0" applyProtection="0"/>
    <xf numFmtId="0" fontId="78" fillId="0" borderId="18" applyNumberFormat="0" applyFill="0" applyAlignment="0" applyProtection="0"/>
    <xf numFmtId="0" fontId="78" fillId="0" borderId="18" applyNumberFormat="0" applyFill="0" applyAlignment="0" applyProtection="0"/>
    <xf numFmtId="0" fontId="78" fillId="0" borderId="18" applyNumberFormat="0" applyFill="0" applyAlignment="0" applyProtection="0"/>
    <xf numFmtId="0" fontId="78" fillId="0" borderId="18" applyNumberFormat="0" applyFill="0" applyAlignment="0" applyProtection="0"/>
    <xf numFmtId="0" fontId="78" fillId="0" borderId="18" applyNumberFormat="0" applyFill="0" applyAlignment="0" applyProtection="0"/>
    <xf numFmtId="0" fontId="15" fillId="0" borderId="5" applyNumberFormat="0" applyFill="0" applyAlignment="0" applyProtection="0"/>
    <xf numFmtId="0" fontId="79" fillId="0" borderId="19" applyNumberFormat="0" applyFill="0" applyAlignment="0" applyProtection="0"/>
    <xf numFmtId="0" fontId="15" fillId="0" borderId="5" applyNumberFormat="0" applyFill="0" applyAlignment="0" applyProtection="0"/>
    <xf numFmtId="0" fontId="79" fillId="0" borderId="19" applyNumberFormat="0" applyFill="0" applyAlignment="0" applyProtection="0"/>
    <xf numFmtId="0" fontId="15" fillId="0" borderId="5" applyNumberFormat="0" applyFill="0" applyAlignment="0" applyProtection="0"/>
    <xf numFmtId="0" fontId="35" fillId="0" borderId="5" applyNumberFormat="0" applyFill="0" applyAlignment="0" applyProtection="0"/>
    <xf numFmtId="0" fontId="15" fillId="0" borderId="5" applyNumberFormat="0" applyFill="0" applyAlignment="0" applyProtection="0"/>
    <xf numFmtId="0" fontId="15" fillId="0" borderId="5" applyNumberFormat="0" applyFill="0" applyAlignment="0" applyProtection="0"/>
    <xf numFmtId="0" fontId="15" fillId="0" borderId="5" applyNumberFormat="0" applyFill="0" applyAlignment="0" applyProtection="0"/>
    <xf numFmtId="0" fontId="35" fillId="0" borderId="5" applyNumberFormat="0" applyFill="0" applyAlignment="0" applyProtection="0"/>
    <xf numFmtId="0" fontId="15" fillId="0" borderId="5" applyNumberFormat="0" applyFill="0" applyAlignment="0" applyProtection="0"/>
    <xf numFmtId="0" fontId="35" fillId="0" borderId="5" applyNumberFormat="0" applyFill="0" applyAlignment="0" applyProtection="0"/>
    <xf numFmtId="0" fontId="35" fillId="0" borderId="5" applyNumberFormat="0" applyFill="0" applyAlignment="0" applyProtection="0"/>
    <xf numFmtId="0" fontId="15" fillId="0" borderId="5" applyNumberFormat="0" applyFill="0" applyAlignment="0" applyProtection="0"/>
    <xf numFmtId="0" fontId="78" fillId="0" borderId="18" applyNumberFormat="0" applyFill="0" applyAlignment="0" applyProtection="0"/>
    <xf numFmtId="0" fontId="46" fillId="0" borderId="6" applyNumberFormat="0" applyFill="0" applyAlignment="0" applyProtection="0"/>
    <xf numFmtId="0" fontId="78" fillId="0" borderId="18" applyNumberFormat="0" applyFill="0" applyAlignment="0" applyProtection="0"/>
    <xf numFmtId="0" fontId="78" fillId="0" borderId="18" applyNumberFormat="0" applyFill="0" applyAlignment="0" applyProtection="0"/>
    <xf numFmtId="0" fontId="46" fillId="0" borderId="6" applyNumberFormat="0" applyFill="0" applyAlignment="0" applyProtection="0"/>
    <xf numFmtId="0" fontId="78" fillId="0" borderId="18" applyNumberFormat="0" applyFill="0" applyAlignment="0" applyProtection="0"/>
    <xf numFmtId="0" fontId="78" fillId="0" borderId="18" applyNumberFormat="0" applyFill="0" applyAlignment="0" applyProtection="0"/>
    <xf numFmtId="0" fontId="78" fillId="0" borderId="18" applyNumberFormat="0" applyFill="0" applyAlignment="0" applyProtection="0"/>
    <xf numFmtId="0" fontId="46" fillId="0" borderId="6" applyNumberFormat="0" applyFill="0" applyAlignment="0" applyProtection="0"/>
    <xf numFmtId="0" fontId="78" fillId="0" borderId="18" applyNumberFormat="0" applyFill="0" applyAlignment="0" applyProtection="0"/>
    <xf numFmtId="0" fontId="78" fillId="0" borderId="18" applyNumberFormat="0" applyFill="0" applyAlignment="0" applyProtection="0"/>
    <xf numFmtId="0" fontId="78" fillId="0" borderId="18" applyNumberFormat="0" applyFill="0" applyAlignment="0" applyProtection="0"/>
    <xf numFmtId="0" fontId="78" fillId="0" borderId="18" applyNumberFormat="0" applyFill="0" applyAlignment="0" applyProtection="0"/>
    <xf numFmtId="0" fontId="78" fillId="0" borderId="18" applyNumberFormat="0" applyFill="0" applyAlignment="0" applyProtection="0"/>
    <xf numFmtId="0" fontId="78" fillId="0" borderId="18" applyNumberFormat="0" applyFill="0" applyAlignment="0" applyProtection="0"/>
    <xf numFmtId="0" fontId="78" fillId="0" borderId="18" applyNumberFormat="0" applyFill="0" applyAlignment="0" applyProtection="0"/>
    <xf numFmtId="0" fontId="78" fillId="0" borderId="18" applyNumberFormat="0" applyFill="0" applyAlignment="0" applyProtection="0"/>
    <xf numFmtId="0" fontId="78" fillId="0" borderId="18" applyNumberFormat="0" applyFill="0" applyAlignment="0" applyProtection="0"/>
    <xf numFmtId="0" fontId="78" fillId="0" borderId="18" applyNumberFormat="0" applyFill="0" applyAlignment="0" applyProtection="0"/>
    <xf numFmtId="0" fontId="78" fillId="0" borderId="18" applyNumberFormat="0" applyFill="0" applyAlignment="0" applyProtection="0"/>
    <xf numFmtId="0" fontId="78" fillId="0" borderId="18" applyNumberFormat="0" applyFill="0" applyAlignment="0" applyProtection="0"/>
    <xf numFmtId="0" fontId="46" fillId="0" borderId="6" applyNumberFormat="0" applyFill="0" applyAlignment="0" applyProtection="0"/>
    <xf numFmtId="0" fontId="78" fillId="0" borderId="18" applyNumberFormat="0" applyFill="0" applyAlignment="0" applyProtection="0"/>
    <xf numFmtId="0" fontId="78" fillId="0" borderId="18" applyNumberFormat="0" applyFill="0" applyAlignment="0" applyProtection="0"/>
    <xf numFmtId="0" fontId="78" fillId="0" borderId="18" applyNumberFormat="0" applyFill="0" applyAlignment="0" applyProtection="0"/>
    <xf numFmtId="0" fontId="78" fillId="0" borderId="18" applyNumberFormat="0" applyFill="0" applyAlignment="0" applyProtection="0"/>
    <xf numFmtId="0" fontId="78" fillId="0" borderId="18" applyNumberFormat="0" applyFill="0" applyAlignment="0" applyProtection="0"/>
    <xf numFmtId="0" fontId="78" fillId="0" borderId="18" applyNumberFormat="0" applyFill="0" applyAlignment="0" applyProtection="0"/>
    <xf numFmtId="0" fontId="78" fillId="0" borderId="18" applyNumberFormat="0" applyFill="0" applyAlignment="0" applyProtection="0"/>
    <xf numFmtId="0" fontId="78" fillId="0" borderId="18" applyNumberFormat="0" applyFill="0" applyAlignment="0" applyProtection="0"/>
    <xf numFmtId="0" fontId="78" fillId="0" borderId="18" applyNumberFormat="0" applyFill="0" applyAlignment="0" applyProtection="0"/>
    <xf numFmtId="0" fontId="78" fillId="0" borderId="18" applyNumberFormat="0" applyFill="0" applyAlignment="0" applyProtection="0"/>
    <xf numFmtId="0" fontId="48" fillId="0" borderId="5" applyNumberFormat="0" applyFill="0" applyAlignment="0" applyProtection="0"/>
    <xf numFmtId="0" fontId="58" fillId="0" borderId="5" applyNumberFormat="0" applyFill="0" applyAlignment="0" applyProtection="0"/>
    <xf numFmtId="0" fontId="58" fillId="0" borderId="5" applyNumberFormat="0" applyFill="0" applyAlignment="0" applyProtection="0"/>
    <xf numFmtId="0" fontId="48" fillId="0" borderId="5" applyNumberFormat="0" applyFill="0" applyAlignment="0" applyProtection="0"/>
    <xf numFmtId="0" fontId="48" fillId="0" borderId="5" applyNumberFormat="0" applyFill="0" applyAlignment="0" applyProtection="0"/>
    <xf numFmtId="0" fontId="48" fillId="0" borderId="5" applyNumberFormat="0" applyFill="0" applyAlignment="0" applyProtection="0"/>
    <xf numFmtId="0" fontId="58" fillId="0" borderId="5" applyNumberFormat="0" applyFill="0" applyAlignment="0" applyProtection="0"/>
    <xf numFmtId="0" fontId="58" fillId="0" borderId="5" applyNumberFormat="0" applyFill="0" applyAlignment="0" applyProtection="0"/>
    <xf numFmtId="0" fontId="48" fillId="0" borderId="5" applyNumberFormat="0" applyFill="0" applyAlignment="0" applyProtection="0"/>
    <xf numFmtId="0" fontId="48" fillId="0" borderId="5" applyNumberFormat="0" applyFill="0" applyAlignment="0" applyProtection="0"/>
    <xf numFmtId="0" fontId="58" fillId="0" borderId="5" applyNumberFormat="0" applyFill="0" applyAlignment="0" applyProtection="0"/>
    <xf numFmtId="0" fontId="58" fillId="0" borderId="5" applyNumberFormat="0" applyFill="0" applyAlignment="0" applyProtection="0"/>
    <xf numFmtId="0" fontId="48" fillId="0" borderId="5" applyNumberFormat="0" applyFill="0" applyAlignment="0" applyProtection="0"/>
    <xf numFmtId="0" fontId="48" fillId="0" borderId="5" applyNumberFormat="0" applyFill="0" applyAlignment="0" applyProtection="0"/>
    <xf numFmtId="0" fontId="48" fillId="0" borderId="5" applyNumberFormat="0" applyFill="0" applyAlignment="0" applyProtection="0"/>
    <xf numFmtId="0" fontId="48" fillId="0" borderId="5" applyNumberFormat="0" applyFill="0" applyAlignment="0" applyProtection="0"/>
    <xf numFmtId="0" fontId="48" fillId="0" borderId="5" applyNumberFormat="0" applyFill="0" applyAlignment="0" applyProtection="0"/>
    <xf numFmtId="0" fontId="51" fillId="0" borderId="5" applyNumberFormat="0" applyFill="0" applyAlignment="0" applyProtection="0"/>
    <xf numFmtId="0" fontId="48" fillId="0" borderId="5" applyNumberFormat="0" applyFill="0" applyAlignment="0" applyProtection="0"/>
    <xf numFmtId="0" fontId="48" fillId="0" borderId="5" applyNumberFormat="0" applyFill="0" applyAlignment="0" applyProtection="0"/>
    <xf numFmtId="0" fontId="58" fillId="0" borderId="5" applyNumberFormat="0" applyFill="0" applyAlignment="0" applyProtection="0"/>
    <xf numFmtId="0" fontId="58" fillId="0" borderId="5" applyNumberFormat="0" applyFill="0" applyAlignment="0" applyProtection="0"/>
    <xf numFmtId="0" fontId="48" fillId="0" borderId="5" applyNumberFormat="0" applyFill="0" applyAlignment="0" applyProtection="0"/>
    <xf numFmtId="0" fontId="48" fillId="0" borderId="5" applyNumberFormat="0" applyFill="0" applyAlignment="0" applyProtection="0"/>
    <xf numFmtId="0" fontId="58" fillId="0" borderId="5" applyNumberFormat="0" applyFill="0" applyAlignment="0" applyProtection="0"/>
    <xf numFmtId="0" fontId="58" fillId="0" borderId="5" applyNumberFormat="0" applyFill="0" applyAlignment="0" applyProtection="0"/>
    <xf numFmtId="0" fontId="48" fillId="0" borderId="5" applyNumberFormat="0" applyFill="0" applyAlignment="0" applyProtection="0"/>
    <xf numFmtId="0" fontId="48" fillId="0" borderId="5" applyNumberFormat="0" applyFill="0" applyAlignment="0" applyProtection="0"/>
    <xf numFmtId="0" fontId="48" fillId="0" borderId="5" applyNumberFormat="0" applyFill="0" applyAlignment="0" applyProtection="0"/>
    <xf numFmtId="0" fontId="48" fillId="0" borderId="5" applyNumberFormat="0" applyFill="0" applyAlignment="0" applyProtection="0"/>
    <xf numFmtId="0" fontId="51" fillId="0" borderId="5" applyNumberFormat="0" applyFill="0" applyAlignment="0" applyProtection="0"/>
    <xf numFmtId="0" fontId="48" fillId="0" borderId="5" applyNumberFormat="0" applyFill="0" applyAlignment="0" applyProtection="0"/>
    <xf numFmtId="0" fontId="48" fillId="0" borderId="5" applyNumberFormat="0" applyFill="0" applyAlignment="0" applyProtection="0"/>
    <xf numFmtId="0" fontId="58" fillId="0" borderId="5" applyNumberFormat="0" applyFill="0" applyAlignment="0" applyProtection="0"/>
    <xf numFmtId="0" fontId="58" fillId="0" borderId="5" applyNumberFormat="0" applyFill="0" applyAlignment="0" applyProtection="0"/>
    <xf numFmtId="0" fontId="48" fillId="0" borderId="5" applyNumberFormat="0" applyFill="0" applyAlignment="0" applyProtection="0"/>
    <xf numFmtId="0" fontId="58" fillId="0" borderId="5" applyNumberFormat="0" applyFill="0" applyAlignment="0" applyProtection="0"/>
    <xf numFmtId="0" fontId="48" fillId="0" borderId="5" applyNumberFormat="0" applyFill="0" applyAlignment="0" applyProtection="0"/>
    <xf numFmtId="0" fontId="58" fillId="0" borderId="5" applyNumberFormat="0" applyFill="0" applyAlignment="0" applyProtection="0"/>
    <xf numFmtId="0" fontId="7" fillId="0" borderId="7" applyNumberFormat="0" applyFill="0" applyAlignment="0" applyProtection="0"/>
    <xf numFmtId="0" fontId="80" fillId="0" borderId="20" applyNumberFormat="0" applyFill="0" applyAlignment="0" applyProtection="0"/>
    <xf numFmtId="0" fontId="7" fillId="0" borderId="7" applyNumberFormat="0" applyFill="0" applyAlignment="0" applyProtection="0"/>
    <xf numFmtId="0" fontId="80" fillId="0" borderId="20" applyNumberFormat="0" applyFill="0" applyAlignment="0" applyProtection="0"/>
    <xf numFmtId="0" fontId="7" fillId="0" borderId="7" applyNumberFormat="0" applyFill="0" applyAlignment="0" applyProtection="0"/>
    <xf numFmtId="0" fontId="36" fillId="0" borderId="7" applyNumberFormat="0" applyFill="0" applyAlignment="0" applyProtection="0"/>
    <xf numFmtId="0" fontId="7" fillId="0" borderId="7" applyNumberFormat="0" applyFill="0" applyAlignment="0" applyProtection="0"/>
    <xf numFmtId="0" fontId="7" fillId="0" borderId="7" applyNumberFormat="0" applyFill="0" applyAlignment="0" applyProtection="0"/>
    <xf numFmtId="0" fontId="7" fillId="0" borderId="7" applyNumberFormat="0" applyFill="0" applyAlignment="0" applyProtection="0"/>
    <xf numFmtId="0" fontId="36" fillId="0" borderId="7" applyNumberFormat="0" applyFill="0" applyAlignment="0" applyProtection="0"/>
    <xf numFmtId="0" fontId="7" fillId="0" borderId="7" applyNumberFormat="0" applyFill="0" applyAlignment="0" applyProtection="0"/>
    <xf numFmtId="0" fontId="36" fillId="0" borderId="7" applyNumberFormat="0" applyFill="0" applyAlignment="0" applyProtection="0"/>
    <xf numFmtId="0" fontId="36" fillId="0" borderId="7" applyNumberFormat="0" applyFill="0" applyAlignment="0" applyProtection="0"/>
    <xf numFmtId="0" fontId="7" fillId="0" borderId="7" applyNumberFormat="0" applyFill="0" applyAlignment="0" applyProtection="0"/>
    <xf numFmtId="0" fontId="48" fillId="0" borderId="5" applyNumberFormat="0" applyFill="0" applyAlignment="0" applyProtection="0"/>
    <xf numFmtId="0" fontId="48" fillId="0" borderId="5" applyNumberFormat="0" applyFill="0" applyAlignment="0" applyProtection="0"/>
    <xf numFmtId="0" fontId="48" fillId="0" borderId="5" applyNumberFormat="0" applyFill="0" applyAlignment="0" applyProtection="0"/>
    <xf numFmtId="0" fontId="58" fillId="0" borderId="5" applyNumberFormat="0" applyFill="0" applyAlignment="0" applyProtection="0"/>
    <xf numFmtId="0" fontId="58" fillId="0" borderId="5" applyNumberFormat="0" applyFill="0" applyAlignment="0" applyProtection="0"/>
    <xf numFmtId="0" fontId="48" fillId="0" borderId="5" applyNumberFormat="0" applyFill="0" applyAlignment="0" applyProtection="0"/>
    <xf numFmtId="0" fontId="48" fillId="0" borderId="5" applyNumberFormat="0" applyFill="0" applyAlignment="0" applyProtection="0"/>
    <xf numFmtId="0" fontId="51" fillId="0" borderId="5" applyNumberFormat="0" applyFill="0" applyAlignment="0" applyProtection="0"/>
    <xf numFmtId="0" fontId="48" fillId="0" borderId="5" applyNumberFormat="0" applyFill="0" applyAlignment="0" applyProtection="0"/>
    <xf numFmtId="0" fontId="48" fillId="0" borderId="5" applyNumberFormat="0" applyFill="0" applyAlignment="0" applyProtection="0"/>
    <xf numFmtId="0" fontId="48" fillId="0" borderId="5" applyNumberFormat="0" applyFill="0" applyAlignment="0" applyProtection="0"/>
    <xf numFmtId="0" fontId="48" fillId="0" borderId="5" applyNumberFormat="0" applyFill="0" applyAlignment="0" applyProtection="0"/>
    <xf numFmtId="0" fontId="48" fillId="0" borderId="5" applyNumberFormat="0" applyFill="0" applyAlignment="0" applyProtection="0"/>
    <xf numFmtId="0" fontId="48" fillId="0" borderId="5" applyNumberFormat="0" applyFill="0" applyAlignment="0" applyProtection="0"/>
    <xf numFmtId="0" fontId="51" fillId="0" borderId="5" applyNumberFormat="0" applyFill="0" applyAlignment="0" applyProtection="0"/>
    <xf numFmtId="0" fontId="48" fillId="0" borderId="5" applyNumberFormat="0" applyFill="0" applyAlignment="0" applyProtection="0"/>
    <xf numFmtId="0" fontId="48" fillId="0" borderId="5" applyNumberFormat="0" applyFill="0" applyAlignment="0" applyProtection="0"/>
    <xf numFmtId="0" fontId="58" fillId="0" borderId="5" applyNumberFormat="0" applyFill="0" applyAlignment="0" applyProtection="0"/>
    <xf numFmtId="0" fontId="58" fillId="0" borderId="5" applyNumberFormat="0" applyFill="0" applyAlignment="0" applyProtection="0"/>
    <xf numFmtId="0" fontId="48" fillId="0" borderId="5" applyNumberFormat="0" applyFill="0" applyAlignment="0" applyProtection="0"/>
    <xf numFmtId="0" fontId="48" fillId="0" borderId="5" applyNumberFormat="0" applyFill="0" applyAlignment="0" applyProtection="0"/>
    <xf numFmtId="0" fontId="48" fillId="0" borderId="5" applyNumberFormat="0" applyFill="0" applyAlignment="0" applyProtection="0"/>
    <xf numFmtId="0" fontId="48" fillId="0" borderId="5" applyNumberFormat="0" applyFill="0" applyAlignment="0" applyProtection="0"/>
    <xf numFmtId="0" fontId="58" fillId="0" borderId="5" applyNumberFormat="0" applyFill="0" applyAlignment="0" applyProtection="0"/>
    <xf numFmtId="0" fontId="58" fillId="0" borderId="5" applyNumberFormat="0" applyFill="0" applyAlignment="0" applyProtection="0"/>
    <xf numFmtId="0" fontId="48" fillId="0" borderId="5" applyNumberFormat="0" applyFill="0" applyAlignment="0" applyProtection="0"/>
    <xf numFmtId="0" fontId="48" fillId="0" borderId="5" applyNumberFormat="0" applyFill="0" applyAlignment="0" applyProtection="0"/>
    <xf numFmtId="0" fontId="51" fillId="0" borderId="5" applyNumberFormat="0" applyFill="0" applyAlignment="0" applyProtection="0"/>
    <xf numFmtId="0" fontId="48" fillId="0" borderId="5" applyNumberFormat="0" applyFill="0" applyAlignment="0" applyProtection="0"/>
    <xf numFmtId="0" fontId="48" fillId="0" borderId="5" applyNumberFormat="0" applyFill="0" applyAlignment="0" applyProtection="0"/>
    <xf numFmtId="0" fontId="48" fillId="0" borderId="5" applyNumberFormat="0" applyFill="0" applyAlignment="0" applyProtection="0"/>
    <xf numFmtId="0" fontId="48" fillId="0" borderId="5" applyNumberFormat="0" applyFill="0" applyAlignment="0" applyProtection="0"/>
    <xf numFmtId="0" fontId="48" fillId="0" borderId="5" applyNumberFormat="0" applyFill="0" applyAlignment="0" applyProtection="0"/>
    <xf numFmtId="0" fontId="48" fillId="0" borderId="5" applyNumberFormat="0" applyFill="0" applyAlignment="0" applyProtection="0"/>
    <xf numFmtId="0" fontId="51" fillId="0" borderId="5" applyNumberFormat="0" applyFill="0" applyAlignment="0" applyProtection="0"/>
    <xf numFmtId="0" fontId="48" fillId="0" borderId="5" applyNumberFormat="0" applyFill="0" applyAlignment="0" applyProtection="0"/>
    <xf numFmtId="0" fontId="48" fillId="0" borderId="5" applyNumberFormat="0" applyFill="0" applyAlignment="0" applyProtection="0"/>
    <xf numFmtId="0" fontId="58" fillId="0" borderId="5" applyNumberFormat="0" applyFill="0" applyAlignment="0" applyProtection="0"/>
    <xf numFmtId="0" fontId="58" fillId="0" borderId="5" applyNumberFormat="0" applyFill="0" applyAlignment="0" applyProtection="0"/>
    <xf numFmtId="0" fontId="48" fillId="0" borderId="5" applyNumberFormat="0" applyFill="0" applyAlignment="0" applyProtection="0"/>
    <xf numFmtId="0" fontId="48" fillId="0" borderId="5" applyNumberFormat="0" applyFill="0" applyAlignment="0" applyProtection="0"/>
    <xf numFmtId="0" fontId="58" fillId="0" borderId="5" applyNumberFormat="0" applyFill="0" applyAlignment="0" applyProtection="0"/>
    <xf numFmtId="0" fontId="58" fillId="0" borderId="5" applyNumberFormat="0" applyFill="0" applyAlignment="0" applyProtection="0"/>
    <xf numFmtId="0" fontId="48" fillId="0" borderId="5" applyNumberFormat="0" applyFill="0" applyAlignment="0" applyProtection="0"/>
    <xf numFmtId="0" fontId="48" fillId="0" borderId="5" applyNumberFormat="0" applyFill="0" applyAlignment="0" applyProtection="0"/>
    <xf numFmtId="0" fontId="48" fillId="0" borderId="5" applyNumberFormat="0" applyFill="0" applyAlignment="0" applyProtection="0"/>
    <xf numFmtId="0" fontId="58" fillId="0" borderId="5" applyNumberFormat="0" applyFill="0" applyAlignment="0" applyProtection="0"/>
    <xf numFmtId="0" fontId="58" fillId="0" borderId="5" applyNumberFormat="0" applyFill="0" applyAlignment="0" applyProtection="0"/>
    <xf numFmtId="0" fontId="48" fillId="0" borderId="5" applyNumberFormat="0" applyFill="0" applyAlignment="0" applyProtection="0"/>
    <xf numFmtId="0" fontId="48" fillId="0" borderId="5" applyNumberFormat="0" applyFill="0" applyAlignment="0" applyProtection="0"/>
    <xf numFmtId="0" fontId="58" fillId="0" borderId="5" applyNumberFormat="0" applyFill="0" applyAlignment="0" applyProtection="0"/>
    <xf numFmtId="0" fontId="58" fillId="0" borderId="5" applyNumberFormat="0" applyFill="0" applyAlignment="0" applyProtection="0"/>
    <xf numFmtId="0" fontId="48" fillId="0" borderId="5" applyNumberFormat="0" applyFill="0" applyAlignment="0" applyProtection="0"/>
    <xf numFmtId="0" fontId="48" fillId="0" borderId="5" applyNumberFormat="0" applyFill="0" applyAlignment="0" applyProtection="0"/>
    <xf numFmtId="0" fontId="48" fillId="0" borderId="5" applyNumberFormat="0" applyFill="0" applyAlignment="0" applyProtection="0"/>
    <xf numFmtId="0" fontId="48" fillId="0" borderId="5" applyNumberFormat="0" applyFill="0" applyAlignment="0" applyProtection="0"/>
    <xf numFmtId="0" fontId="48" fillId="0" borderId="5" applyNumberFormat="0" applyFill="0" applyAlignment="0" applyProtection="0"/>
    <xf numFmtId="0" fontId="51" fillId="0" borderId="5" applyNumberFormat="0" applyFill="0" applyAlignment="0" applyProtection="0"/>
    <xf numFmtId="0" fontId="48" fillId="0" borderId="5" applyNumberFormat="0" applyFill="0" applyAlignment="0" applyProtection="0"/>
    <xf numFmtId="0" fontId="48" fillId="0" borderId="5" applyNumberFormat="0" applyFill="0" applyAlignment="0" applyProtection="0"/>
    <xf numFmtId="0" fontId="58" fillId="0" borderId="5" applyNumberFormat="0" applyFill="0" applyAlignment="0" applyProtection="0"/>
    <xf numFmtId="0" fontId="58" fillId="0" borderId="5" applyNumberFormat="0" applyFill="0" applyAlignment="0" applyProtection="0"/>
    <xf numFmtId="0" fontId="48" fillId="0" borderId="5" applyNumberFormat="0" applyFill="0" applyAlignment="0" applyProtection="0"/>
    <xf numFmtId="0" fontId="48" fillId="0" borderId="5" applyNumberFormat="0" applyFill="0" applyAlignment="0" applyProtection="0"/>
    <xf numFmtId="0" fontId="58" fillId="0" borderId="5" applyNumberFormat="0" applyFill="0" applyAlignment="0" applyProtection="0"/>
    <xf numFmtId="0" fontId="58" fillId="0" borderId="5" applyNumberFormat="0" applyFill="0" applyAlignment="0" applyProtection="0"/>
    <xf numFmtId="0" fontId="48" fillId="0" borderId="5" applyNumberFormat="0" applyFill="0" applyAlignment="0" applyProtection="0"/>
    <xf numFmtId="0" fontId="48" fillId="0" borderId="5" applyNumberFormat="0" applyFill="0" applyAlignment="0" applyProtection="0"/>
    <xf numFmtId="0" fontId="48" fillId="0" borderId="5" applyNumberFormat="0" applyFill="0" applyAlignment="0" applyProtection="0"/>
    <xf numFmtId="0" fontId="58" fillId="0" borderId="5" applyNumberFormat="0" applyFill="0" applyAlignment="0" applyProtection="0"/>
    <xf numFmtId="0" fontId="58" fillId="0" borderId="5" applyNumberFormat="0" applyFill="0" applyAlignment="0" applyProtection="0"/>
    <xf numFmtId="0" fontId="48" fillId="0" borderId="5" applyNumberFormat="0" applyFill="0" applyAlignment="0" applyProtection="0"/>
    <xf numFmtId="0" fontId="48" fillId="0" borderId="5" applyNumberFormat="0" applyFill="0" applyAlignment="0" applyProtection="0"/>
    <xf numFmtId="0" fontId="58" fillId="0" borderId="5" applyNumberFormat="0" applyFill="0" applyAlignment="0" applyProtection="0"/>
    <xf numFmtId="0" fontId="58" fillId="0" borderId="5" applyNumberFormat="0" applyFill="0" applyAlignment="0" applyProtection="0"/>
    <xf numFmtId="0" fontId="48" fillId="0" borderId="5" applyNumberFormat="0" applyFill="0" applyAlignment="0" applyProtection="0"/>
    <xf numFmtId="0" fontId="48" fillId="0" borderId="5" applyNumberFormat="0" applyFill="0" applyAlignment="0" applyProtection="0"/>
    <xf numFmtId="0" fontId="48" fillId="0" borderId="5" applyNumberFormat="0" applyFill="0" applyAlignment="0" applyProtection="0"/>
    <xf numFmtId="0" fontId="48" fillId="0" borderId="5" applyNumberFormat="0" applyFill="0" applyAlignment="0" applyProtection="0"/>
    <xf numFmtId="0" fontId="48" fillId="0" borderId="5" applyNumberFormat="0" applyFill="0" applyAlignment="0" applyProtection="0"/>
    <xf numFmtId="0" fontId="51" fillId="0" borderId="5" applyNumberFormat="0" applyFill="0" applyAlignment="0" applyProtection="0"/>
    <xf numFmtId="0" fontId="48" fillId="0" borderId="5" applyNumberFormat="0" applyFill="0" applyAlignment="0" applyProtection="0"/>
    <xf numFmtId="0" fontId="48" fillId="0" borderId="5" applyNumberFormat="0" applyFill="0" applyAlignment="0" applyProtection="0"/>
    <xf numFmtId="0" fontId="58" fillId="0" borderId="5" applyNumberFormat="0" applyFill="0" applyAlignment="0" applyProtection="0"/>
    <xf numFmtId="0" fontId="58" fillId="0" borderId="5" applyNumberFormat="0" applyFill="0" applyAlignment="0" applyProtection="0"/>
    <xf numFmtId="0" fontId="48" fillId="0" borderId="5" applyNumberFormat="0" applyFill="0" applyAlignment="0" applyProtection="0"/>
    <xf numFmtId="0" fontId="47" fillId="0" borderId="9" applyNumberFormat="0" applyFill="0" applyAlignment="0" applyProtection="0"/>
    <xf numFmtId="0" fontId="47" fillId="0" borderId="9" applyNumberFormat="0" applyFill="0" applyAlignment="0" applyProtection="0"/>
    <xf numFmtId="0" fontId="47" fillId="0" borderId="10" applyNumberFormat="0" applyFill="0" applyAlignment="0" applyProtection="0"/>
    <xf numFmtId="0" fontId="47" fillId="0" borderId="9" applyNumberFormat="0" applyFill="0" applyAlignment="0" applyProtection="0"/>
    <xf numFmtId="0" fontId="59" fillId="0" borderId="9" applyNumberFormat="0" applyFill="0" applyAlignment="0" applyProtection="0"/>
    <xf numFmtId="0" fontId="59" fillId="0" borderId="9" applyNumberFormat="0" applyFill="0" applyAlignment="0" applyProtection="0"/>
    <xf numFmtId="0" fontId="47" fillId="0" borderId="9" applyNumberFormat="0" applyFill="0" applyAlignment="0" applyProtection="0"/>
    <xf numFmtId="0" fontId="47" fillId="0" borderId="9" applyNumberFormat="0" applyFill="0" applyAlignment="0" applyProtection="0"/>
    <xf numFmtId="0" fontId="47" fillId="0" borderId="9" applyNumberFormat="0" applyFill="0" applyAlignment="0" applyProtection="0"/>
    <xf numFmtId="0" fontId="47" fillId="0" borderId="9" applyNumberFormat="0" applyFill="0" applyAlignment="0" applyProtection="0"/>
    <xf numFmtId="0" fontId="47" fillId="0" borderId="9" applyNumberFormat="0" applyFill="0" applyAlignment="0" applyProtection="0"/>
    <xf numFmtId="0" fontId="52" fillId="0" borderId="9" applyNumberFormat="0" applyFill="0" applyAlignment="0" applyProtection="0"/>
    <xf numFmtId="0" fontId="47" fillId="0" borderId="9" applyNumberFormat="0" applyFill="0" applyAlignment="0" applyProtection="0"/>
    <xf numFmtId="0" fontId="47" fillId="0" borderId="9" applyNumberFormat="0" applyFill="0" applyAlignment="0" applyProtection="0"/>
    <xf numFmtId="0" fontId="59" fillId="0" borderId="9" applyNumberFormat="0" applyFill="0" applyAlignment="0" applyProtection="0"/>
    <xf numFmtId="0" fontId="59" fillId="0" borderId="9" applyNumberFormat="0" applyFill="0" applyAlignment="0" applyProtection="0"/>
    <xf numFmtId="0" fontId="47" fillId="0" borderId="9" applyNumberFormat="0" applyFill="0" applyAlignment="0" applyProtection="0"/>
    <xf numFmtId="0" fontId="47" fillId="0" borderId="10" applyNumberFormat="0" applyFill="0" applyAlignment="0" applyProtection="0"/>
    <xf numFmtId="0" fontId="47" fillId="0" borderId="9" applyNumberFormat="0" applyFill="0" applyAlignment="0" applyProtection="0"/>
    <xf numFmtId="0" fontId="47" fillId="0" borderId="9" applyNumberFormat="0" applyFill="0" applyAlignment="0" applyProtection="0"/>
    <xf numFmtId="0" fontId="47" fillId="0" borderId="9" applyNumberFormat="0" applyFill="0" applyAlignment="0" applyProtection="0"/>
    <xf numFmtId="0" fontId="52" fillId="0" borderId="9" applyNumberFormat="0" applyFill="0" applyAlignment="0" applyProtection="0"/>
    <xf numFmtId="0" fontId="47" fillId="0" borderId="9" applyNumberFormat="0" applyFill="0" applyAlignment="0" applyProtection="0"/>
    <xf numFmtId="0" fontId="47" fillId="0" borderId="9" applyNumberFormat="0" applyFill="0" applyAlignment="0" applyProtection="0"/>
    <xf numFmtId="0" fontId="59" fillId="0" borderId="9" applyNumberFormat="0" applyFill="0" applyAlignment="0" applyProtection="0"/>
    <xf numFmtId="0" fontId="59" fillId="0" borderId="9" applyNumberFormat="0" applyFill="0" applyAlignment="0" applyProtection="0"/>
    <xf numFmtId="0" fontId="47" fillId="0" borderId="9" applyNumberFormat="0" applyFill="0" applyAlignment="0" applyProtection="0"/>
    <xf numFmtId="0" fontId="59" fillId="0" borderId="9" applyNumberFormat="0" applyFill="0" applyAlignment="0" applyProtection="0"/>
    <xf numFmtId="0" fontId="47" fillId="0" borderId="9" applyNumberFormat="0" applyFill="0" applyAlignment="0" applyProtection="0"/>
    <xf numFmtId="0" fontId="59" fillId="0" borderId="9" applyNumberFormat="0" applyFill="0" applyAlignment="0" applyProtection="0"/>
    <xf numFmtId="0" fontId="8" fillId="0" borderId="8" applyNumberFormat="0" applyFill="0" applyAlignment="0" applyProtection="0"/>
    <xf numFmtId="0" fontId="81" fillId="0" borderId="21" applyNumberFormat="0" applyFill="0" applyAlignment="0" applyProtection="0"/>
    <xf numFmtId="0" fontId="8" fillId="0" borderId="8" applyNumberFormat="0" applyFill="0" applyAlignment="0" applyProtection="0"/>
    <xf numFmtId="0" fontId="81" fillId="0" borderId="21" applyNumberFormat="0" applyFill="0" applyAlignment="0" applyProtection="0"/>
    <xf numFmtId="0" fontId="8" fillId="0" borderId="8" applyNumberFormat="0" applyFill="0" applyAlignment="0" applyProtection="0"/>
    <xf numFmtId="0" fontId="37" fillId="0" borderId="8" applyNumberFormat="0" applyFill="0" applyAlignment="0" applyProtection="0"/>
    <xf numFmtId="0" fontId="8" fillId="0" borderId="8" applyNumberFormat="0" applyFill="0" applyAlignment="0" applyProtection="0"/>
    <xf numFmtId="0" fontId="8" fillId="0" borderId="8" applyNumberFormat="0" applyFill="0" applyAlignment="0" applyProtection="0"/>
    <xf numFmtId="0" fontId="8" fillId="0" borderId="8" applyNumberFormat="0" applyFill="0" applyAlignment="0" applyProtection="0"/>
    <xf numFmtId="0" fontId="37" fillId="0" borderId="8" applyNumberFormat="0" applyFill="0" applyAlignment="0" applyProtection="0"/>
    <xf numFmtId="0" fontId="8" fillId="0" borderId="8" applyNumberFormat="0" applyFill="0" applyAlignment="0" applyProtection="0"/>
    <xf numFmtId="0" fontId="37" fillId="0" borderId="8" applyNumberFormat="0" applyFill="0" applyAlignment="0" applyProtection="0"/>
    <xf numFmtId="0" fontId="37" fillId="0" borderId="8" applyNumberFormat="0" applyFill="0" applyAlignment="0" applyProtection="0"/>
    <xf numFmtId="0" fontId="8" fillId="0" borderId="8" applyNumberFormat="0" applyFill="0" applyAlignment="0" applyProtection="0"/>
    <xf numFmtId="0" fontId="47" fillId="0" borderId="9" applyNumberFormat="0" applyFill="0" applyAlignment="0" applyProtection="0"/>
    <xf numFmtId="0" fontId="47" fillId="0" borderId="9" applyNumberFormat="0" applyFill="0" applyAlignment="0" applyProtection="0"/>
    <xf numFmtId="0" fontId="47" fillId="0" borderId="10" applyNumberFormat="0" applyFill="0" applyAlignment="0" applyProtection="0"/>
    <xf numFmtId="0" fontId="47" fillId="0" borderId="9" applyNumberFormat="0" applyFill="0" applyAlignment="0" applyProtection="0"/>
    <xf numFmtId="0" fontId="52" fillId="0" borderId="9" applyNumberFormat="0" applyFill="0" applyAlignment="0" applyProtection="0"/>
    <xf numFmtId="0" fontId="47" fillId="0" borderId="9" applyNumberFormat="0" applyFill="0" applyAlignment="0" applyProtection="0"/>
    <xf numFmtId="0" fontId="47" fillId="0" borderId="9" applyNumberFormat="0" applyFill="0" applyAlignment="0" applyProtection="0"/>
    <xf numFmtId="0" fontId="47" fillId="0" borderId="9" applyNumberFormat="0" applyFill="0" applyAlignment="0" applyProtection="0"/>
    <xf numFmtId="0" fontId="47" fillId="0" borderId="9" applyNumberFormat="0" applyFill="0" applyAlignment="0" applyProtection="0"/>
    <xf numFmtId="0" fontId="47" fillId="0" borderId="9" applyNumberFormat="0" applyFill="0" applyAlignment="0" applyProtection="0"/>
    <xf numFmtId="0" fontId="47" fillId="0" borderId="9" applyNumberFormat="0" applyFill="0" applyAlignment="0" applyProtection="0"/>
    <xf numFmtId="0" fontId="47" fillId="0" borderId="9" applyNumberFormat="0" applyFill="0" applyAlignment="0" applyProtection="0"/>
    <xf numFmtId="0" fontId="52" fillId="0" borderId="9" applyNumberFormat="0" applyFill="0" applyAlignment="0" applyProtection="0"/>
    <xf numFmtId="0" fontId="47" fillId="0" borderId="9" applyNumberFormat="0" applyFill="0" applyAlignment="0" applyProtection="0"/>
    <xf numFmtId="0" fontId="47" fillId="0" borderId="9" applyNumberFormat="0" applyFill="0" applyAlignment="0" applyProtection="0"/>
    <xf numFmtId="0" fontId="47" fillId="0" borderId="9" applyNumberFormat="0" applyFill="0" applyAlignment="0" applyProtection="0"/>
    <xf numFmtId="0" fontId="47" fillId="0" borderId="9" applyNumberFormat="0" applyFill="0" applyAlignment="0" applyProtection="0"/>
    <xf numFmtId="0" fontId="47" fillId="0" borderId="10" applyNumberFormat="0" applyFill="0" applyAlignment="0" applyProtection="0"/>
    <xf numFmtId="0" fontId="47" fillId="0" borderId="9" applyNumberFormat="0" applyFill="0" applyAlignment="0" applyProtection="0"/>
    <xf numFmtId="0" fontId="52" fillId="0" borderId="9" applyNumberFormat="0" applyFill="0" applyAlignment="0" applyProtection="0"/>
    <xf numFmtId="0" fontId="47" fillId="0" borderId="9" applyNumberFormat="0" applyFill="0" applyAlignment="0" applyProtection="0"/>
    <xf numFmtId="0" fontId="47" fillId="0" borderId="9" applyNumberFormat="0" applyFill="0" applyAlignment="0" applyProtection="0"/>
    <xf numFmtId="0" fontId="47" fillId="0" borderId="9" applyNumberFormat="0" applyFill="0" applyAlignment="0" applyProtection="0"/>
    <xf numFmtId="0" fontId="47" fillId="0" borderId="9" applyNumberFormat="0" applyFill="0" applyAlignment="0" applyProtection="0"/>
    <xf numFmtId="0" fontId="47" fillId="0" borderId="9" applyNumberFormat="0" applyFill="0" applyAlignment="0" applyProtection="0"/>
    <xf numFmtId="0" fontId="47" fillId="0" borderId="9" applyNumberFormat="0" applyFill="0" applyAlignment="0" applyProtection="0"/>
    <xf numFmtId="0" fontId="47" fillId="0" borderId="9" applyNumberFormat="0" applyFill="0" applyAlignment="0" applyProtection="0"/>
    <xf numFmtId="0" fontId="52" fillId="0" borderId="9" applyNumberFormat="0" applyFill="0" applyAlignment="0" applyProtection="0"/>
    <xf numFmtId="0" fontId="47" fillId="0" borderId="9" applyNumberFormat="0" applyFill="0" applyAlignment="0" applyProtection="0"/>
    <xf numFmtId="0" fontId="47" fillId="0" borderId="9" applyNumberFormat="0" applyFill="0" applyAlignment="0" applyProtection="0"/>
    <xf numFmtId="0" fontId="47" fillId="0" borderId="9" applyNumberFormat="0" applyFill="0" applyAlignment="0" applyProtection="0"/>
    <xf numFmtId="0" fontId="47" fillId="0" borderId="9" applyNumberFormat="0" applyFill="0" applyAlignment="0" applyProtection="0"/>
    <xf numFmtId="0" fontId="47" fillId="0" borderId="10" applyNumberFormat="0" applyFill="0" applyAlignment="0" applyProtection="0"/>
    <xf numFmtId="0" fontId="47" fillId="0" borderId="9" applyNumberFormat="0" applyFill="0" applyAlignment="0" applyProtection="0"/>
    <xf numFmtId="0" fontId="59" fillId="0" borderId="9" applyNumberFormat="0" applyFill="0" applyAlignment="0" applyProtection="0"/>
    <xf numFmtId="0" fontId="59" fillId="0" borderId="9" applyNumberFormat="0" applyFill="0" applyAlignment="0" applyProtection="0"/>
    <xf numFmtId="0" fontId="47" fillId="0" borderId="9" applyNumberFormat="0" applyFill="0" applyAlignment="0" applyProtection="0"/>
    <xf numFmtId="0" fontId="47" fillId="0" borderId="9" applyNumberFormat="0" applyFill="0" applyAlignment="0" applyProtection="0"/>
    <xf numFmtId="0" fontId="47" fillId="0" borderId="9" applyNumberFormat="0" applyFill="0" applyAlignment="0" applyProtection="0"/>
    <xf numFmtId="0" fontId="47" fillId="0" borderId="9" applyNumberFormat="0" applyFill="0" applyAlignment="0" applyProtection="0"/>
    <xf numFmtId="0" fontId="47" fillId="0" borderId="9" applyNumberFormat="0" applyFill="0" applyAlignment="0" applyProtection="0"/>
    <xf numFmtId="0" fontId="52" fillId="0" borderId="9" applyNumberFormat="0" applyFill="0" applyAlignment="0" applyProtection="0"/>
    <xf numFmtId="0" fontId="47" fillId="0" borderId="9" applyNumberFormat="0" applyFill="0" applyAlignment="0" applyProtection="0"/>
    <xf numFmtId="0" fontId="47" fillId="0" borderId="9" applyNumberFormat="0" applyFill="0" applyAlignment="0" applyProtection="0"/>
    <xf numFmtId="0" fontId="59" fillId="0" borderId="9" applyNumberFormat="0" applyFill="0" applyAlignment="0" applyProtection="0"/>
    <xf numFmtId="0" fontId="59" fillId="0" borderId="9" applyNumberFormat="0" applyFill="0" applyAlignment="0" applyProtection="0"/>
    <xf numFmtId="0" fontId="47" fillId="0" borderId="9" applyNumberFormat="0" applyFill="0" applyAlignment="0" applyProtection="0"/>
    <xf numFmtId="0" fontId="47" fillId="0" borderId="9" applyNumberFormat="0" applyFill="0" applyAlignment="0" applyProtection="0"/>
    <xf numFmtId="0" fontId="47" fillId="0" borderId="9" applyNumberFormat="0" applyFill="0" applyAlignment="0" applyProtection="0"/>
    <xf numFmtId="0" fontId="47" fillId="0" borderId="10" applyNumberFormat="0" applyFill="0" applyAlignment="0" applyProtection="0"/>
    <xf numFmtId="0" fontId="47" fillId="0" borderId="9" applyNumberFormat="0" applyFill="0" applyAlignment="0" applyProtection="0"/>
    <xf numFmtId="0" fontId="59" fillId="0" borderId="9" applyNumberFormat="0" applyFill="0" applyAlignment="0" applyProtection="0"/>
    <xf numFmtId="0" fontId="59" fillId="0" borderId="9" applyNumberFormat="0" applyFill="0" applyAlignment="0" applyProtection="0"/>
    <xf numFmtId="0" fontId="47" fillId="0" borderId="9" applyNumberFormat="0" applyFill="0" applyAlignment="0" applyProtection="0"/>
    <xf numFmtId="0" fontId="47" fillId="0" borderId="9" applyNumberFormat="0" applyFill="0" applyAlignment="0" applyProtection="0"/>
    <xf numFmtId="0" fontId="47" fillId="0" borderId="9" applyNumberFormat="0" applyFill="0" applyAlignment="0" applyProtection="0"/>
    <xf numFmtId="0" fontId="47" fillId="0" borderId="9" applyNumberFormat="0" applyFill="0" applyAlignment="0" applyProtection="0"/>
    <xf numFmtId="0" fontId="47" fillId="0" borderId="9" applyNumberFormat="0" applyFill="0" applyAlignment="0" applyProtection="0"/>
    <xf numFmtId="0" fontId="52" fillId="0" borderId="9" applyNumberFormat="0" applyFill="0" applyAlignment="0" applyProtection="0"/>
    <xf numFmtId="0" fontId="47" fillId="0" borderId="9" applyNumberFormat="0" applyFill="0" applyAlignment="0" applyProtection="0"/>
    <xf numFmtId="0" fontId="47" fillId="0" borderId="9" applyNumberFormat="0" applyFill="0" applyAlignment="0" applyProtection="0"/>
    <xf numFmtId="0" fontId="59" fillId="0" borderId="9" applyNumberFormat="0" applyFill="0" applyAlignment="0" applyProtection="0"/>
    <xf numFmtId="0" fontId="59" fillId="0" borderId="9" applyNumberFormat="0" applyFill="0" applyAlignment="0" applyProtection="0"/>
    <xf numFmtId="0" fontId="47" fillId="0" borderId="9" applyNumberFormat="0" applyFill="0" applyAlignment="0" applyProtection="0"/>
    <xf numFmtId="0" fontId="47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4" fillId="0" borderId="0"/>
    <xf numFmtId="0" fontId="3" fillId="0" borderId="0"/>
    <xf numFmtId="0" fontId="2" fillId="0" borderId="0"/>
    <xf numFmtId="0" fontId="2" fillId="0" borderId="0"/>
    <xf numFmtId="0" fontId="55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55" fillId="0" borderId="0"/>
    <xf numFmtId="0" fontId="2" fillId="0" borderId="0"/>
    <xf numFmtId="0" fontId="3" fillId="0" borderId="0"/>
    <xf numFmtId="0" fontId="55" fillId="0" borderId="0"/>
    <xf numFmtId="0" fontId="2" fillId="0" borderId="0"/>
    <xf numFmtId="0" fontId="5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2" fillId="0" borderId="0" applyNumberFormat="0" applyFill="0" applyBorder="0" applyAlignment="0" applyProtection="0">
      <alignment vertical="top"/>
      <protection locked="0"/>
    </xf>
    <xf numFmtId="0" fontId="83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0" fontId="44" fillId="0" borderId="0" applyNumberFormat="0" applyFill="0" applyBorder="0" applyAlignment="0" applyProtection="0">
      <alignment vertical="top"/>
      <protection locked="0"/>
    </xf>
    <xf numFmtId="0" fontId="84" fillId="0" borderId="0" applyNumberFormat="0" applyFill="0" applyBorder="0" applyAlignment="0" applyProtection="0">
      <alignment vertical="top"/>
      <protection locked="0"/>
    </xf>
    <xf numFmtId="0" fontId="44" fillId="0" borderId="0" applyNumberFormat="0" applyFill="0" applyBorder="0" applyAlignment="0" applyProtection="0">
      <alignment vertical="top"/>
      <protection locked="0"/>
    </xf>
    <xf numFmtId="0" fontId="83" fillId="0" borderId="0" applyNumberFormat="0" applyFill="0" applyBorder="0" applyAlignment="0" applyProtection="0">
      <alignment vertical="top"/>
    </xf>
    <xf numFmtId="0" fontId="83" fillId="0" borderId="0" applyNumberFormat="0" applyFill="0" applyBorder="0" applyAlignment="0" applyProtection="0">
      <alignment vertical="top"/>
    </xf>
    <xf numFmtId="0" fontId="85" fillId="0" borderId="0" applyNumberFormat="0" applyFill="0" applyBorder="0" applyAlignment="0" applyProtection="0"/>
    <xf numFmtId="0" fontId="82" fillId="0" borderId="0" applyNumberFormat="0" applyFill="0" applyBorder="0" applyAlignment="0" applyProtection="0">
      <alignment vertical="top"/>
      <protection locked="0"/>
    </xf>
    <xf numFmtId="0" fontId="83" fillId="0" borderId="0" applyNumberFormat="0" applyFill="0" applyBorder="0" applyAlignment="0" applyProtection="0">
      <alignment vertical="top"/>
    </xf>
    <xf numFmtId="0" fontId="82" fillId="0" borderId="0" applyNumberFormat="0" applyFill="0" applyBorder="0" applyAlignment="0" applyProtection="0">
      <alignment vertical="top"/>
      <protection locked="0"/>
    </xf>
    <xf numFmtId="0" fontId="82" fillId="0" borderId="0" applyNumberFormat="0" applyFill="0" applyBorder="0" applyAlignment="0" applyProtection="0">
      <alignment vertical="top"/>
      <protection locked="0"/>
    </xf>
    <xf numFmtId="0" fontId="82" fillId="0" borderId="0" applyNumberFormat="0" applyFill="0" applyBorder="0" applyAlignment="0" applyProtection="0">
      <alignment vertical="top"/>
      <protection locked="0"/>
    </xf>
    <xf numFmtId="0" fontId="82" fillId="0" borderId="0" applyNumberFormat="0" applyFill="0" applyBorder="0" applyAlignment="0" applyProtection="0">
      <alignment vertical="top"/>
      <protection locked="0"/>
    </xf>
    <xf numFmtId="0" fontId="82" fillId="0" borderId="0" applyNumberFormat="0" applyFill="0" applyBorder="0" applyAlignment="0" applyProtection="0">
      <alignment vertical="top"/>
      <protection locked="0"/>
    </xf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21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82" fillId="0" borderId="0" applyNumberFormat="0" applyFill="0" applyBorder="0" applyAlignment="0" applyProtection="0">
      <alignment vertical="top"/>
      <protection locked="0"/>
    </xf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2" fillId="0" borderId="0" applyNumberFormat="0" applyFill="0" applyBorder="0" applyAlignment="0" applyProtection="0">
      <alignment vertical="top"/>
      <protection locked="0"/>
    </xf>
    <xf numFmtId="0" fontId="57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44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/>
    <xf numFmtId="0" fontId="21" fillId="0" borderId="0" applyNumberFormat="0" applyFill="0" applyBorder="0" applyAlignment="0" applyProtection="0">
      <alignment vertical="top"/>
      <protection locked="0"/>
    </xf>
    <xf numFmtId="0" fontId="44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89" fillId="0" borderId="0" applyNumberFormat="0" applyFill="0" applyBorder="0" applyAlignment="0" applyProtection="0"/>
    <xf numFmtId="0" fontId="83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44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90" fillId="0" borderId="0" applyNumberFormat="0" applyFill="0" applyBorder="0" applyAlignment="0" applyProtection="0">
      <alignment vertical="top"/>
      <protection locked="0"/>
    </xf>
    <xf numFmtId="0" fontId="83" fillId="0" borderId="0" applyNumberFormat="0" applyFill="0" applyBorder="0" applyAlignment="0" applyProtection="0"/>
    <xf numFmtId="0" fontId="21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/>
    <xf numFmtId="0" fontId="83" fillId="0" borderId="0" applyNumberFormat="0" applyFill="0" applyBorder="0" applyAlignment="0" applyProtection="0">
      <alignment vertical="top"/>
      <protection locked="0"/>
    </xf>
    <xf numFmtId="0" fontId="83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85" fillId="0" borderId="0" applyNumberFormat="0" applyFill="0" applyBorder="0" applyAlignment="0" applyProtection="0"/>
    <xf numFmtId="0" fontId="82" fillId="0" borderId="0" applyNumberFormat="0" applyFill="0" applyBorder="0" applyAlignment="0" applyProtection="0">
      <alignment vertical="top"/>
      <protection locked="0"/>
    </xf>
    <xf numFmtId="0" fontId="83" fillId="0" borderId="0" applyNumberFormat="0" applyFill="0" applyBorder="0" applyAlignment="0" applyProtection="0">
      <alignment vertical="top"/>
      <protection locked="0"/>
    </xf>
    <xf numFmtId="0" fontId="85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83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83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/>
    <xf numFmtId="0" fontId="83" fillId="0" borderId="0" applyNumberFormat="0" applyFill="0" applyBorder="0" applyAlignment="0" applyProtection="0">
      <alignment vertical="top"/>
      <protection locked="0"/>
    </xf>
    <xf numFmtId="0" fontId="91" fillId="86" borderId="12" applyNumberFormat="0" applyAlignment="0" applyProtection="0"/>
    <xf numFmtId="0" fontId="38" fillId="8" borderId="1" applyNumberFormat="0" applyAlignment="0" applyProtection="0"/>
    <xf numFmtId="0" fontId="38" fillId="8" borderId="1" applyNumberFormat="0" applyAlignment="0" applyProtection="0"/>
    <xf numFmtId="0" fontId="38" fillId="8" borderId="1" applyNumberFormat="0" applyAlignment="0" applyProtection="0"/>
    <xf numFmtId="0" fontId="91" fillId="86" borderId="12" applyNumberFormat="0" applyAlignment="0" applyProtection="0"/>
    <xf numFmtId="0" fontId="38" fillId="8" borderId="1" applyNumberFormat="0" applyAlignment="0" applyProtection="0"/>
    <xf numFmtId="0" fontId="38" fillId="8" borderId="1" applyNumberFormat="0" applyAlignment="0" applyProtection="0"/>
    <xf numFmtId="0" fontId="38" fillId="8" borderId="1" applyNumberFormat="0" applyAlignment="0" applyProtection="0"/>
    <xf numFmtId="0" fontId="38" fillId="8" borderId="1" applyNumberFormat="0" applyAlignment="0" applyProtection="0"/>
    <xf numFmtId="0" fontId="38" fillId="8" borderId="1" applyNumberFormat="0" applyAlignment="0" applyProtection="0"/>
    <xf numFmtId="0" fontId="38" fillId="8" borderId="1" applyNumberFormat="0" applyAlignment="0" applyProtection="0"/>
    <xf numFmtId="0" fontId="38" fillId="8" borderId="1" applyNumberFormat="0" applyAlignment="0" applyProtection="0"/>
    <xf numFmtId="0" fontId="38" fillId="8" borderId="1" applyNumberFormat="0" applyAlignment="0" applyProtection="0"/>
    <xf numFmtId="0" fontId="38" fillId="8" borderId="1" applyNumberFormat="0" applyAlignment="0" applyProtection="0"/>
    <xf numFmtId="0" fontId="38" fillId="8" borderId="1" applyNumberFormat="0" applyAlignment="0" applyProtection="0"/>
    <xf numFmtId="0" fontId="38" fillId="8" borderId="1" applyNumberFormat="0" applyAlignment="0" applyProtection="0"/>
    <xf numFmtId="0" fontId="38" fillId="8" borderId="1" applyNumberFormat="0" applyAlignment="0" applyProtection="0"/>
    <xf numFmtId="0" fontId="38" fillId="8" borderId="1" applyNumberFormat="0" applyAlignment="0" applyProtection="0"/>
    <xf numFmtId="0" fontId="38" fillId="8" borderId="1" applyNumberFormat="0" applyAlignment="0" applyProtection="0"/>
    <xf numFmtId="0" fontId="38" fillId="8" borderId="1" applyNumberFormat="0" applyAlignment="0" applyProtection="0"/>
    <xf numFmtId="0" fontId="38" fillId="8" borderId="1" applyNumberFormat="0" applyAlignment="0" applyProtection="0"/>
    <xf numFmtId="0" fontId="38" fillId="8" borderId="1" applyNumberFormat="0" applyAlignment="0" applyProtection="0"/>
    <xf numFmtId="0" fontId="91" fillId="86" borderId="12" applyNumberFormat="0" applyAlignment="0" applyProtection="0"/>
    <xf numFmtId="0" fontId="38" fillId="8" borderId="1" applyNumberFormat="0" applyAlignment="0" applyProtection="0"/>
    <xf numFmtId="0" fontId="38" fillId="8" borderId="1" applyNumberFormat="0" applyAlignment="0" applyProtection="0"/>
    <xf numFmtId="0" fontId="91" fillId="86" borderId="12" applyNumberFormat="0" applyAlignment="0" applyProtection="0"/>
    <xf numFmtId="0" fontId="38" fillId="8" borderId="1" applyNumberFormat="0" applyAlignment="0" applyProtection="0"/>
    <xf numFmtId="0" fontId="91" fillId="86" borderId="12" applyNumberFormat="0" applyAlignment="0" applyProtection="0"/>
    <xf numFmtId="0" fontId="91" fillId="86" borderId="12" applyNumberFormat="0" applyAlignment="0" applyProtection="0"/>
    <xf numFmtId="0" fontId="38" fillId="8" borderId="1" applyNumberFormat="0" applyAlignment="0" applyProtection="0"/>
    <xf numFmtId="0" fontId="38" fillId="8" borderId="1" applyNumberFormat="0" applyAlignment="0" applyProtection="0"/>
    <xf numFmtId="0" fontId="91" fillId="86" borderId="12" applyNumberFormat="0" applyAlignment="0" applyProtection="0"/>
    <xf numFmtId="0" fontId="38" fillId="8" borderId="1" applyNumberFormat="0" applyAlignment="0" applyProtection="0"/>
    <xf numFmtId="0" fontId="38" fillId="8" borderId="1" applyNumberFormat="0" applyAlignment="0" applyProtection="0"/>
    <xf numFmtId="0" fontId="91" fillId="86" borderId="12" applyNumberFormat="0" applyAlignment="0" applyProtection="0"/>
    <xf numFmtId="0" fontId="38" fillId="8" borderId="1" applyNumberFormat="0" applyAlignment="0" applyProtection="0"/>
    <xf numFmtId="0" fontId="38" fillId="8" borderId="1" applyNumberFormat="0" applyAlignment="0" applyProtection="0"/>
    <xf numFmtId="0" fontId="91" fillId="86" borderId="12" applyNumberFormat="0" applyAlignment="0" applyProtection="0"/>
    <xf numFmtId="0" fontId="38" fillId="8" borderId="1" applyNumberFormat="0" applyAlignment="0" applyProtection="0"/>
    <xf numFmtId="0" fontId="38" fillId="8" borderId="1" applyNumberFormat="0" applyAlignment="0" applyProtection="0"/>
    <xf numFmtId="0" fontId="91" fillId="86" borderId="12" applyNumberFormat="0" applyAlignment="0" applyProtection="0"/>
    <xf numFmtId="0" fontId="38" fillId="8" borderId="1" applyNumberFormat="0" applyAlignment="0" applyProtection="0"/>
    <xf numFmtId="0" fontId="38" fillId="8" borderId="1" applyNumberFormat="0" applyAlignment="0" applyProtection="0"/>
    <xf numFmtId="0" fontId="91" fillId="86" borderId="12" applyNumberFormat="0" applyAlignment="0" applyProtection="0"/>
    <xf numFmtId="0" fontId="38" fillId="8" borderId="1" applyNumberFormat="0" applyAlignment="0" applyProtection="0"/>
    <xf numFmtId="0" fontId="38" fillId="8" borderId="1" applyNumberFormat="0" applyAlignment="0" applyProtection="0"/>
    <xf numFmtId="0" fontId="91" fillId="86" borderId="12" applyNumberFormat="0" applyAlignment="0" applyProtection="0"/>
    <xf numFmtId="0" fontId="38" fillId="8" borderId="1" applyNumberFormat="0" applyAlignment="0" applyProtection="0"/>
    <xf numFmtId="0" fontId="38" fillId="8" borderId="1" applyNumberFormat="0" applyAlignment="0" applyProtection="0"/>
    <xf numFmtId="0" fontId="38" fillId="8" borderId="1" applyNumberFormat="0" applyAlignment="0" applyProtection="0"/>
    <xf numFmtId="0" fontId="91" fillId="86" borderId="12" applyNumberFormat="0" applyAlignment="0" applyProtection="0"/>
    <xf numFmtId="0" fontId="38" fillId="8" borderId="1" applyNumberFormat="0" applyAlignment="0" applyProtection="0"/>
    <xf numFmtId="0" fontId="38" fillId="8" borderId="1" applyNumberFormat="0" applyAlignment="0" applyProtection="0"/>
    <xf numFmtId="0" fontId="91" fillId="86" borderId="12" applyNumberFormat="0" applyAlignment="0" applyProtection="0"/>
    <xf numFmtId="0" fontId="38" fillId="8" borderId="1" applyNumberFormat="0" applyAlignment="0" applyProtection="0"/>
    <xf numFmtId="0" fontId="91" fillId="86" borderId="12" applyNumberFormat="0" applyAlignment="0" applyProtection="0"/>
    <xf numFmtId="0" fontId="91" fillId="86" borderId="12" applyNumberFormat="0" applyAlignment="0" applyProtection="0"/>
    <xf numFmtId="0" fontId="91" fillId="86" borderId="12" applyNumberFormat="0" applyAlignment="0" applyProtection="0"/>
    <xf numFmtId="0" fontId="91" fillId="86" borderId="12" applyNumberFormat="0" applyAlignment="0" applyProtection="0"/>
    <xf numFmtId="0" fontId="91" fillId="86" borderId="12" applyNumberFormat="0" applyAlignment="0" applyProtection="0"/>
    <xf numFmtId="0" fontId="91" fillId="86" borderId="12" applyNumberFormat="0" applyAlignment="0" applyProtection="0"/>
    <xf numFmtId="0" fontId="16" fillId="8" borderId="1" applyNumberFormat="0" applyAlignment="0" applyProtection="0"/>
    <xf numFmtId="0" fontId="38" fillId="8" borderId="1" applyNumberFormat="0" applyAlignment="0" applyProtection="0"/>
    <xf numFmtId="0" fontId="38" fillId="8" borderId="1" applyNumberFormat="0" applyAlignment="0" applyProtection="0"/>
    <xf numFmtId="0" fontId="38" fillId="8" borderId="1" applyNumberFormat="0" applyAlignment="0" applyProtection="0"/>
    <xf numFmtId="0" fontId="16" fillId="8" borderId="1" applyNumberFormat="0" applyAlignment="0" applyProtection="0"/>
    <xf numFmtId="0" fontId="92" fillId="57" borderId="13" applyNumberFormat="0" applyAlignment="0" applyProtection="0"/>
    <xf numFmtId="0" fontId="16" fillId="8" borderId="1" applyNumberFormat="0" applyAlignment="0" applyProtection="0"/>
    <xf numFmtId="0" fontId="38" fillId="8" borderId="1" applyNumberFormat="0" applyAlignment="0" applyProtection="0"/>
    <xf numFmtId="0" fontId="16" fillId="8" borderId="1" applyNumberFormat="0" applyAlignment="0" applyProtection="0"/>
    <xf numFmtId="0" fontId="38" fillId="8" borderId="1" applyNumberFormat="0" applyAlignment="0" applyProtection="0"/>
    <xf numFmtId="0" fontId="92" fillId="57" borderId="13" applyNumberFormat="0" applyAlignment="0" applyProtection="0"/>
    <xf numFmtId="0" fontId="38" fillId="8" borderId="1" applyNumberFormat="0" applyAlignment="0" applyProtection="0"/>
    <xf numFmtId="0" fontId="92" fillId="57" borderId="13" applyNumberFormat="0" applyAlignment="0" applyProtection="0"/>
    <xf numFmtId="0" fontId="38" fillId="8" borderId="1" applyNumberFormat="0" applyAlignment="0" applyProtection="0"/>
    <xf numFmtId="0" fontId="16" fillId="8" borderId="1" applyNumberFormat="0" applyAlignment="0" applyProtection="0"/>
    <xf numFmtId="0" fontId="38" fillId="8" borderId="1" applyNumberFormat="0" applyAlignment="0" applyProtection="0"/>
    <xf numFmtId="0" fontId="38" fillId="8" borderId="1" applyNumberFormat="0" applyAlignment="0" applyProtection="0"/>
    <xf numFmtId="0" fontId="16" fillId="8" borderId="1" applyNumberFormat="0" applyAlignment="0" applyProtection="0"/>
    <xf numFmtId="0" fontId="38" fillId="8" borderId="1" applyNumberFormat="0" applyAlignment="0" applyProtection="0"/>
    <xf numFmtId="0" fontId="38" fillId="8" borderId="1" applyNumberFormat="0" applyAlignment="0" applyProtection="0"/>
    <xf numFmtId="0" fontId="38" fillId="8" borderId="1" applyNumberFormat="0" applyAlignment="0" applyProtection="0"/>
    <xf numFmtId="0" fontId="38" fillId="8" borderId="1" applyNumberFormat="0" applyAlignment="0" applyProtection="0"/>
    <xf numFmtId="0" fontId="38" fillId="8" borderId="1" applyNumberFormat="0" applyAlignment="0" applyProtection="0"/>
    <xf numFmtId="0" fontId="38" fillId="8" borderId="1" applyNumberFormat="0" applyAlignment="0" applyProtection="0"/>
    <xf numFmtId="0" fontId="38" fillId="8" borderId="1" applyNumberFormat="0" applyAlignment="0" applyProtection="0"/>
    <xf numFmtId="0" fontId="38" fillId="8" borderId="1" applyNumberFormat="0" applyAlignment="0" applyProtection="0"/>
    <xf numFmtId="0" fontId="38" fillId="8" borderId="1" applyNumberFormat="0" applyAlignment="0" applyProtection="0"/>
    <xf numFmtId="0" fontId="38" fillId="8" borderId="1" applyNumberFormat="0" applyAlignment="0" applyProtection="0"/>
    <xf numFmtId="0" fontId="38" fillId="8" borderId="1" applyNumberFormat="0" applyAlignment="0" applyProtection="0"/>
    <xf numFmtId="0" fontId="38" fillId="8" borderId="1" applyNumberFormat="0" applyAlignment="0" applyProtection="0"/>
    <xf numFmtId="0" fontId="38" fillId="8" borderId="1" applyNumberFormat="0" applyAlignment="0" applyProtection="0"/>
    <xf numFmtId="0" fontId="16" fillId="8" borderId="1" applyNumberFormat="0" applyAlignment="0" applyProtection="0"/>
    <xf numFmtId="0" fontId="16" fillId="16" borderId="1" applyNumberFormat="0" applyAlignment="0" applyProtection="0"/>
    <xf numFmtId="0" fontId="38" fillId="8" borderId="1" applyNumberFormat="0" applyAlignment="0" applyProtection="0"/>
    <xf numFmtId="0" fontId="38" fillId="8" borderId="1" applyNumberFormat="0" applyAlignment="0" applyProtection="0"/>
    <xf numFmtId="0" fontId="38" fillId="8" borderId="1" applyNumberFormat="0" applyAlignment="0" applyProtection="0"/>
    <xf numFmtId="0" fontId="16" fillId="16" borderId="1" applyNumberFormat="0" applyAlignment="0" applyProtection="0"/>
    <xf numFmtId="0" fontId="38" fillId="8" borderId="1" applyNumberFormat="0" applyAlignment="0" applyProtection="0"/>
    <xf numFmtId="0" fontId="16" fillId="8" borderId="1" applyNumberFormat="0" applyAlignment="0" applyProtection="0"/>
    <xf numFmtId="0" fontId="38" fillId="8" borderId="1" applyNumberFormat="0" applyAlignment="0" applyProtection="0"/>
    <xf numFmtId="0" fontId="38" fillId="8" borderId="1" applyNumberFormat="0" applyAlignment="0" applyProtection="0"/>
    <xf numFmtId="0" fontId="16" fillId="8" borderId="1" applyNumberFormat="0" applyAlignment="0" applyProtection="0"/>
    <xf numFmtId="0" fontId="38" fillId="8" borderId="1" applyNumberFormat="0" applyAlignment="0" applyProtection="0"/>
    <xf numFmtId="0" fontId="16" fillId="16" borderId="1" applyNumberFormat="0" applyAlignment="0" applyProtection="0"/>
    <xf numFmtId="0" fontId="38" fillId="8" borderId="1" applyNumberFormat="0" applyAlignment="0" applyProtection="0"/>
    <xf numFmtId="0" fontId="38" fillId="8" borderId="1" applyNumberFormat="0" applyAlignment="0" applyProtection="0"/>
    <xf numFmtId="0" fontId="38" fillId="8" borderId="1" applyNumberFormat="0" applyAlignment="0" applyProtection="0"/>
    <xf numFmtId="0" fontId="38" fillId="8" borderId="1" applyNumberFormat="0" applyAlignment="0" applyProtection="0"/>
    <xf numFmtId="0" fontId="38" fillId="8" borderId="1" applyNumberFormat="0" applyAlignment="0" applyProtection="0"/>
    <xf numFmtId="0" fontId="38" fillId="8" borderId="1" applyNumberFormat="0" applyAlignment="0" applyProtection="0"/>
    <xf numFmtId="0" fontId="38" fillId="8" borderId="1" applyNumberFormat="0" applyAlignment="0" applyProtection="0"/>
    <xf numFmtId="0" fontId="38" fillId="8" borderId="1" applyNumberFormat="0" applyAlignment="0" applyProtection="0"/>
    <xf numFmtId="0" fontId="38" fillId="8" borderId="1" applyNumberFormat="0" applyAlignment="0" applyProtection="0"/>
    <xf numFmtId="0" fontId="38" fillId="8" borderId="1" applyNumberFormat="0" applyAlignment="0" applyProtection="0"/>
    <xf numFmtId="0" fontId="38" fillId="8" borderId="1" applyNumberFormat="0" applyAlignment="0" applyProtection="0"/>
    <xf numFmtId="0" fontId="38" fillId="8" borderId="1" applyNumberFormat="0" applyAlignment="0" applyProtection="0"/>
    <xf numFmtId="0" fontId="38" fillId="8" borderId="1" applyNumberFormat="0" applyAlignment="0" applyProtection="0"/>
    <xf numFmtId="0" fontId="38" fillId="8" borderId="1" applyNumberFormat="0" applyAlignment="0" applyProtection="0"/>
    <xf numFmtId="0" fontId="38" fillId="8" borderId="1" applyNumberFormat="0" applyAlignment="0" applyProtection="0"/>
    <xf numFmtId="0" fontId="38" fillId="8" borderId="1" applyNumberFormat="0" applyAlignment="0" applyProtection="0"/>
    <xf numFmtId="0" fontId="38" fillId="8" borderId="1" applyNumberFormat="0" applyAlignment="0" applyProtection="0"/>
    <xf numFmtId="0" fontId="38" fillId="8" borderId="1" applyNumberFormat="0" applyAlignment="0" applyProtection="0"/>
    <xf numFmtId="0" fontId="38" fillId="8" borderId="1" applyNumberFormat="0" applyAlignment="0" applyProtection="0"/>
    <xf numFmtId="0" fontId="38" fillId="8" borderId="1" applyNumberFormat="0" applyAlignment="0" applyProtection="0"/>
    <xf numFmtId="0" fontId="38" fillId="8" borderId="1" applyNumberFormat="0" applyAlignment="0" applyProtection="0"/>
    <xf numFmtId="0" fontId="38" fillId="8" borderId="1" applyNumberFormat="0" applyAlignment="0" applyProtection="0"/>
    <xf numFmtId="0" fontId="38" fillId="8" borderId="1" applyNumberFormat="0" applyAlignment="0" applyProtection="0"/>
    <xf numFmtId="0" fontId="38" fillId="8" borderId="1" applyNumberFormat="0" applyAlignment="0" applyProtection="0"/>
    <xf numFmtId="0" fontId="38" fillId="8" borderId="1" applyNumberFormat="0" applyAlignment="0" applyProtection="0"/>
    <xf numFmtId="0" fontId="38" fillId="8" borderId="1" applyNumberFormat="0" applyAlignment="0" applyProtection="0"/>
    <xf numFmtId="0" fontId="38" fillId="8" borderId="1" applyNumberFormat="0" applyAlignment="0" applyProtection="0"/>
    <xf numFmtId="0" fontId="38" fillId="8" borderId="1" applyNumberFormat="0" applyAlignment="0" applyProtection="0"/>
    <xf numFmtId="0" fontId="38" fillId="8" borderId="1" applyNumberFormat="0" applyAlignment="0" applyProtection="0"/>
    <xf numFmtId="0" fontId="38" fillId="8" borderId="1" applyNumberFormat="0" applyAlignment="0" applyProtection="0"/>
    <xf numFmtId="0" fontId="38" fillId="8" borderId="1" applyNumberFormat="0" applyAlignment="0" applyProtection="0"/>
    <xf numFmtId="0" fontId="38" fillId="8" borderId="1" applyNumberFormat="0" applyAlignment="0" applyProtection="0"/>
    <xf numFmtId="0" fontId="38" fillId="8" borderId="1" applyNumberFormat="0" applyAlignment="0" applyProtection="0"/>
    <xf numFmtId="0" fontId="16" fillId="8" borderId="1" applyNumberFormat="0" applyAlignment="0" applyProtection="0"/>
    <xf numFmtId="0" fontId="38" fillId="8" borderId="1" applyNumberFormat="0" applyAlignment="0" applyProtection="0"/>
    <xf numFmtId="0" fontId="38" fillId="8" borderId="1" applyNumberFormat="0" applyAlignment="0" applyProtection="0"/>
    <xf numFmtId="0" fontId="38" fillId="8" borderId="1" applyNumberFormat="0" applyAlignment="0" applyProtection="0"/>
    <xf numFmtId="0" fontId="16" fillId="8" borderId="1" applyNumberFormat="0" applyAlignment="0" applyProtection="0"/>
    <xf numFmtId="0" fontId="38" fillId="8" borderId="1" applyNumberFormat="0" applyAlignment="0" applyProtection="0"/>
    <xf numFmtId="0" fontId="38" fillId="8" borderId="1" applyNumberFormat="0" applyAlignment="0" applyProtection="0"/>
    <xf numFmtId="0" fontId="38" fillId="8" borderId="1" applyNumberFormat="0" applyAlignment="0" applyProtection="0"/>
    <xf numFmtId="0" fontId="38" fillId="8" borderId="1" applyNumberFormat="0" applyAlignment="0" applyProtection="0"/>
    <xf numFmtId="0" fontId="38" fillId="8" borderId="1" applyNumberFormat="0" applyAlignment="0" applyProtection="0"/>
    <xf numFmtId="0" fontId="38" fillId="8" borderId="1" applyNumberFormat="0" applyAlignment="0" applyProtection="0"/>
    <xf numFmtId="0" fontId="38" fillId="8" borderId="1" applyNumberFormat="0" applyAlignment="0" applyProtection="0"/>
    <xf numFmtId="0" fontId="38" fillId="8" borderId="1" applyNumberFormat="0" applyAlignment="0" applyProtection="0"/>
    <xf numFmtId="0" fontId="38" fillId="8" borderId="1" applyNumberFormat="0" applyAlignment="0" applyProtection="0"/>
    <xf numFmtId="0" fontId="38" fillId="8" borderId="1" applyNumberFormat="0" applyAlignment="0" applyProtection="0"/>
    <xf numFmtId="0" fontId="38" fillId="8" borderId="1" applyNumberFormat="0" applyAlignment="0" applyProtection="0"/>
    <xf numFmtId="0" fontId="38" fillId="8" borderId="1" applyNumberFormat="0" applyAlignment="0" applyProtection="0"/>
    <xf numFmtId="0" fontId="38" fillId="8" borderId="1" applyNumberFormat="0" applyAlignment="0" applyProtection="0"/>
    <xf numFmtId="0" fontId="38" fillId="8" borderId="1" applyNumberFormat="0" applyAlignment="0" applyProtection="0"/>
    <xf numFmtId="0" fontId="38" fillId="8" borderId="1" applyNumberFormat="0" applyAlignment="0" applyProtection="0"/>
    <xf numFmtId="0" fontId="38" fillId="8" borderId="1" applyNumberFormat="0" applyAlignment="0" applyProtection="0"/>
    <xf numFmtId="0" fontId="38" fillId="8" borderId="1" applyNumberFormat="0" applyAlignment="0" applyProtection="0"/>
    <xf numFmtId="0" fontId="16" fillId="16" borderId="1" applyNumberFormat="0" applyAlignment="0" applyProtection="0"/>
    <xf numFmtId="0" fontId="38" fillId="8" borderId="1" applyNumberFormat="0" applyAlignment="0" applyProtection="0"/>
    <xf numFmtId="0" fontId="38" fillId="8" borderId="1" applyNumberFormat="0" applyAlignment="0" applyProtection="0"/>
    <xf numFmtId="0" fontId="38" fillId="8" borderId="1" applyNumberFormat="0" applyAlignment="0" applyProtection="0"/>
    <xf numFmtId="0" fontId="16" fillId="16" borderId="1" applyNumberFormat="0" applyAlignment="0" applyProtection="0"/>
    <xf numFmtId="0" fontId="38" fillId="8" borderId="1" applyNumberFormat="0" applyAlignment="0" applyProtection="0"/>
    <xf numFmtId="0" fontId="38" fillId="8" borderId="1" applyNumberFormat="0" applyAlignment="0" applyProtection="0"/>
    <xf numFmtId="0" fontId="38" fillId="8" borderId="1" applyNumberFormat="0" applyAlignment="0" applyProtection="0"/>
    <xf numFmtId="0" fontId="38" fillId="8" borderId="1" applyNumberFormat="0" applyAlignment="0" applyProtection="0"/>
    <xf numFmtId="0" fontId="38" fillId="8" borderId="1" applyNumberFormat="0" applyAlignment="0" applyProtection="0"/>
    <xf numFmtId="0" fontId="38" fillId="8" borderId="1" applyNumberFormat="0" applyAlignment="0" applyProtection="0"/>
    <xf numFmtId="0" fontId="38" fillId="8" borderId="1" applyNumberFormat="0" applyAlignment="0" applyProtection="0"/>
    <xf numFmtId="0" fontId="38" fillId="8" borderId="1" applyNumberFormat="0" applyAlignment="0" applyProtection="0"/>
    <xf numFmtId="0" fontId="38" fillId="8" borderId="1" applyNumberFormat="0" applyAlignment="0" applyProtection="0"/>
    <xf numFmtId="0" fontId="38" fillId="8" borderId="1" applyNumberFormat="0" applyAlignment="0" applyProtection="0"/>
    <xf numFmtId="0" fontId="38" fillId="8" borderId="1" applyNumberFormat="0" applyAlignment="0" applyProtection="0"/>
    <xf numFmtId="0" fontId="38" fillId="8" borderId="1" applyNumberFormat="0" applyAlignment="0" applyProtection="0"/>
    <xf numFmtId="0" fontId="38" fillId="8" borderId="1" applyNumberFormat="0" applyAlignment="0" applyProtection="0"/>
    <xf numFmtId="0" fontId="38" fillId="8" borderId="1" applyNumberFormat="0" applyAlignment="0" applyProtection="0"/>
    <xf numFmtId="0" fontId="38" fillId="8" borderId="1" applyNumberFormat="0" applyAlignment="0" applyProtection="0"/>
    <xf numFmtId="0" fontId="38" fillId="8" borderId="1" applyNumberFormat="0" applyAlignment="0" applyProtection="0"/>
    <xf numFmtId="0" fontId="38" fillId="8" borderId="1" applyNumberFormat="0" applyAlignment="0" applyProtection="0"/>
    <xf numFmtId="0" fontId="16" fillId="16" borderId="1" applyNumberFormat="0" applyAlignment="0" applyProtection="0"/>
    <xf numFmtId="0" fontId="38" fillId="8" borderId="1" applyNumberFormat="0" applyAlignment="0" applyProtection="0"/>
    <xf numFmtId="0" fontId="38" fillId="8" borderId="1" applyNumberFormat="0" applyAlignment="0" applyProtection="0"/>
    <xf numFmtId="0" fontId="38" fillId="8" borderId="1" applyNumberFormat="0" applyAlignment="0" applyProtection="0"/>
    <xf numFmtId="0" fontId="16" fillId="16" borderId="1" applyNumberFormat="0" applyAlignment="0" applyProtection="0"/>
    <xf numFmtId="0" fontId="38" fillId="8" borderId="1" applyNumberFormat="0" applyAlignment="0" applyProtection="0"/>
    <xf numFmtId="0" fontId="38" fillId="8" borderId="1" applyNumberFormat="0" applyAlignment="0" applyProtection="0"/>
    <xf numFmtId="0" fontId="38" fillId="8" borderId="1" applyNumberFormat="0" applyAlignment="0" applyProtection="0"/>
    <xf numFmtId="0" fontId="38" fillId="8" borderId="1" applyNumberFormat="0" applyAlignment="0" applyProtection="0"/>
    <xf numFmtId="0" fontId="38" fillId="8" borderId="1" applyNumberFormat="0" applyAlignment="0" applyProtection="0"/>
    <xf numFmtId="0" fontId="38" fillId="8" borderId="1" applyNumberFormat="0" applyAlignment="0" applyProtection="0"/>
    <xf numFmtId="0" fontId="38" fillId="8" borderId="1" applyNumberFormat="0" applyAlignment="0" applyProtection="0"/>
    <xf numFmtId="0" fontId="38" fillId="8" borderId="1" applyNumberFormat="0" applyAlignment="0" applyProtection="0"/>
    <xf numFmtId="0" fontId="38" fillId="8" borderId="1" applyNumberFormat="0" applyAlignment="0" applyProtection="0"/>
    <xf numFmtId="0" fontId="38" fillId="8" borderId="1" applyNumberFormat="0" applyAlignment="0" applyProtection="0"/>
    <xf numFmtId="0" fontId="38" fillId="8" borderId="1" applyNumberFormat="0" applyAlignment="0" applyProtection="0"/>
    <xf numFmtId="0" fontId="38" fillId="8" borderId="1" applyNumberFormat="0" applyAlignment="0" applyProtection="0"/>
    <xf numFmtId="0" fontId="38" fillId="8" borderId="1" applyNumberFormat="0" applyAlignment="0" applyProtection="0"/>
    <xf numFmtId="0" fontId="38" fillId="8" borderId="1" applyNumberFormat="0" applyAlignment="0" applyProtection="0"/>
    <xf numFmtId="0" fontId="38" fillId="8" borderId="1" applyNumberFormat="0" applyAlignment="0" applyProtection="0"/>
    <xf numFmtId="0" fontId="38" fillId="8" borderId="1" applyNumberFormat="0" applyAlignment="0" applyProtection="0"/>
    <xf numFmtId="0" fontId="38" fillId="8" borderId="1" applyNumberFormat="0" applyAlignment="0" applyProtection="0"/>
    <xf numFmtId="0" fontId="16" fillId="16" borderId="1" applyNumberFormat="0" applyAlignment="0" applyProtection="0"/>
    <xf numFmtId="0" fontId="38" fillId="8" borderId="1" applyNumberFormat="0" applyAlignment="0" applyProtection="0"/>
    <xf numFmtId="0" fontId="38" fillId="8" borderId="1" applyNumberFormat="0" applyAlignment="0" applyProtection="0"/>
    <xf numFmtId="0" fontId="38" fillId="8" borderId="1" applyNumberFormat="0" applyAlignment="0" applyProtection="0"/>
    <xf numFmtId="0" fontId="16" fillId="16" borderId="1" applyNumberFormat="0" applyAlignment="0" applyProtection="0"/>
    <xf numFmtId="0" fontId="38" fillId="8" borderId="1" applyNumberFormat="0" applyAlignment="0" applyProtection="0"/>
    <xf numFmtId="0" fontId="38" fillId="8" borderId="1" applyNumberFormat="0" applyAlignment="0" applyProtection="0"/>
    <xf numFmtId="0" fontId="38" fillId="8" borderId="1" applyNumberFormat="0" applyAlignment="0" applyProtection="0"/>
    <xf numFmtId="0" fontId="38" fillId="8" borderId="1" applyNumberFormat="0" applyAlignment="0" applyProtection="0"/>
    <xf numFmtId="0" fontId="38" fillId="8" borderId="1" applyNumberFormat="0" applyAlignment="0" applyProtection="0"/>
    <xf numFmtId="0" fontId="38" fillId="8" borderId="1" applyNumberFormat="0" applyAlignment="0" applyProtection="0"/>
    <xf numFmtId="0" fontId="38" fillId="8" borderId="1" applyNumberFormat="0" applyAlignment="0" applyProtection="0"/>
    <xf numFmtId="0" fontId="38" fillId="8" borderId="1" applyNumberFormat="0" applyAlignment="0" applyProtection="0"/>
    <xf numFmtId="0" fontId="38" fillId="8" borderId="1" applyNumberFormat="0" applyAlignment="0" applyProtection="0"/>
    <xf numFmtId="0" fontId="38" fillId="8" borderId="1" applyNumberFormat="0" applyAlignment="0" applyProtection="0"/>
    <xf numFmtId="0" fontId="38" fillId="8" borderId="1" applyNumberFormat="0" applyAlignment="0" applyProtection="0"/>
    <xf numFmtId="0" fontId="38" fillId="8" borderId="1" applyNumberFormat="0" applyAlignment="0" applyProtection="0"/>
    <xf numFmtId="0" fontId="38" fillId="8" borderId="1" applyNumberFormat="0" applyAlignment="0" applyProtection="0"/>
    <xf numFmtId="0" fontId="38" fillId="8" borderId="1" applyNumberFormat="0" applyAlignment="0" applyProtection="0"/>
    <xf numFmtId="0" fontId="38" fillId="8" borderId="1" applyNumberFormat="0" applyAlignment="0" applyProtection="0"/>
    <xf numFmtId="0" fontId="38" fillId="8" borderId="1" applyNumberFormat="0" applyAlignment="0" applyProtection="0"/>
    <xf numFmtId="0" fontId="38" fillId="8" borderId="1" applyNumberFormat="0" applyAlignment="0" applyProtection="0"/>
    <xf numFmtId="0" fontId="91" fillId="86" borderId="12" applyNumberFormat="0" applyAlignment="0" applyProtection="0"/>
    <xf numFmtId="0" fontId="38" fillId="8" borderId="1" applyNumberFormat="0" applyAlignment="0" applyProtection="0"/>
    <xf numFmtId="0" fontId="38" fillId="8" borderId="1" applyNumberFormat="0" applyAlignment="0" applyProtection="0"/>
    <xf numFmtId="0" fontId="38" fillId="8" borderId="1" applyNumberFormat="0" applyAlignment="0" applyProtection="0"/>
    <xf numFmtId="0" fontId="91" fillId="86" borderId="12" applyNumberFormat="0" applyAlignment="0" applyProtection="0"/>
    <xf numFmtId="0" fontId="38" fillId="8" borderId="1" applyNumberFormat="0" applyAlignment="0" applyProtection="0"/>
    <xf numFmtId="0" fontId="38" fillId="8" borderId="1" applyNumberFormat="0" applyAlignment="0" applyProtection="0"/>
    <xf numFmtId="0" fontId="38" fillId="8" borderId="1" applyNumberFormat="0" applyAlignment="0" applyProtection="0"/>
    <xf numFmtId="0" fontId="38" fillId="8" borderId="1" applyNumberFormat="0" applyAlignment="0" applyProtection="0"/>
    <xf numFmtId="0" fontId="38" fillId="8" borderId="1" applyNumberFormat="0" applyAlignment="0" applyProtection="0"/>
    <xf numFmtId="0" fontId="38" fillId="8" borderId="1" applyNumberFormat="0" applyAlignment="0" applyProtection="0"/>
    <xf numFmtId="0" fontId="38" fillId="8" borderId="1" applyNumberFormat="0" applyAlignment="0" applyProtection="0"/>
    <xf numFmtId="0" fontId="38" fillId="8" borderId="1" applyNumberFormat="0" applyAlignment="0" applyProtection="0"/>
    <xf numFmtId="0" fontId="38" fillId="8" borderId="1" applyNumberFormat="0" applyAlignment="0" applyProtection="0"/>
    <xf numFmtId="0" fontId="38" fillId="8" borderId="1" applyNumberFormat="0" applyAlignment="0" applyProtection="0"/>
    <xf numFmtId="0" fontId="38" fillId="8" borderId="1" applyNumberFormat="0" applyAlignment="0" applyProtection="0"/>
    <xf numFmtId="0" fontId="38" fillId="8" borderId="1" applyNumberFormat="0" applyAlignment="0" applyProtection="0"/>
    <xf numFmtId="0" fontId="38" fillId="8" borderId="1" applyNumberFormat="0" applyAlignment="0" applyProtection="0"/>
    <xf numFmtId="0" fontId="38" fillId="8" borderId="1" applyNumberFormat="0" applyAlignment="0" applyProtection="0"/>
    <xf numFmtId="0" fontId="38" fillId="8" borderId="1" applyNumberFormat="0" applyAlignment="0" applyProtection="0"/>
    <xf numFmtId="0" fontId="38" fillId="8" borderId="1" applyNumberFormat="0" applyAlignment="0" applyProtection="0"/>
    <xf numFmtId="0" fontId="38" fillId="8" borderId="1" applyNumberFormat="0" applyAlignment="0" applyProtection="0"/>
    <xf numFmtId="0" fontId="93" fillId="0" borderId="22" applyNumberFormat="0" applyFill="0" applyAlignment="0" applyProtection="0"/>
    <xf numFmtId="0" fontId="17" fillId="0" borderId="11" applyNumberFormat="0" applyFill="0" applyAlignment="0" applyProtection="0"/>
    <xf numFmtId="0" fontId="94" fillId="0" borderId="23" applyNumberFormat="0" applyFill="0" applyAlignment="0" applyProtection="0"/>
    <xf numFmtId="0" fontId="17" fillId="0" borderId="11" applyNumberFormat="0" applyFill="0" applyAlignment="0" applyProtection="0"/>
    <xf numFmtId="0" fontId="94" fillId="0" borderId="23" applyNumberFormat="0" applyFill="0" applyAlignment="0" applyProtection="0"/>
    <xf numFmtId="0" fontId="17" fillId="0" borderId="11" applyNumberFormat="0" applyFill="0" applyAlignment="0" applyProtection="0"/>
    <xf numFmtId="0" fontId="39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39" fillId="0" borderId="11" applyNumberFormat="0" applyFill="0" applyAlignment="0" applyProtection="0"/>
    <xf numFmtId="0" fontId="17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17" fillId="0" borderId="11" applyNumberFormat="0" applyFill="0" applyAlignment="0" applyProtection="0"/>
    <xf numFmtId="0" fontId="95" fillId="87" borderId="0" applyNumberFormat="0" applyBorder="0" applyAlignment="0" applyProtection="0"/>
    <xf numFmtId="0" fontId="18" fillId="23" borderId="0" applyNumberFormat="0" applyBorder="0" applyAlignment="0" applyProtection="0"/>
    <xf numFmtId="0" fontId="96" fillId="85" borderId="0" applyNumberFormat="0" applyBorder="0" applyAlignment="0" applyProtection="0"/>
    <xf numFmtId="0" fontId="18" fillId="23" borderId="0" applyNumberFormat="0" applyBorder="0" applyAlignment="0" applyProtection="0"/>
    <xf numFmtId="0" fontId="96" fillId="85" borderId="0" applyNumberFormat="0" applyBorder="0" applyAlignment="0" applyProtection="0"/>
    <xf numFmtId="0" fontId="18" fillId="23" borderId="0" applyNumberFormat="0" applyBorder="0" applyAlignment="0" applyProtection="0"/>
    <xf numFmtId="0" fontId="40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49" borderId="0" applyNumberFormat="0" applyBorder="0" applyAlignment="0" applyProtection="0"/>
    <xf numFmtId="0" fontId="18" fillId="23" borderId="0" applyNumberFormat="0" applyBorder="0" applyAlignment="0" applyProtection="0"/>
    <xf numFmtId="0" fontId="18" fillId="49" borderId="0" applyNumberFormat="0" applyBorder="0" applyAlignment="0" applyProtection="0"/>
    <xf numFmtId="0" fontId="40" fillId="23" borderId="0" applyNumberFormat="0" applyBorder="0" applyAlignment="0" applyProtection="0"/>
    <xf numFmtId="0" fontId="18" fillId="49" borderId="0" applyNumberFormat="0" applyBorder="0" applyAlignment="0" applyProtection="0"/>
    <xf numFmtId="0" fontId="40" fillId="23" borderId="0" applyNumberFormat="0" applyBorder="0" applyAlignment="0" applyProtection="0"/>
    <xf numFmtId="0" fontId="40" fillId="23" borderId="0" applyNumberFormat="0" applyBorder="0" applyAlignment="0" applyProtection="0"/>
    <xf numFmtId="0" fontId="18" fillId="23" borderId="0" applyNumberFormat="0" applyBorder="0" applyAlignment="0" applyProtection="0"/>
    <xf numFmtId="0" fontId="3" fillId="0" borderId="0">
      <alignment vertical="top"/>
    </xf>
    <xf numFmtId="0" fontId="61" fillId="0" borderId="0" applyNumberFormat="0" applyBorder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1" fillId="0" borderId="0" applyNumberFormat="0" applyBorder="0" applyProtection="0"/>
    <xf numFmtId="0" fontId="60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54" fillId="0" borderId="0"/>
    <xf numFmtId="0" fontId="3" fillId="0" borderId="0"/>
    <xf numFmtId="0" fontId="3" fillId="0" borderId="0">
      <alignment vertical="top"/>
    </xf>
    <xf numFmtId="0" fontId="1" fillId="0" borderId="0"/>
    <xf numFmtId="0" fontId="1" fillId="0" borderId="0"/>
    <xf numFmtId="0" fontId="1" fillId="0" borderId="0"/>
    <xf numFmtId="0" fontId="54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54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54" fillId="0" borderId="0"/>
    <xf numFmtId="0" fontId="3" fillId="0" borderId="0"/>
    <xf numFmtId="0" fontId="3" fillId="0" borderId="0"/>
    <xf numFmtId="0" fontId="1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1" fillId="0" borderId="0"/>
    <xf numFmtId="0" fontId="54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60" fillId="0" borderId="0"/>
    <xf numFmtId="0" fontId="1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97" fillId="0" borderId="0" applyNumberFormat="0" applyBorder="0" applyProtection="0"/>
    <xf numFmtId="0" fontId="3" fillId="0" borderId="0"/>
    <xf numFmtId="0" fontId="6" fillId="0" borderId="0"/>
    <xf numFmtId="0" fontId="1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1" fillId="0" borderId="0"/>
    <xf numFmtId="0" fontId="3" fillId="0" borderId="0"/>
    <xf numFmtId="0" fontId="1" fillId="0" borderId="0"/>
    <xf numFmtId="0" fontId="60" fillId="0" borderId="0"/>
    <xf numFmtId="0" fontId="1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1" fillId="0" borderId="0"/>
    <xf numFmtId="0" fontId="3" fillId="0" borderId="0"/>
    <xf numFmtId="0" fontId="98" fillId="0" borderId="0"/>
    <xf numFmtId="0" fontId="3" fillId="0" borderId="0"/>
    <xf numFmtId="0" fontId="98" fillId="0" borderId="0"/>
    <xf numFmtId="0" fontId="3" fillId="0" borderId="0"/>
    <xf numFmtId="0" fontId="3" fillId="0" borderId="0"/>
    <xf numFmtId="0" fontId="54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1" fillId="0" borderId="0"/>
    <xf numFmtId="0" fontId="60" fillId="0" borderId="0"/>
    <xf numFmtId="0" fontId="1" fillId="0" borderId="0"/>
    <xf numFmtId="0" fontId="3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3" fillId="0" borderId="0"/>
    <xf numFmtId="0" fontId="3" fillId="0" borderId="0"/>
    <xf numFmtId="0" fontId="1" fillId="0" borderId="0"/>
    <xf numFmtId="0" fontId="5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3" fillId="0" borderId="0"/>
    <xf numFmtId="0" fontId="3" fillId="0" borderId="0"/>
    <xf numFmtId="0" fontId="1" fillId="0" borderId="0"/>
    <xf numFmtId="0" fontId="5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3" fillId="0" borderId="0"/>
    <xf numFmtId="0" fontId="3" fillId="0" borderId="0"/>
    <xf numFmtId="0" fontId="1" fillId="0" borderId="0"/>
    <xf numFmtId="0" fontId="5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3" fillId="0" borderId="0"/>
    <xf numFmtId="0" fontId="3" fillId="0" borderId="0"/>
    <xf numFmtId="0" fontId="1" fillId="0" borderId="0"/>
    <xf numFmtId="0" fontId="5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3" fillId="0" borderId="0"/>
    <xf numFmtId="0" fontId="3" fillId="0" borderId="0"/>
    <xf numFmtId="0" fontId="1" fillId="0" borderId="0"/>
    <xf numFmtId="0" fontId="5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3" fillId="0" borderId="0"/>
    <xf numFmtId="0" fontId="3" fillId="0" borderId="0"/>
    <xf numFmtId="0" fontId="1" fillId="0" borderId="0"/>
    <xf numFmtId="0" fontId="5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54" fillId="0" borderId="0"/>
    <xf numFmtId="0" fontId="3" fillId="0" borderId="0"/>
    <xf numFmtId="0" fontId="54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54" fillId="0" borderId="0"/>
    <xf numFmtId="0" fontId="3" fillId="0" borderId="0"/>
    <xf numFmtId="0" fontId="54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54" fillId="0" borderId="0"/>
    <xf numFmtId="0" fontId="3" fillId="0" borderId="0"/>
    <xf numFmtId="0" fontId="54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54" fillId="0" borderId="0"/>
    <xf numFmtId="0" fontId="3" fillId="0" borderId="0"/>
    <xf numFmtId="0" fontId="54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54" fillId="0" borderId="0"/>
    <xf numFmtId="0" fontId="3" fillId="0" borderId="0"/>
    <xf numFmtId="0" fontId="54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54" fillId="0" borderId="0"/>
    <xf numFmtId="0" fontId="3" fillId="0" borderId="0"/>
    <xf numFmtId="0" fontId="54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54" fillId="0" borderId="0"/>
    <xf numFmtId="0" fontId="3" fillId="0" borderId="0"/>
    <xf numFmtId="0" fontId="54" fillId="0" borderId="0"/>
    <xf numFmtId="0" fontId="3" fillId="0" borderId="0"/>
    <xf numFmtId="0" fontId="1" fillId="0" borderId="0"/>
    <xf numFmtId="0" fontId="60" fillId="0" borderId="0"/>
    <xf numFmtId="0" fontId="20" fillId="0" borderId="0"/>
    <xf numFmtId="0" fontId="3" fillId="0" borderId="0"/>
    <xf numFmtId="0" fontId="20" fillId="0" borderId="0"/>
    <xf numFmtId="0" fontId="3" fillId="0" borderId="0"/>
    <xf numFmtId="0" fontId="1" fillId="0" borderId="0"/>
    <xf numFmtId="0" fontId="3" fillId="0" borderId="0"/>
    <xf numFmtId="0" fontId="60" fillId="0" borderId="0"/>
    <xf numFmtId="0" fontId="20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54" fillId="0" borderId="0"/>
    <xf numFmtId="0" fontId="3" fillId="0" borderId="0"/>
    <xf numFmtId="0" fontId="54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54" fillId="0" borderId="0"/>
    <xf numFmtId="0" fontId="3" fillId="0" borderId="0"/>
    <xf numFmtId="0" fontId="54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62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54" fillId="0" borderId="0"/>
    <xf numFmtId="0" fontId="3" fillId="0" borderId="0"/>
    <xf numFmtId="0" fontId="54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6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6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6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6" fillId="0" borderId="0"/>
    <xf numFmtId="0" fontId="60" fillId="0" borderId="0"/>
    <xf numFmtId="0" fontId="60" fillId="0" borderId="0"/>
    <xf numFmtId="0" fontId="1" fillId="0" borderId="0"/>
    <xf numFmtId="0" fontId="6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53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60" fillId="0" borderId="0"/>
    <xf numFmtId="0" fontId="6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1" fillId="0" borderId="0"/>
    <xf numFmtId="0" fontId="3" fillId="0" borderId="0">
      <alignment vertical="top"/>
    </xf>
    <xf numFmtId="0" fontId="53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62" fillId="0" borderId="0"/>
    <xf numFmtId="0" fontId="3" fillId="0" borderId="0"/>
    <xf numFmtId="0" fontId="1" fillId="0" borderId="0"/>
    <xf numFmtId="0" fontId="1" fillId="0" borderId="0"/>
    <xf numFmtId="0" fontId="3" fillId="0" borderId="0">
      <alignment vertical="top"/>
    </xf>
    <xf numFmtId="0" fontId="1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62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62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20" fillId="0" borderId="0"/>
    <xf numFmtId="0" fontId="3" fillId="0" borderId="0"/>
    <xf numFmtId="0" fontId="6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85" fillId="0" borderId="0" applyNumberFormat="0" applyFill="0" applyBorder="0" applyAlignment="0" applyProtection="0"/>
  </cellStyleXfs>
  <cellXfs count="25">
    <xf numFmtId="0" fontId="0" fillId="0" borderId="0" xfId="0"/>
    <xf numFmtId="0" fontId="0" fillId="0" borderId="0" xfId="0"/>
    <xf numFmtId="0" fontId="0" fillId="88" borderId="0" xfId="0" applyFill="1"/>
    <xf numFmtId="0" fontId="0" fillId="0" borderId="0" xfId="0"/>
    <xf numFmtId="0" fontId="99" fillId="0" borderId="0" xfId="0" applyFont="1" applyAlignment="1">
      <alignment horizontal="right"/>
    </xf>
    <xf numFmtId="0" fontId="85" fillId="0" borderId="0" xfId="8819"/>
    <xf numFmtId="0" fontId="0" fillId="0" borderId="24" xfId="0" applyBorder="1"/>
    <xf numFmtId="0" fontId="0" fillId="0" borderId="25" xfId="0" applyBorder="1"/>
    <xf numFmtId="0" fontId="101" fillId="90" borderId="0" xfId="0" applyFont="1" applyFill="1" applyAlignment="1">
      <alignment wrapText="1"/>
    </xf>
    <xf numFmtId="0" fontId="70" fillId="88" borderId="0" xfId="0" applyFont="1" applyFill="1"/>
    <xf numFmtId="0" fontId="0" fillId="91" borderId="0" xfId="0" applyFill="1"/>
    <xf numFmtId="3" fontId="0" fillId="91" borderId="0" xfId="0" applyNumberFormat="1" applyFill="1"/>
    <xf numFmtId="0" fontId="0" fillId="0" borderId="0" xfId="0" applyAlignment="1">
      <alignment horizontal="right"/>
    </xf>
    <xf numFmtId="3" fontId="0" fillId="0" borderId="0" xfId="0" applyNumberFormat="1" applyAlignment="1">
      <alignment horizontal="right"/>
    </xf>
    <xf numFmtId="169" fontId="0" fillId="91" borderId="0" xfId="0" applyNumberFormat="1" applyFill="1"/>
    <xf numFmtId="169" fontId="0" fillId="91" borderId="0" xfId="0" applyNumberFormat="1" applyFill="1" applyAlignment="1">
      <alignment horizontal="right"/>
    </xf>
    <xf numFmtId="2" fontId="0" fillId="0" borderId="0" xfId="0" applyNumberFormat="1"/>
    <xf numFmtId="3" fontId="0" fillId="91" borderId="0" xfId="0" applyNumberFormat="1" applyFill="1" applyAlignment="1">
      <alignment horizontal="right"/>
    </xf>
    <xf numFmtId="169" fontId="0" fillId="0" borderId="0" xfId="0" applyNumberFormat="1"/>
    <xf numFmtId="0" fontId="0" fillId="91" borderId="0" xfId="0" applyFill="1" applyAlignment="1">
      <alignment horizontal="right"/>
    </xf>
    <xf numFmtId="3" fontId="0" fillId="0" borderId="0" xfId="0" applyNumberFormat="1"/>
    <xf numFmtId="0" fontId="100" fillId="89" borderId="26" xfId="0" applyFont="1" applyFill="1" applyBorder="1"/>
    <xf numFmtId="0" fontId="100" fillId="89" borderId="27" xfId="0" applyFont="1" applyFill="1" applyBorder="1"/>
    <xf numFmtId="0" fontId="100" fillId="89" borderId="28" xfId="0" applyFont="1" applyFill="1" applyBorder="1"/>
    <xf numFmtId="0" fontId="0" fillId="0" borderId="25" xfId="0" applyBorder="1" applyAlignment="1">
      <alignment horizontal="right"/>
    </xf>
  </cellXfs>
  <cellStyles count="8820">
    <cellStyle name="20% - Accent1 10" xfId="1"/>
    <cellStyle name="20% - Accent1 10 2" xfId="2"/>
    <cellStyle name="20% - Accent1 10 3" xfId="3"/>
    <cellStyle name="20% - Accent1 10 4" xfId="4"/>
    <cellStyle name="20% - Accent1 11" xfId="5"/>
    <cellStyle name="20% - Accent1 11 2" xfId="6"/>
    <cellStyle name="20% - Accent1 11 3" xfId="7"/>
    <cellStyle name="20% - Accent1 12" xfId="8"/>
    <cellStyle name="20% - Accent1 13" xfId="9"/>
    <cellStyle name="20% - Accent1 13 2" xfId="10"/>
    <cellStyle name="20% - Accent1 13 3" xfId="11"/>
    <cellStyle name="20% - Accent1 13 4" xfId="12"/>
    <cellStyle name="20% - Accent1 13 5" xfId="13"/>
    <cellStyle name="20% - Accent1 13 6" xfId="14"/>
    <cellStyle name="20% - Accent1 13 7" xfId="15"/>
    <cellStyle name="20% - Accent1 13 7 2" xfId="16"/>
    <cellStyle name="20% - Accent1 13 8" xfId="17"/>
    <cellStyle name="20% - Accent1 14" xfId="18"/>
    <cellStyle name="20% - Accent1 15" xfId="19"/>
    <cellStyle name="20% - Accent1 16" xfId="20"/>
    <cellStyle name="20% - Accent1 17" xfId="21"/>
    <cellStyle name="20% - Accent1 18" xfId="22"/>
    <cellStyle name="20% - Accent1 18 2" xfId="23"/>
    <cellStyle name="20% - Accent1 19" xfId="24"/>
    <cellStyle name="20% - Accent1 2" xfId="25"/>
    <cellStyle name="20% - Accent1 2 10" xfId="26"/>
    <cellStyle name="20% - Accent1 2 2" xfId="27"/>
    <cellStyle name="20% - Accent1 2 2 2" xfId="28"/>
    <cellStyle name="20% - Accent1 2 2 2 2" xfId="29"/>
    <cellStyle name="20% - Accent1 2 2 2 2 2" xfId="30"/>
    <cellStyle name="20% - Accent1 2 2 2 2 3" xfId="31"/>
    <cellStyle name="20% - Accent1 2 2 2 3" xfId="32"/>
    <cellStyle name="20% - Accent1 2 2 2 4" xfId="33"/>
    <cellStyle name="20% - Accent1 2 2 3" xfId="34"/>
    <cellStyle name="20% - Accent1 2 2 3 2" xfId="35"/>
    <cellStyle name="20% - Accent1 2 2 3 3" xfId="36"/>
    <cellStyle name="20% - Accent1 2 2 4" xfId="37"/>
    <cellStyle name="20% - Accent1 2 2 5" xfId="38"/>
    <cellStyle name="20% - Accent1 2 2 6" xfId="39"/>
    <cellStyle name="20% - Accent1 2 2_Analysis File Template" xfId="40"/>
    <cellStyle name="20% - Accent1 2 3" xfId="41"/>
    <cellStyle name="20% - Accent1 2 3 2" xfId="42"/>
    <cellStyle name="20% - Accent1 2 3 2 2" xfId="43"/>
    <cellStyle name="20% - Accent1 2 3 2 2 2" xfId="44"/>
    <cellStyle name="20% - Accent1 2 3 2 2 3" xfId="45"/>
    <cellStyle name="20% - Accent1 2 3 2 3" xfId="46"/>
    <cellStyle name="20% - Accent1 2 3 2 4" xfId="47"/>
    <cellStyle name="20% - Accent1 2 3 3" xfId="48"/>
    <cellStyle name="20% - Accent1 2 3 3 2" xfId="49"/>
    <cellStyle name="20% - Accent1 2 3 3 3" xfId="50"/>
    <cellStyle name="20% - Accent1 2 3 4" xfId="51"/>
    <cellStyle name="20% - Accent1 2 3 5" xfId="52"/>
    <cellStyle name="20% - Accent1 2 3 6" xfId="53"/>
    <cellStyle name="20% - Accent1 2 3_Analysis File Template" xfId="54"/>
    <cellStyle name="20% - Accent1 2 4" xfId="55"/>
    <cellStyle name="20% - Accent1 2 4 2" xfId="56"/>
    <cellStyle name="20% - Accent1 2 4 2 2" xfId="57"/>
    <cellStyle name="20% - Accent1 2 4 2 3" xfId="58"/>
    <cellStyle name="20% - Accent1 2 4 3" xfId="59"/>
    <cellStyle name="20% - Accent1 2 4 4" xfId="60"/>
    <cellStyle name="20% - Accent1 2 5" xfId="61"/>
    <cellStyle name="20% - Accent1 2 5 2" xfId="62"/>
    <cellStyle name="20% - Accent1 2 5 3" xfId="63"/>
    <cellStyle name="20% - Accent1 2 5 4" xfId="64"/>
    <cellStyle name="20% - Accent1 2 5 5" xfId="65"/>
    <cellStyle name="20% - Accent1 2 5 6" xfId="66"/>
    <cellStyle name="20% - Accent1 2 5 6 2" xfId="67"/>
    <cellStyle name="20% - Accent1 2 6" xfId="68"/>
    <cellStyle name="20% - Accent1 2 7" xfId="69"/>
    <cellStyle name="20% - Accent1 2 7 2" xfId="70"/>
    <cellStyle name="20% - Accent1 2 8" xfId="71"/>
    <cellStyle name="20% - Accent1 2 8 2" xfId="72"/>
    <cellStyle name="20% - Accent1 2 9" xfId="73"/>
    <cellStyle name="20% - Accent1 2_All_SFR_Tables" xfId="74"/>
    <cellStyle name="20% - Accent1 20" xfId="75"/>
    <cellStyle name="20% - Accent1 3" xfId="76"/>
    <cellStyle name="20% - Accent1 3 2" xfId="77"/>
    <cellStyle name="20% - Accent1 3 2 2" xfId="78"/>
    <cellStyle name="20% - Accent1 3 2 2 2" xfId="79"/>
    <cellStyle name="20% - Accent1 3 2 2 3" xfId="80"/>
    <cellStyle name="20% - Accent1 3 2 3" xfId="81"/>
    <cellStyle name="20% - Accent1 3 2 4" xfId="82"/>
    <cellStyle name="20% - Accent1 3 3" xfId="83"/>
    <cellStyle name="20% - Accent1 3 3 2" xfId="84"/>
    <cellStyle name="20% - Accent1 3 3 3" xfId="85"/>
    <cellStyle name="20% - Accent1 3 4" xfId="86"/>
    <cellStyle name="20% - Accent1 3 4 2" xfId="87"/>
    <cellStyle name="20% - Accent1 3 4 3" xfId="88"/>
    <cellStyle name="20% - Accent1 3 4 4" xfId="89"/>
    <cellStyle name="20% - Accent1 3 4 4 2" xfId="90"/>
    <cellStyle name="20% - Accent1 3 5" xfId="91"/>
    <cellStyle name="20% - Accent1 3 5 2" xfId="92"/>
    <cellStyle name="20% - Accent1 3 5 3" xfId="93"/>
    <cellStyle name="20% - Accent1 3 6" xfId="94"/>
    <cellStyle name="20% - Accent1 3 6 2" xfId="95"/>
    <cellStyle name="20% - Accent1 3 7" xfId="96"/>
    <cellStyle name="20% - Accent1 3 8" xfId="97"/>
    <cellStyle name="20% - Accent1 3_Analysis File Template" xfId="98"/>
    <cellStyle name="20% - Accent1 4" xfId="99"/>
    <cellStyle name="20% - Accent1 4 2" xfId="100"/>
    <cellStyle name="20% - Accent1 4 2 2" xfId="101"/>
    <cellStyle name="20% - Accent1 4 3" xfId="102"/>
    <cellStyle name="20% - Accent1 4 3 2" xfId="103"/>
    <cellStyle name="20% - Accent1 4 3 3" xfId="104"/>
    <cellStyle name="20% - Accent1 4 3 4" xfId="105"/>
    <cellStyle name="20% - Accent1 4 3 4 2" xfId="106"/>
    <cellStyle name="20% - Accent1 4 4" xfId="107"/>
    <cellStyle name="20% - Accent1 4_Draft SFR tables 300113 V8" xfId="108"/>
    <cellStyle name="20% - Accent1 5" xfId="109"/>
    <cellStyle name="20% - Accent1 5 2" xfId="110"/>
    <cellStyle name="20% - Accent1 5 2 2" xfId="111"/>
    <cellStyle name="20% - Accent1 5 3" xfId="112"/>
    <cellStyle name="20% - Accent1 5_Draft SFR tables 300113 V8" xfId="113"/>
    <cellStyle name="20% - Accent1 6" xfId="114"/>
    <cellStyle name="20% - Accent1 6 2" xfId="115"/>
    <cellStyle name="20% - Accent1 6 2 2" xfId="116"/>
    <cellStyle name="20% - Accent1 6 2 3" xfId="117"/>
    <cellStyle name="20% - Accent1 6 3" xfId="118"/>
    <cellStyle name="20% - Accent1 6 4" xfId="119"/>
    <cellStyle name="20% - Accent1 7" xfId="120"/>
    <cellStyle name="20% - Accent1 7 2" xfId="121"/>
    <cellStyle name="20% - Accent1 7 2 2" xfId="122"/>
    <cellStyle name="20% - Accent1 7 2 3" xfId="123"/>
    <cellStyle name="20% - Accent1 7 3" xfId="124"/>
    <cellStyle name="20% - Accent1 7 4" xfId="125"/>
    <cellStyle name="20% - Accent1 8" xfId="126"/>
    <cellStyle name="20% - Accent1 8 2" xfId="127"/>
    <cellStyle name="20% - Accent1 8 3" xfId="128"/>
    <cellStyle name="20% - Accent1 8 4" xfId="129"/>
    <cellStyle name="20% - Accent1 9" xfId="130"/>
    <cellStyle name="20% - Accent1 9 2" xfId="131"/>
    <cellStyle name="20% - Accent1 9 3" xfId="132"/>
    <cellStyle name="20% - Accent1 9 4" xfId="133"/>
    <cellStyle name="20% - Accent2 10" xfId="134"/>
    <cellStyle name="20% - Accent2 10 2" xfId="135"/>
    <cellStyle name="20% - Accent2 10 3" xfId="136"/>
    <cellStyle name="20% - Accent2 10 4" xfId="137"/>
    <cellStyle name="20% - Accent2 11" xfId="138"/>
    <cellStyle name="20% - Accent2 11 2" xfId="139"/>
    <cellStyle name="20% - Accent2 11 3" xfId="140"/>
    <cellStyle name="20% - Accent2 12" xfId="141"/>
    <cellStyle name="20% - Accent2 13" xfId="142"/>
    <cellStyle name="20% - Accent2 13 2" xfId="143"/>
    <cellStyle name="20% - Accent2 13 3" xfId="144"/>
    <cellStyle name="20% - Accent2 13 4" xfId="145"/>
    <cellStyle name="20% - Accent2 13 5" xfId="146"/>
    <cellStyle name="20% - Accent2 13 6" xfId="147"/>
    <cellStyle name="20% - Accent2 13 7" xfId="148"/>
    <cellStyle name="20% - Accent2 13 7 2" xfId="149"/>
    <cellStyle name="20% - Accent2 13 8" xfId="150"/>
    <cellStyle name="20% - Accent2 14" xfId="151"/>
    <cellStyle name="20% - Accent2 15" xfId="152"/>
    <cellStyle name="20% - Accent2 16" xfId="153"/>
    <cellStyle name="20% - Accent2 17" xfId="154"/>
    <cellStyle name="20% - Accent2 18" xfId="155"/>
    <cellStyle name="20% - Accent2 18 2" xfId="156"/>
    <cellStyle name="20% - Accent2 19" xfId="157"/>
    <cellStyle name="20% - Accent2 2" xfId="158"/>
    <cellStyle name="20% - Accent2 2 10" xfId="159"/>
    <cellStyle name="20% - Accent2 2 2" xfId="160"/>
    <cellStyle name="20% - Accent2 2 2 2" xfId="161"/>
    <cellStyle name="20% - Accent2 2 2 2 2" xfId="162"/>
    <cellStyle name="20% - Accent2 2 2 2 2 2" xfId="163"/>
    <cellStyle name="20% - Accent2 2 2 2 2 3" xfId="164"/>
    <cellStyle name="20% - Accent2 2 2 2 3" xfId="165"/>
    <cellStyle name="20% - Accent2 2 2 2 4" xfId="166"/>
    <cellStyle name="20% - Accent2 2 2 3" xfId="167"/>
    <cellStyle name="20% - Accent2 2 2 3 2" xfId="168"/>
    <cellStyle name="20% - Accent2 2 2 3 3" xfId="169"/>
    <cellStyle name="20% - Accent2 2 2 4" xfId="170"/>
    <cellStyle name="20% - Accent2 2 2 5" xfId="171"/>
    <cellStyle name="20% - Accent2 2 2 6" xfId="172"/>
    <cellStyle name="20% - Accent2 2 2_Analysis File Template" xfId="173"/>
    <cellStyle name="20% - Accent2 2 3" xfId="174"/>
    <cellStyle name="20% - Accent2 2 3 2" xfId="175"/>
    <cellStyle name="20% - Accent2 2 3 2 2" xfId="176"/>
    <cellStyle name="20% - Accent2 2 3 2 2 2" xfId="177"/>
    <cellStyle name="20% - Accent2 2 3 2 2 3" xfId="178"/>
    <cellStyle name="20% - Accent2 2 3 2 3" xfId="179"/>
    <cellStyle name="20% - Accent2 2 3 2 4" xfId="180"/>
    <cellStyle name="20% - Accent2 2 3 3" xfId="181"/>
    <cellStyle name="20% - Accent2 2 3 3 2" xfId="182"/>
    <cellStyle name="20% - Accent2 2 3 3 3" xfId="183"/>
    <cellStyle name="20% - Accent2 2 3 4" xfId="184"/>
    <cellStyle name="20% - Accent2 2 3 5" xfId="185"/>
    <cellStyle name="20% - Accent2 2 3 6" xfId="186"/>
    <cellStyle name="20% - Accent2 2 3_Analysis File Template" xfId="187"/>
    <cellStyle name="20% - Accent2 2 4" xfId="188"/>
    <cellStyle name="20% - Accent2 2 4 2" xfId="189"/>
    <cellStyle name="20% - Accent2 2 4 2 2" xfId="190"/>
    <cellStyle name="20% - Accent2 2 4 2 3" xfId="191"/>
    <cellStyle name="20% - Accent2 2 4 3" xfId="192"/>
    <cellStyle name="20% - Accent2 2 4 4" xfId="193"/>
    <cellStyle name="20% - Accent2 2 5" xfId="194"/>
    <cellStyle name="20% - Accent2 2 5 2" xfId="195"/>
    <cellStyle name="20% - Accent2 2 5 3" xfId="196"/>
    <cellStyle name="20% - Accent2 2 5 4" xfId="197"/>
    <cellStyle name="20% - Accent2 2 5 5" xfId="198"/>
    <cellStyle name="20% - Accent2 2 5 6" xfId="199"/>
    <cellStyle name="20% - Accent2 2 5 6 2" xfId="200"/>
    <cellStyle name="20% - Accent2 2 6" xfId="201"/>
    <cellStyle name="20% - Accent2 2 7" xfId="202"/>
    <cellStyle name="20% - Accent2 2 7 2" xfId="203"/>
    <cellStyle name="20% - Accent2 2 8" xfId="204"/>
    <cellStyle name="20% - Accent2 2 8 2" xfId="205"/>
    <cellStyle name="20% - Accent2 2 9" xfId="206"/>
    <cellStyle name="20% - Accent2 2_All_SFR_Tables" xfId="207"/>
    <cellStyle name="20% - Accent2 20" xfId="208"/>
    <cellStyle name="20% - Accent2 3" xfId="209"/>
    <cellStyle name="20% - Accent2 3 2" xfId="210"/>
    <cellStyle name="20% - Accent2 3 2 2" xfId="211"/>
    <cellStyle name="20% - Accent2 3 2 2 2" xfId="212"/>
    <cellStyle name="20% - Accent2 3 2 2 3" xfId="213"/>
    <cellStyle name="20% - Accent2 3 2 3" xfId="214"/>
    <cellStyle name="20% - Accent2 3 2 4" xfId="215"/>
    <cellStyle name="20% - Accent2 3 3" xfId="216"/>
    <cellStyle name="20% - Accent2 3 3 2" xfId="217"/>
    <cellStyle name="20% - Accent2 3 3 3" xfId="218"/>
    <cellStyle name="20% - Accent2 3 4" xfId="219"/>
    <cellStyle name="20% - Accent2 3 4 2" xfId="220"/>
    <cellStyle name="20% - Accent2 3 4 3" xfId="221"/>
    <cellStyle name="20% - Accent2 3 4 4" xfId="222"/>
    <cellStyle name="20% - Accent2 3 4 4 2" xfId="223"/>
    <cellStyle name="20% - Accent2 3 5" xfId="224"/>
    <cellStyle name="20% - Accent2 3 5 2" xfId="225"/>
    <cellStyle name="20% - Accent2 3 5 3" xfId="226"/>
    <cellStyle name="20% - Accent2 3 6" xfId="227"/>
    <cellStyle name="20% - Accent2 3 6 2" xfId="228"/>
    <cellStyle name="20% - Accent2 3 7" xfId="229"/>
    <cellStyle name="20% - Accent2 3 8" xfId="230"/>
    <cellStyle name="20% - Accent2 3_Analysis File Template" xfId="231"/>
    <cellStyle name="20% - Accent2 4" xfId="232"/>
    <cellStyle name="20% - Accent2 4 2" xfId="233"/>
    <cellStyle name="20% - Accent2 4 2 2" xfId="234"/>
    <cellStyle name="20% - Accent2 4 3" xfId="235"/>
    <cellStyle name="20% - Accent2 4 3 2" xfId="236"/>
    <cellStyle name="20% - Accent2 4 3 3" xfId="237"/>
    <cellStyle name="20% - Accent2 4 3 4" xfId="238"/>
    <cellStyle name="20% - Accent2 4 3 4 2" xfId="239"/>
    <cellStyle name="20% - Accent2 4 4" xfId="240"/>
    <cellStyle name="20% - Accent2 4_Draft SFR tables 300113 V8" xfId="241"/>
    <cellStyle name="20% - Accent2 5" xfId="242"/>
    <cellStyle name="20% - Accent2 5 2" xfId="243"/>
    <cellStyle name="20% - Accent2 5 2 2" xfId="244"/>
    <cellStyle name="20% - Accent2 5 3" xfId="245"/>
    <cellStyle name="20% - Accent2 5_Draft SFR tables 300113 V8" xfId="246"/>
    <cellStyle name="20% - Accent2 6" xfId="247"/>
    <cellStyle name="20% - Accent2 6 2" xfId="248"/>
    <cellStyle name="20% - Accent2 6 2 2" xfId="249"/>
    <cellStyle name="20% - Accent2 6 2 3" xfId="250"/>
    <cellStyle name="20% - Accent2 6 3" xfId="251"/>
    <cellStyle name="20% - Accent2 6 4" xfId="252"/>
    <cellStyle name="20% - Accent2 7" xfId="253"/>
    <cellStyle name="20% - Accent2 7 2" xfId="254"/>
    <cellStyle name="20% - Accent2 7 2 2" xfId="255"/>
    <cellStyle name="20% - Accent2 7 2 3" xfId="256"/>
    <cellStyle name="20% - Accent2 7 3" xfId="257"/>
    <cellStyle name="20% - Accent2 7 4" xfId="258"/>
    <cellStyle name="20% - Accent2 8" xfId="259"/>
    <cellStyle name="20% - Accent2 8 2" xfId="260"/>
    <cellStyle name="20% - Accent2 8 3" xfId="261"/>
    <cellStyle name="20% - Accent2 8 4" xfId="262"/>
    <cellStyle name="20% - Accent2 9" xfId="263"/>
    <cellStyle name="20% - Accent2 9 2" xfId="264"/>
    <cellStyle name="20% - Accent2 9 3" xfId="265"/>
    <cellStyle name="20% - Accent2 9 4" xfId="266"/>
    <cellStyle name="20% - Accent3 10" xfId="267"/>
    <cellStyle name="20% - Accent3 10 2" xfId="268"/>
    <cellStyle name="20% - Accent3 10 3" xfId="269"/>
    <cellStyle name="20% - Accent3 10 4" xfId="270"/>
    <cellStyle name="20% - Accent3 11" xfId="271"/>
    <cellStyle name="20% - Accent3 11 2" xfId="272"/>
    <cellStyle name="20% - Accent3 11 3" xfId="273"/>
    <cellStyle name="20% - Accent3 12" xfId="274"/>
    <cellStyle name="20% - Accent3 13" xfId="275"/>
    <cellStyle name="20% - Accent3 13 2" xfId="276"/>
    <cellStyle name="20% - Accent3 13 3" xfId="277"/>
    <cellStyle name="20% - Accent3 13 4" xfId="278"/>
    <cellStyle name="20% - Accent3 13 5" xfId="279"/>
    <cellStyle name="20% - Accent3 13 6" xfId="280"/>
    <cellStyle name="20% - Accent3 13 7" xfId="281"/>
    <cellStyle name="20% - Accent3 13 7 2" xfId="282"/>
    <cellStyle name="20% - Accent3 13 8" xfId="283"/>
    <cellStyle name="20% - Accent3 14" xfId="284"/>
    <cellStyle name="20% - Accent3 15" xfId="285"/>
    <cellStyle name="20% - Accent3 16" xfId="286"/>
    <cellStyle name="20% - Accent3 17" xfId="287"/>
    <cellStyle name="20% - Accent3 18" xfId="288"/>
    <cellStyle name="20% - Accent3 18 2" xfId="289"/>
    <cellStyle name="20% - Accent3 19" xfId="290"/>
    <cellStyle name="20% - Accent3 2" xfId="291"/>
    <cellStyle name="20% - Accent3 2 10" xfId="292"/>
    <cellStyle name="20% - Accent3 2 2" xfId="293"/>
    <cellStyle name="20% - Accent3 2 2 2" xfId="294"/>
    <cellStyle name="20% - Accent3 2 2 2 2" xfId="295"/>
    <cellStyle name="20% - Accent3 2 2 2 2 2" xfId="296"/>
    <cellStyle name="20% - Accent3 2 2 2 2 3" xfId="297"/>
    <cellStyle name="20% - Accent3 2 2 2 3" xfId="298"/>
    <cellStyle name="20% - Accent3 2 2 2 4" xfId="299"/>
    <cellStyle name="20% - Accent3 2 2 3" xfId="300"/>
    <cellStyle name="20% - Accent3 2 2 3 2" xfId="301"/>
    <cellStyle name="20% - Accent3 2 2 3 3" xfId="302"/>
    <cellStyle name="20% - Accent3 2 2 4" xfId="303"/>
    <cellStyle name="20% - Accent3 2 2 5" xfId="304"/>
    <cellStyle name="20% - Accent3 2 2 6" xfId="305"/>
    <cellStyle name="20% - Accent3 2 2_Analysis File Template" xfId="306"/>
    <cellStyle name="20% - Accent3 2 3" xfId="307"/>
    <cellStyle name="20% - Accent3 2 3 2" xfId="308"/>
    <cellStyle name="20% - Accent3 2 3 2 2" xfId="309"/>
    <cellStyle name="20% - Accent3 2 3 2 2 2" xfId="310"/>
    <cellStyle name="20% - Accent3 2 3 2 2 3" xfId="311"/>
    <cellStyle name="20% - Accent3 2 3 2 3" xfId="312"/>
    <cellStyle name="20% - Accent3 2 3 2 4" xfId="313"/>
    <cellStyle name="20% - Accent3 2 3 3" xfId="314"/>
    <cellStyle name="20% - Accent3 2 3 3 2" xfId="315"/>
    <cellStyle name="20% - Accent3 2 3 3 3" xfId="316"/>
    <cellStyle name="20% - Accent3 2 3 4" xfId="317"/>
    <cellStyle name="20% - Accent3 2 3 5" xfId="318"/>
    <cellStyle name="20% - Accent3 2 3 6" xfId="319"/>
    <cellStyle name="20% - Accent3 2 3_Analysis File Template" xfId="320"/>
    <cellStyle name="20% - Accent3 2 4" xfId="321"/>
    <cellStyle name="20% - Accent3 2 4 2" xfId="322"/>
    <cellStyle name="20% - Accent3 2 4 2 2" xfId="323"/>
    <cellStyle name="20% - Accent3 2 4 2 3" xfId="324"/>
    <cellStyle name="20% - Accent3 2 4 3" xfId="325"/>
    <cellStyle name="20% - Accent3 2 4 4" xfId="326"/>
    <cellStyle name="20% - Accent3 2 5" xfId="327"/>
    <cellStyle name="20% - Accent3 2 5 2" xfId="328"/>
    <cellStyle name="20% - Accent3 2 5 3" xfId="329"/>
    <cellStyle name="20% - Accent3 2 5 4" xfId="330"/>
    <cellStyle name="20% - Accent3 2 5 5" xfId="331"/>
    <cellStyle name="20% - Accent3 2 5 6" xfId="332"/>
    <cellStyle name="20% - Accent3 2 5 6 2" xfId="333"/>
    <cellStyle name="20% - Accent3 2 6" xfId="334"/>
    <cellStyle name="20% - Accent3 2 7" xfId="335"/>
    <cellStyle name="20% - Accent3 2 7 2" xfId="336"/>
    <cellStyle name="20% - Accent3 2 8" xfId="337"/>
    <cellStyle name="20% - Accent3 2 8 2" xfId="338"/>
    <cellStyle name="20% - Accent3 2 9" xfId="339"/>
    <cellStyle name="20% - Accent3 2_All_SFR_Tables" xfId="340"/>
    <cellStyle name="20% - Accent3 20" xfId="341"/>
    <cellStyle name="20% - Accent3 3" xfId="342"/>
    <cellStyle name="20% - Accent3 3 2" xfId="343"/>
    <cellStyle name="20% - Accent3 3 2 2" xfId="344"/>
    <cellStyle name="20% - Accent3 3 2 2 2" xfId="345"/>
    <cellStyle name="20% - Accent3 3 2 2 3" xfId="346"/>
    <cellStyle name="20% - Accent3 3 2 3" xfId="347"/>
    <cellStyle name="20% - Accent3 3 2 4" xfId="348"/>
    <cellStyle name="20% - Accent3 3 3" xfId="349"/>
    <cellStyle name="20% - Accent3 3 3 2" xfId="350"/>
    <cellStyle name="20% - Accent3 3 3 3" xfId="351"/>
    <cellStyle name="20% - Accent3 3 4" xfId="352"/>
    <cellStyle name="20% - Accent3 3 4 2" xfId="353"/>
    <cellStyle name="20% - Accent3 3 4 3" xfId="354"/>
    <cellStyle name="20% - Accent3 3 4 4" xfId="355"/>
    <cellStyle name="20% - Accent3 3 4 4 2" xfId="356"/>
    <cellStyle name="20% - Accent3 3 5" xfId="357"/>
    <cellStyle name="20% - Accent3 3 5 2" xfId="358"/>
    <cellStyle name="20% - Accent3 3 5 3" xfId="359"/>
    <cellStyle name="20% - Accent3 3 6" xfId="360"/>
    <cellStyle name="20% - Accent3 3 6 2" xfId="361"/>
    <cellStyle name="20% - Accent3 3 7" xfId="362"/>
    <cellStyle name="20% - Accent3 3 8" xfId="363"/>
    <cellStyle name="20% - Accent3 3_Analysis File Template" xfId="364"/>
    <cellStyle name="20% - Accent3 4" xfId="365"/>
    <cellStyle name="20% - Accent3 4 2" xfId="366"/>
    <cellStyle name="20% - Accent3 4 2 2" xfId="367"/>
    <cellStyle name="20% - Accent3 4 3" xfId="368"/>
    <cellStyle name="20% - Accent3 4 3 2" xfId="369"/>
    <cellStyle name="20% - Accent3 4 3 3" xfId="370"/>
    <cellStyle name="20% - Accent3 4 3 4" xfId="371"/>
    <cellStyle name="20% - Accent3 4 3 4 2" xfId="372"/>
    <cellStyle name="20% - Accent3 4 4" xfId="373"/>
    <cellStyle name="20% - Accent3 4_Draft SFR tables 300113 V8" xfId="374"/>
    <cellStyle name="20% - Accent3 5" xfId="375"/>
    <cellStyle name="20% - Accent3 5 2" xfId="376"/>
    <cellStyle name="20% - Accent3 5 2 2" xfId="377"/>
    <cellStyle name="20% - Accent3 5 3" xfId="378"/>
    <cellStyle name="20% - Accent3 5_Draft SFR tables 300113 V8" xfId="379"/>
    <cellStyle name="20% - Accent3 6" xfId="380"/>
    <cellStyle name="20% - Accent3 6 2" xfId="381"/>
    <cellStyle name="20% - Accent3 6 2 2" xfId="382"/>
    <cellStyle name="20% - Accent3 6 2 3" xfId="383"/>
    <cellStyle name="20% - Accent3 6 3" xfId="384"/>
    <cellStyle name="20% - Accent3 6 4" xfId="385"/>
    <cellStyle name="20% - Accent3 7" xfId="386"/>
    <cellStyle name="20% - Accent3 7 2" xfId="387"/>
    <cellStyle name="20% - Accent3 7 2 2" xfId="388"/>
    <cellStyle name="20% - Accent3 7 2 3" xfId="389"/>
    <cellStyle name="20% - Accent3 7 3" xfId="390"/>
    <cellStyle name="20% - Accent3 7 4" xfId="391"/>
    <cellStyle name="20% - Accent3 8" xfId="392"/>
    <cellStyle name="20% - Accent3 8 2" xfId="393"/>
    <cellStyle name="20% - Accent3 8 3" xfId="394"/>
    <cellStyle name="20% - Accent3 8 4" xfId="395"/>
    <cellStyle name="20% - Accent3 9" xfId="396"/>
    <cellStyle name="20% - Accent3 9 2" xfId="397"/>
    <cellStyle name="20% - Accent3 9 3" xfId="398"/>
    <cellStyle name="20% - Accent3 9 4" xfId="399"/>
    <cellStyle name="20% - Accent4 10" xfId="400"/>
    <cellStyle name="20% - Accent4 10 2" xfId="401"/>
    <cellStyle name="20% - Accent4 10 3" xfId="402"/>
    <cellStyle name="20% - Accent4 10 4" xfId="403"/>
    <cellStyle name="20% - Accent4 11" xfId="404"/>
    <cellStyle name="20% - Accent4 11 2" xfId="405"/>
    <cellStyle name="20% - Accent4 11 3" xfId="406"/>
    <cellStyle name="20% - Accent4 12" xfId="407"/>
    <cellStyle name="20% - Accent4 13" xfId="408"/>
    <cellStyle name="20% - Accent4 13 2" xfId="409"/>
    <cellStyle name="20% - Accent4 13 3" xfId="410"/>
    <cellStyle name="20% - Accent4 13 4" xfId="411"/>
    <cellStyle name="20% - Accent4 13 5" xfId="412"/>
    <cellStyle name="20% - Accent4 13 6" xfId="413"/>
    <cellStyle name="20% - Accent4 13 7" xfId="414"/>
    <cellStyle name="20% - Accent4 13 7 2" xfId="415"/>
    <cellStyle name="20% - Accent4 13 8" xfId="416"/>
    <cellStyle name="20% - Accent4 14" xfId="417"/>
    <cellStyle name="20% - Accent4 15" xfId="418"/>
    <cellStyle name="20% - Accent4 16" xfId="419"/>
    <cellStyle name="20% - Accent4 17" xfId="420"/>
    <cellStyle name="20% - Accent4 18" xfId="421"/>
    <cellStyle name="20% - Accent4 18 2" xfId="422"/>
    <cellStyle name="20% - Accent4 19" xfId="423"/>
    <cellStyle name="20% - Accent4 2" xfId="424"/>
    <cellStyle name="20% - Accent4 2 10" xfId="425"/>
    <cellStyle name="20% - Accent4 2 2" xfId="426"/>
    <cellStyle name="20% - Accent4 2 2 2" xfId="427"/>
    <cellStyle name="20% - Accent4 2 2 2 2" xfId="428"/>
    <cellStyle name="20% - Accent4 2 2 2 2 2" xfId="429"/>
    <cellStyle name="20% - Accent4 2 2 2 2 3" xfId="430"/>
    <cellStyle name="20% - Accent4 2 2 2 3" xfId="431"/>
    <cellStyle name="20% - Accent4 2 2 2 4" xfId="432"/>
    <cellStyle name="20% - Accent4 2 2 3" xfId="433"/>
    <cellStyle name="20% - Accent4 2 2 3 2" xfId="434"/>
    <cellStyle name="20% - Accent4 2 2 3 3" xfId="435"/>
    <cellStyle name="20% - Accent4 2 2 4" xfId="436"/>
    <cellStyle name="20% - Accent4 2 2 5" xfId="437"/>
    <cellStyle name="20% - Accent4 2 2 6" xfId="438"/>
    <cellStyle name="20% - Accent4 2 2_Analysis File Template" xfId="439"/>
    <cellStyle name="20% - Accent4 2 3" xfId="440"/>
    <cellStyle name="20% - Accent4 2 3 2" xfId="441"/>
    <cellStyle name="20% - Accent4 2 3 2 2" xfId="442"/>
    <cellStyle name="20% - Accent4 2 3 2 2 2" xfId="443"/>
    <cellStyle name="20% - Accent4 2 3 2 2 3" xfId="444"/>
    <cellStyle name="20% - Accent4 2 3 2 3" xfId="445"/>
    <cellStyle name="20% - Accent4 2 3 2 4" xfId="446"/>
    <cellStyle name="20% - Accent4 2 3 3" xfId="447"/>
    <cellStyle name="20% - Accent4 2 3 3 2" xfId="448"/>
    <cellStyle name="20% - Accent4 2 3 3 3" xfId="449"/>
    <cellStyle name="20% - Accent4 2 3 4" xfId="450"/>
    <cellStyle name="20% - Accent4 2 3 5" xfId="451"/>
    <cellStyle name="20% - Accent4 2 3 6" xfId="452"/>
    <cellStyle name="20% - Accent4 2 3_Analysis File Template" xfId="453"/>
    <cellStyle name="20% - Accent4 2 4" xfId="454"/>
    <cellStyle name="20% - Accent4 2 4 2" xfId="455"/>
    <cellStyle name="20% - Accent4 2 4 2 2" xfId="456"/>
    <cellStyle name="20% - Accent4 2 4 2 3" xfId="457"/>
    <cellStyle name="20% - Accent4 2 4 3" xfId="458"/>
    <cellStyle name="20% - Accent4 2 4 4" xfId="459"/>
    <cellStyle name="20% - Accent4 2 5" xfId="460"/>
    <cellStyle name="20% - Accent4 2 5 2" xfId="461"/>
    <cellStyle name="20% - Accent4 2 5 3" xfId="462"/>
    <cellStyle name="20% - Accent4 2 5 4" xfId="463"/>
    <cellStyle name="20% - Accent4 2 5 5" xfId="464"/>
    <cellStyle name="20% - Accent4 2 5 6" xfId="465"/>
    <cellStyle name="20% - Accent4 2 5 6 2" xfId="466"/>
    <cellStyle name="20% - Accent4 2 6" xfId="467"/>
    <cellStyle name="20% - Accent4 2 7" xfId="468"/>
    <cellStyle name="20% - Accent4 2 7 2" xfId="469"/>
    <cellStyle name="20% - Accent4 2 8" xfId="470"/>
    <cellStyle name="20% - Accent4 2 8 2" xfId="471"/>
    <cellStyle name="20% - Accent4 2 9" xfId="472"/>
    <cellStyle name="20% - Accent4 2_All_SFR_Tables" xfId="473"/>
    <cellStyle name="20% - Accent4 20" xfId="474"/>
    <cellStyle name="20% - Accent4 3" xfId="475"/>
    <cellStyle name="20% - Accent4 3 2" xfId="476"/>
    <cellStyle name="20% - Accent4 3 2 2" xfId="477"/>
    <cellStyle name="20% - Accent4 3 2 2 2" xfId="478"/>
    <cellStyle name="20% - Accent4 3 2 2 3" xfId="479"/>
    <cellStyle name="20% - Accent4 3 2 3" xfId="480"/>
    <cellStyle name="20% - Accent4 3 2 4" xfId="481"/>
    <cellStyle name="20% - Accent4 3 3" xfId="482"/>
    <cellStyle name="20% - Accent4 3 3 2" xfId="483"/>
    <cellStyle name="20% - Accent4 3 3 3" xfId="484"/>
    <cellStyle name="20% - Accent4 3 4" xfId="485"/>
    <cellStyle name="20% - Accent4 3 4 2" xfId="486"/>
    <cellStyle name="20% - Accent4 3 4 3" xfId="487"/>
    <cellStyle name="20% - Accent4 3 4 4" xfId="488"/>
    <cellStyle name="20% - Accent4 3 4 4 2" xfId="489"/>
    <cellStyle name="20% - Accent4 3 5" xfId="490"/>
    <cellStyle name="20% - Accent4 3 5 2" xfId="491"/>
    <cellStyle name="20% - Accent4 3 5 3" xfId="492"/>
    <cellStyle name="20% - Accent4 3 6" xfId="493"/>
    <cellStyle name="20% - Accent4 3 6 2" xfId="494"/>
    <cellStyle name="20% - Accent4 3 7" xfId="495"/>
    <cellStyle name="20% - Accent4 3 8" xfId="496"/>
    <cellStyle name="20% - Accent4 3_Analysis File Template" xfId="497"/>
    <cellStyle name="20% - Accent4 4" xfId="498"/>
    <cellStyle name="20% - Accent4 4 2" xfId="499"/>
    <cellStyle name="20% - Accent4 4 2 2" xfId="500"/>
    <cellStyle name="20% - Accent4 4 3" xfId="501"/>
    <cellStyle name="20% - Accent4 4 3 2" xfId="502"/>
    <cellStyle name="20% - Accent4 4 3 3" xfId="503"/>
    <cellStyle name="20% - Accent4 4 3 4" xfId="504"/>
    <cellStyle name="20% - Accent4 4 3 4 2" xfId="505"/>
    <cellStyle name="20% - Accent4 4 4" xfId="506"/>
    <cellStyle name="20% - Accent4 4_Draft SFR tables 300113 V8" xfId="507"/>
    <cellStyle name="20% - Accent4 5" xfId="508"/>
    <cellStyle name="20% - Accent4 5 2" xfId="509"/>
    <cellStyle name="20% - Accent4 5 2 2" xfId="510"/>
    <cellStyle name="20% - Accent4 5 3" xfId="511"/>
    <cellStyle name="20% - Accent4 5_Draft SFR tables 300113 V8" xfId="512"/>
    <cellStyle name="20% - Accent4 6" xfId="513"/>
    <cellStyle name="20% - Accent4 6 2" xfId="514"/>
    <cellStyle name="20% - Accent4 6 2 2" xfId="515"/>
    <cellStyle name="20% - Accent4 6 2 3" xfId="516"/>
    <cellStyle name="20% - Accent4 6 3" xfId="517"/>
    <cellStyle name="20% - Accent4 6 4" xfId="518"/>
    <cellStyle name="20% - Accent4 7" xfId="519"/>
    <cellStyle name="20% - Accent4 7 2" xfId="520"/>
    <cellStyle name="20% - Accent4 7 2 2" xfId="521"/>
    <cellStyle name="20% - Accent4 7 2 3" xfId="522"/>
    <cellStyle name="20% - Accent4 7 3" xfId="523"/>
    <cellStyle name="20% - Accent4 7 4" xfId="524"/>
    <cellStyle name="20% - Accent4 8" xfId="525"/>
    <cellStyle name="20% - Accent4 8 2" xfId="526"/>
    <cellStyle name="20% - Accent4 8 3" xfId="527"/>
    <cellStyle name="20% - Accent4 8 4" xfId="528"/>
    <cellStyle name="20% - Accent4 9" xfId="529"/>
    <cellStyle name="20% - Accent4 9 2" xfId="530"/>
    <cellStyle name="20% - Accent4 9 3" xfId="531"/>
    <cellStyle name="20% - Accent4 9 4" xfId="532"/>
    <cellStyle name="20% - Accent5" xfId="533" builtinId="46" customBuiltin="1"/>
    <cellStyle name="20% - Accent5 10" xfId="534"/>
    <cellStyle name="20% - Accent5 10 2" xfId="535"/>
    <cellStyle name="20% - Accent5 11" xfId="536"/>
    <cellStyle name="20% - Accent5 2" xfId="537"/>
    <cellStyle name="20% - Accent5 2 10" xfId="538"/>
    <cellStyle name="20% - Accent5 2 2" xfId="539"/>
    <cellStyle name="20% - Accent5 2 2 2" xfId="540"/>
    <cellStyle name="20% - Accent5 2 2 2 2" xfId="541"/>
    <cellStyle name="20% - Accent5 2 2 2 2 2" xfId="542"/>
    <cellStyle name="20% - Accent5 2 2 2 2 3" xfId="543"/>
    <cellStyle name="20% - Accent5 2 2 2 3" xfId="544"/>
    <cellStyle name="20% - Accent5 2 2 2 4" xfId="545"/>
    <cellStyle name="20% - Accent5 2 2 3" xfId="546"/>
    <cellStyle name="20% - Accent5 2 2 3 2" xfId="547"/>
    <cellStyle name="20% - Accent5 2 2 3 3" xfId="548"/>
    <cellStyle name="20% - Accent5 2 2 4" xfId="549"/>
    <cellStyle name="20% - Accent5 2 2 5" xfId="550"/>
    <cellStyle name="20% - Accent5 2 2 6" xfId="551"/>
    <cellStyle name="20% - Accent5 2 2_Analysis File Template" xfId="552"/>
    <cellStyle name="20% - Accent5 2 3" xfId="553"/>
    <cellStyle name="20% - Accent5 2 3 2" xfId="554"/>
    <cellStyle name="20% - Accent5 2 3 2 2" xfId="555"/>
    <cellStyle name="20% - Accent5 2 3 2 2 2" xfId="556"/>
    <cellStyle name="20% - Accent5 2 3 2 2 3" xfId="557"/>
    <cellStyle name="20% - Accent5 2 3 2 3" xfId="558"/>
    <cellStyle name="20% - Accent5 2 3 2 4" xfId="559"/>
    <cellStyle name="20% - Accent5 2 3 3" xfId="560"/>
    <cellStyle name="20% - Accent5 2 3 3 2" xfId="561"/>
    <cellStyle name="20% - Accent5 2 3 3 3" xfId="562"/>
    <cellStyle name="20% - Accent5 2 3 4" xfId="563"/>
    <cellStyle name="20% - Accent5 2 3 5" xfId="564"/>
    <cellStyle name="20% - Accent5 2 3 6" xfId="565"/>
    <cellStyle name="20% - Accent5 2 3_Analysis File Template" xfId="566"/>
    <cellStyle name="20% - Accent5 2 4" xfId="567"/>
    <cellStyle name="20% - Accent5 2 4 2" xfId="568"/>
    <cellStyle name="20% - Accent5 2 4 2 2" xfId="569"/>
    <cellStyle name="20% - Accent5 2 4 2 3" xfId="570"/>
    <cellStyle name="20% - Accent5 2 4 3" xfId="571"/>
    <cellStyle name="20% - Accent5 2 4 4" xfId="572"/>
    <cellStyle name="20% - Accent5 2 5" xfId="573"/>
    <cellStyle name="20% - Accent5 2 5 2" xfId="574"/>
    <cellStyle name="20% - Accent5 2 5 3" xfId="575"/>
    <cellStyle name="20% - Accent5 2 5 4" xfId="576"/>
    <cellStyle name="20% - Accent5 2 5 5" xfId="577"/>
    <cellStyle name="20% - Accent5 2 6" xfId="578"/>
    <cellStyle name="20% - Accent5 2 7" xfId="579"/>
    <cellStyle name="20% - Accent5 2 7 2" xfId="580"/>
    <cellStyle name="20% - Accent5 2 8" xfId="581"/>
    <cellStyle name="20% - Accent5 2 8 2" xfId="582"/>
    <cellStyle name="20% - Accent5 2 9" xfId="583"/>
    <cellStyle name="20% - Accent5 2_All_SFR_Tables" xfId="584"/>
    <cellStyle name="20% - Accent5 3" xfId="585"/>
    <cellStyle name="20% - Accent5 3 2" xfId="586"/>
    <cellStyle name="20% - Accent5 3 2 2" xfId="587"/>
    <cellStyle name="20% - Accent5 3 2 2 2" xfId="588"/>
    <cellStyle name="20% - Accent5 3 2 2 3" xfId="589"/>
    <cellStyle name="20% - Accent5 3 2 3" xfId="590"/>
    <cellStyle name="20% - Accent5 3 2 4" xfId="591"/>
    <cellStyle name="20% - Accent5 3 3" xfId="592"/>
    <cellStyle name="20% - Accent5 3 3 2" xfId="593"/>
    <cellStyle name="20% - Accent5 3 3 3" xfId="594"/>
    <cellStyle name="20% - Accent5 3 4" xfId="595"/>
    <cellStyle name="20% - Accent5 3 4 2" xfId="596"/>
    <cellStyle name="20% - Accent5 3 4 3" xfId="597"/>
    <cellStyle name="20% - Accent5 3 5" xfId="598"/>
    <cellStyle name="20% - Accent5 3 5 2" xfId="599"/>
    <cellStyle name="20% - Accent5 3 5 3" xfId="600"/>
    <cellStyle name="20% - Accent5 3 6" xfId="601"/>
    <cellStyle name="20% - Accent5 3 6 2" xfId="602"/>
    <cellStyle name="20% - Accent5 3 7" xfId="603"/>
    <cellStyle name="20% - Accent5 3 8" xfId="604"/>
    <cellStyle name="20% - Accent5 3_Analysis File Template" xfId="605"/>
    <cellStyle name="20% - Accent5 4" xfId="606"/>
    <cellStyle name="20% - Accent5 4 2" xfId="607"/>
    <cellStyle name="20% - Accent5 4 2 2" xfId="608"/>
    <cellStyle name="20% - Accent5 4 3" xfId="609"/>
    <cellStyle name="20% - Accent5 4 3 2" xfId="610"/>
    <cellStyle name="20% - Accent5 4 3 3" xfId="611"/>
    <cellStyle name="20% - Accent5 4 4" xfId="612"/>
    <cellStyle name="20% - Accent5 4_Draft SFR tables 300113 V8" xfId="613"/>
    <cellStyle name="20% - Accent5 5" xfId="614"/>
    <cellStyle name="20% - Accent5 5 2" xfId="615"/>
    <cellStyle name="20% - Accent5 5 2 2" xfId="616"/>
    <cellStyle name="20% - Accent5 5 3" xfId="617"/>
    <cellStyle name="20% - Accent5 5_Draft SFR tables 300113 V8" xfId="618"/>
    <cellStyle name="20% - Accent5 6" xfId="619"/>
    <cellStyle name="20% - Accent5 6 2" xfId="620"/>
    <cellStyle name="20% - Accent5 6 2 2" xfId="621"/>
    <cellStyle name="20% - Accent5 6 2 3" xfId="622"/>
    <cellStyle name="20% - Accent5 6 3" xfId="623"/>
    <cellStyle name="20% - Accent5 6 4" xfId="624"/>
    <cellStyle name="20% - Accent5 7" xfId="625"/>
    <cellStyle name="20% - Accent5 7 2" xfId="626"/>
    <cellStyle name="20% - Accent5 7 2 2" xfId="627"/>
    <cellStyle name="20% - Accent5 7 2 3" xfId="628"/>
    <cellStyle name="20% - Accent5 7 3" xfId="629"/>
    <cellStyle name="20% - Accent5 7 4" xfId="630"/>
    <cellStyle name="20% - Accent5 8" xfId="631"/>
    <cellStyle name="20% - Accent5 8 2" xfId="632"/>
    <cellStyle name="20% - Accent5 9" xfId="633"/>
    <cellStyle name="20% - Accent5 9 2" xfId="634"/>
    <cellStyle name="20% - Accent6" xfId="635" builtinId="50" customBuiltin="1"/>
    <cellStyle name="20% - Accent6 10" xfId="636"/>
    <cellStyle name="20% - Accent6 10 2" xfId="637"/>
    <cellStyle name="20% - Accent6 11" xfId="638"/>
    <cellStyle name="20% - Accent6 2" xfId="639"/>
    <cellStyle name="20% - Accent6 2 10" xfId="640"/>
    <cellStyle name="20% - Accent6 2 2" xfId="641"/>
    <cellStyle name="20% - Accent6 2 2 2" xfId="642"/>
    <cellStyle name="20% - Accent6 2 2 2 2" xfId="643"/>
    <cellStyle name="20% - Accent6 2 2 2 2 2" xfId="644"/>
    <cellStyle name="20% - Accent6 2 2 2 2 3" xfId="645"/>
    <cellStyle name="20% - Accent6 2 2 2 3" xfId="646"/>
    <cellStyle name="20% - Accent6 2 2 2 4" xfId="647"/>
    <cellStyle name="20% - Accent6 2 2 3" xfId="648"/>
    <cellStyle name="20% - Accent6 2 2 3 2" xfId="649"/>
    <cellStyle name="20% - Accent6 2 2 3 3" xfId="650"/>
    <cellStyle name="20% - Accent6 2 2 4" xfId="651"/>
    <cellStyle name="20% - Accent6 2 2 5" xfId="652"/>
    <cellStyle name="20% - Accent6 2 2 6" xfId="653"/>
    <cellStyle name="20% - Accent6 2 2_Analysis File Template" xfId="654"/>
    <cellStyle name="20% - Accent6 2 3" xfId="655"/>
    <cellStyle name="20% - Accent6 2 3 2" xfId="656"/>
    <cellStyle name="20% - Accent6 2 3 2 2" xfId="657"/>
    <cellStyle name="20% - Accent6 2 3 2 2 2" xfId="658"/>
    <cellStyle name="20% - Accent6 2 3 2 2 3" xfId="659"/>
    <cellStyle name="20% - Accent6 2 3 2 3" xfId="660"/>
    <cellStyle name="20% - Accent6 2 3 2 4" xfId="661"/>
    <cellStyle name="20% - Accent6 2 3 3" xfId="662"/>
    <cellStyle name="20% - Accent6 2 3 3 2" xfId="663"/>
    <cellStyle name="20% - Accent6 2 3 3 3" xfId="664"/>
    <cellStyle name="20% - Accent6 2 3 4" xfId="665"/>
    <cellStyle name="20% - Accent6 2 3 5" xfId="666"/>
    <cellStyle name="20% - Accent6 2 3 6" xfId="667"/>
    <cellStyle name="20% - Accent6 2 3_Analysis File Template" xfId="668"/>
    <cellStyle name="20% - Accent6 2 4" xfId="669"/>
    <cellStyle name="20% - Accent6 2 4 2" xfId="670"/>
    <cellStyle name="20% - Accent6 2 4 2 2" xfId="671"/>
    <cellStyle name="20% - Accent6 2 4 2 3" xfId="672"/>
    <cellStyle name="20% - Accent6 2 4 3" xfId="673"/>
    <cellStyle name="20% - Accent6 2 4 4" xfId="674"/>
    <cellStyle name="20% - Accent6 2 5" xfId="675"/>
    <cellStyle name="20% - Accent6 2 5 2" xfId="676"/>
    <cellStyle name="20% - Accent6 2 5 3" xfId="677"/>
    <cellStyle name="20% - Accent6 2 5 4" xfId="678"/>
    <cellStyle name="20% - Accent6 2 5 5" xfId="679"/>
    <cellStyle name="20% - Accent6 2 6" xfId="680"/>
    <cellStyle name="20% - Accent6 2 7" xfId="681"/>
    <cellStyle name="20% - Accent6 2 7 2" xfId="682"/>
    <cellStyle name="20% - Accent6 2 8" xfId="683"/>
    <cellStyle name="20% - Accent6 2 8 2" xfId="684"/>
    <cellStyle name="20% - Accent6 2 9" xfId="685"/>
    <cellStyle name="20% - Accent6 2_All_SFR_Tables" xfId="686"/>
    <cellStyle name="20% - Accent6 3" xfId="687"/>
    <cellStyle name="20% - Accent6 3 2" xfId="688"/>
    <cellStyle name="20% - Accent6 3 2 2" xfId="689"/>
    <cellStyle name="20% - Accent6 3 2 2 2" xfId="690"/>
    <cellStyle name="20% - Accent6 3 2 2 3" xfId="691"/>
    <cellStyle name="20% - Accent6 3 2 3" xfId="692"/>
    <cellStyle name="20% - Accent6 3 2 4" xfId="693"/>
    <cellStyle name="20% - Accent6 3 3" xfId="694"/>
    <cellStyle name="20% - Accent6 3 3 2" xfId="695"/>
    <cellStyle name="20% - Accent6 3 3 3" xfId="696"/>
    <cellStyle name="20% - Accent6 3 4" xfId="697"/>
    <cellStyle name="20% - Accent6 3 4 2" xfId="698"/>
    <cellStyle name="20% - Accent6 3 4 3" xfId="699"/>
    <cellStyle name="20% - Accent6 3 5" xfId="700"/>
    <cellStyle name="20% - Accent6 3 5 2" xfId="701"/>
    <cellStyle name="20% - Accent6 3 5 3" xfId="702"/>
    <cellStyle name="20% - Accent6 3 6" xfId="703"/>
    <cellStyle name="20% - Accent6 3 6 2" xfId="704"/>
    <cellStyle name="20% - Accent6 3 7" xfId="705"/>
    <cellStyle name="20% - Accent6 3 8" xfId="706"/>
    <cellStyle name="20% - Accent6 3_Analysis File Template" xfId="707"/>
    <cellStyle name="20% - Accent6 4" xfId="708"/>
    <cellStyle name="20% - Accent6 4 2" xfId="709"/>
    <cellStyle name="20% - Accent6 4 2 2" xfId="710"/>
    <cellStyle name="20% - Accent6 4 3" xfId="711"/>
    <cellStyle name="20% - Accent6 4 3 2" xfId="712"/>
    <cellStyle name="20% - Accent6 4 3 3" xfId="713"/>
    <cellStyle name="20% - Accent6 4 4" xfId="714"/>
    <cellStyle name="20% - Accent6 4_Draft SFR tables 300113 V8" xfId="715"/>
    <cellStyle name="20% - Accent6 5" xfId="716"/>
    <cellStyle name="20% - Accent6 5 2" xfId="717"/>
    <cellStyle name="20% - Accent6 5 2 2" xfId="718"/>
    <cellStyle name="20% - Accent6 5 3" xfId="719"/>
    <cellStyle name="20% - Accent6 5_Draft SFR tables 300113 V8" xfId="720"/>
    <cellStyle name="20% - Accent6 6" xfId="721"/>
    <cellStyle name="20% - Accent6 6 2" xfId="722"/>
    <cellStyle name="20% - Accent6 6 2 2" xfId="723"/>
    <cellStyle name="20% - Accent6 6 2 3" xfId="724"/>
    <cellStyle name="20% - Accent6 6 3" xfId="725"/>
    <cellStyle name="20% - Accent6 6 4" xfId="726"/>
    <cellStyle name="20% - Accent6 7" xfId="727"/>
    <cellStyle name="20% - Accent6 7 2" xfId="728"/>
    <cellStyle name="20% - Accent6 7 2 2" xfId="729"/>
    <cellStyle name="20% - Accent6 7 2 3" xfId="730"/>
    <cellStyle name="20% - Accent6 7 3" xfId="731"/>
    <cellStyle name="20% - Accent6 7 4" xfId="732"/>
    <cellStyle name="20% - Accent6 8" xfId="733"/>
    <cellStyle name="20% - Accent6 8 2" xfId="734"/>
    <cellStyle name="20% - Accent6 9" xfId="735"/>
    <cellStyle name="20% - Accent6 9 2" xfId="736"/>
    <cellStyle name="40% - Accent1 10" xfId="737"/>
    <cellStyle name="40% - Accent1 10 2" xfId="738"/>
    <cellStyle name="40% - Accent1 10 3" xfId="739"/>
    <cellStyle name="40% - Accent1 10 4" xfId="740"/>
    <cellStyle name="40% - Accent1 11" xfId="741"/>
    <cellStyle name="40% - Accent1 11 2" xfId="742"/>
    <cellStyle name="40% - Accent1 11 3" xfId="743"/>
    <cellStyle name="40% - Accent1 12" xfId="744"/>
    <cellStyle name="40% - Accent1 13" xfId="745"/>
    <cellStyle name="40% - Accent1 13 2" xfId="746"/>
    <cellStyle name="40% - Accent1 13 3" xfId="747"/>
    <cellStyle name="40% - Accent1 13 4" xfId="748"/>
    <cellStyle name="40% - Accent1 13 5" xfId="749"/>
    <cellStyle name="40% - Accent1 13 6" xfId="750"/>
    <cellStyle name="40% - Accent1 13 7" xfId="751"/>
    <cellStyle name="40% - Accent1 13 7 2" xfId="752"/>
    <cellStyle name="40% - Accent1 13 8" xfId="753"/>
    <cellStyle name="40% - Accent1 14" xfId="754"/>
    <cellStyle name="40% - Accent1 15" xfId="755"/>
    <cellStyle name="40% - Accent1 16" xfId="756"/>
    <cellStyle name="40% - Accent1 17" xfId="757"/>
    <cellStyle name="40% - Accent1 18" xfId="758"/>
    <cellStyle name="40% - Accent1 18 2" xfId="759"/>
    <cellStyle name="40% - Accent1 19" xfId="760"/>
    <cellStyle name="40% - Accent1 2" xfId="761"/>
    <cellStyle name="40% - Accent1 2 10" xfId="762"/>
    <cellStyle name="40% - Accent1 2 2" xfId="763"/>
    <cellStyle name="40% - Accent1 2 2 2" xfId="764"/>
    <cellStyle name="40% - Accent1 2 2 2 2" xfId="765"/>
    <cellStyle name="40% - Accent1 2 2 2 2 2" xfId="766"/>
    <cellStyle name="40% - Accent1 2 2 2 2 3" xfId="767"/>
    <cellStyle name="40% - Accent1 2 2 2 3" xfId="768"/>
    <cellStyle name="40% - Accent1 2 2 2 4" xfId="769"/>
    <cellStyle name="40% - Accent1 2 2 3" xfId="770"/>
    <cellStyle name="40% - Accent1 2 2 3 2" xfId="771"/>
    <cellStyle name="40% - Accent1 2 2 3 3" xfId="772"/>
    <cellStyle name="40% - Accent1 2 2 4" xfId="773"/>
    <cellStyle name="40% - Accent1 2 2 5" xfId="774"/>
    <cellStyle name="40% - Accent1 2 2 6" xfId="775"/>
    <cellStyle name="40% - Accent1 2 2_Analysis File Template" xfId="776"/>
    <cellStyle name="40% - Accent1 2 3" xfId="777"/>
    <cellStyle name="40% - Accent1 2 3 2" xfId="778"/>
    <cellStyle name="40% - Accent1 2 3 2 2" xfId="779"/>
    <cellStyle name="40% - Accent1 2 3 2 2 2" xfId="780"/>
    <cellStyle name="40% - Accent1 2 3 2 2 3" xfId="781"/>
    <cellStyle name="40% - Accent1 2 3 2 3" xfId="782"/>
    <cellStyle name="40% - Accent1 2 3 2 4" xfId="783"/>
    <cellStyle name="40% - Accent1 2 3 3" xfId="784"/>
    <cellStyle name="40% - Accent1 2 3 3 2" xfId="785"/>
    <cellStyle name="40% - Accent1 2 3 3 3" xfId="786"/>
    <cellStyle name="40% - Accent1 2 3 4" xfId="787"/>
    <cellStyle name="40% - Accent1 2 3 5" xfId="788"/>
    <cellStyle name="40% - Accent1 2 3 6" xfId="789"/>
    <cellStyle name="40% - Accent1 2 3_Analysis File Template" xfId="790"/>
    <cellStyle name="40% - Accent1 2 4" xfId="791"/>
    <cellStyle name="40% - Accent1 2 4 2" xfId="792"/>
    <cellStyle name="40% - Accent1 2 4 2 2" xfId="793"/>
    <cellStyle name="40% - Accent1 2 4 2 3" xfId="794"/>
    <cellStyle name="40% - Accent1 2 4 3" xfId="795"/>
    <cellStyle name="40% - Accent1 2 4 4" xfId="796"/>
    <cellStyle name="40% - Accent1 2 5" xfId="797"/>
    <cellStyle name="40% - Accent1 2 5 2" xfId="798"/>
    <cellStyle name="40% - Accent1 2 5 3" xfId="799"/>
    <cellStyle name="40% - Accent1 2 5 4" xfId="800"/>
    <cellStyle name="40% - Accent1 2 5 5" xfId="801"/>
    <cellStyle name="40% - Accent1 2 5 6" xfId="802"/>
    <cellStyle name="40% - Accent1 2 5 6 2" xfId="803"/>
    <cellStyle name="40% - Accent1 2 6" xfId="804"/>
    <cellStyle name="40% - Accent1 2 7" xfId="805"/>
    <cellStyle name="40% - Accent1 2 7 2" xfId="806"/>
    <cellStyle name="40% - Accent1 2 8" xfId="807"/>
    <cellStyle name="40% - Accent1 2 8 2" xfId="808"/>
    <cellStyle name="40% - Accent1 2 9" xfId="809"/>
    <cellStyle name="40% - Accent1 2_All_SFR_Tables" xfId="810"/>
    <cellStyle name="40% - Accent1 20" xfId="811"/>
    <cellStyle name="40% - Accent1 3" xfId="812"/>
    <cellStyle name="40% - Accent1 3 2" xfId="813"/>
    <cellStyle name="40% - Accent1 3 2 2" xfId="814"/>
    <cellStyle name="40% - Accent1 3 2 2 2" xfId="815"/>
    <cellStyle name="40% - Accent1 3 2 2 3" xfId="816"/>
    <cellStyle name="40% - Accent1 3 2 3" xfId="817"/>
    <cellStyle name="40% - Accent1 3 2 4" xfId="818"/>
    <cellStyle name="40% - Accent1 3 3" xfId="819"/>
    <cellStyle name="40% - Accent1 3 3 2" xfId="820"/>
    <cellStyle name="40% - Accent1 3 3 3" xfId="821"/>
    <cellStyle name="40% - Accent1 3 4" xfId="822"/>
    <cellStyle name="40% - Accent1 3 4 2" xfId="823"/>
    <cellStyle name="40% - Accent1 3 4 3" xfId="824"/>
    <cellStyle name="40% - Accent1 3 4 4" xfId="825"/>
    <cellStyle name="40% - Accent1 3 4 4 2" xfId="826"/>
    <cellStyle name="40% - Accent1 3 5" xfId="827"/>
    <cellStyle name="40% - Accent1 3 5 2" xfId="828"/>
    <cellStyle name="40% - Accent1 3 5 3" xfId="829"/>
    <cellStyle name="40% - Accent1 3 6" xfId="830"/>
    <cellStyle name="40% - Accent1 3 6 2" xfId="831"/>
    <cellStyle name="40% - Accent1 3 7" xfId="832"/>
    <cellStyle name="40% - Accent1 3 8" xfId="833"/>
    <cellStyle name="40% - Accent1 3_Analysis File Template" xfId="834"/>
    <cellStyle name="40% - Accent1 4" xfId="835"/>
    <cellStyle name="40% - Accent1 4 2" xfId="836"/>
    <cellStyle name="40% - Accent1 4 2 2" xfId="837"/>
    <cellStyle name="40% - Accent1 4 3" xfId="838"/>
    <cellStyle name="40% - Accent1 4 3 2" xfId="839"/>
    <cellStyle name="40% - Accent1 4 3 3" xfId="840"/>
    <cellStyle name="40% - Accent1 4 3 4" xfId="841"/>
    <cellStyle name="40% - Accent1 4 3 4 2" xfId="842"/>
    <cellStyle name="40% - Accent1 4 4" xfId="843"/>
    <cellStyle name="40% - Accent1 4_Draft SFR tables 300113 V8" xfId="844"/>
    <cellStyle name="40% - Accent1 5" xfId="845"/>
    <cellStyle name="40% - Accent1 5 2" xfId="846"/>
    <cellStyle name="40% - Accent1 5 2 2" xfId="847"/>
    <cellStyle name="40% - Accent1 5 3" xfId="848"/>
    <cellStyle name="40% - Accent1 5_Draft SFR tables 300113 V8" xfId="849"/>
    <cellStyle name="40% - Accent1 6" xfId="850"/>
    <cellStyle name="40% - Accent1 6 2" xfId="851"/>
    <cellStyle name="40% - Accent1 6 2 2" xfId="852"/>
    <cellStyle name="40% - Accent1 6 2 3" xfId="853"/>
    <cellStyle name="40% - Accent1 6 3" xfId="854"/>
    <cellStyle name="40% - Accent1 6 4" xfId="855"/>
    <cellStyle name="40% - Accent1 7" xfId="856"/>
    <cellStyle name="40% - Accent1 7 2" xfId="857"/>
    <cellStyle name="40% - Accent1 7 2 2" xfId="858"/>
    <cellStyle name="40% - Accent1 7 2 3" xfId="859"/>
    <cellStyle name="40% - Accent1 7 3" xfId="860"/>
    <cellStyle name="40% - Accent1 7 4" xfId="861"/>
    <cellStyle name="40% - Accent1 8" xfId="862"/>
    <cellStyle name="40% - Accent1 8 2" xfId="863"/>
    <cellStyle name="40% - Accent1 8 3" xfId="864"/>
    <cellStyle name="40% - Accent1 8 4" xfId="865"/>
    <cellStyle name="40% - Accent1 9" xfId="866"/>
    <cellStyle name="40% - Accent1 9 2" xfId="867"/>
    <cellStyle name="40% - Accent1 9 3" xfId="868"/>
    <cellStyle name="40% - Accent1 9 4" xfId="869"/>
    <cellStyle name="40% - Accent2" xfId="870" builtinId="35" customBuiltin="1"/>
    <cellStyle name="40% - Accent2 10" xfId="871"/>
    <cellStyle name="40% - Accent2 10 2" xfId="872"/>
    <cellStyle name="40% - Accent2 11" xfId="873"/>
    <cellStyle name="40% - Accent2 2" xfId="874"/>
    <cellStyle name="40% - Accent2 2 10" xfId="875"/>
    <cellStyle name="40% - Accent2 2 2" xfId="876"/>
    <cellStyle name="40% - Accent2 2 2 2" xfId="877"/>
    <cellStyle name="40% - Accent2 2 2 2 2" xfId="878"/>
    <cellStyle name="40% - Accent2 2 2 2 2 2" xfId="879"/>
    <cellStyle name="40% - Accent2 2 2 2 2 3" xfId="880"/>
    <cellStyle name="40% - Accent2 2 2 2 3" xfId="881"/>
    <cellStyle name="40% - Accent2 2 2 2 4" xfId="882"/>
    <cellStyle name="40% - Accent2 2 2 3" xfId="883"/>
    <cellStyle name="40% - Accent2 2 2 3 2" xfId="884"/>
    <cellStyle name="40% - Accent2 2 2 3 3" xfId="885"/>
    <cellStyle name="40% - Accent2 2 2 4" xfId="886"/>
    <cellStyle name="40% - Accent2 2 2 5" xfId="887"/>
    <cellStyle name="40% - Accent2 2 2 6" xfId="888"/>
    <cellStyle name="40% - Accent2 2 2_Analysis File Template" xfId="889"/>
    <cellStyle name="40% - Accent2 2 3" xfId="890"/>
    <cellStyle name="40% - Accent2 2 3 2" xfId="891"/>
    <cellStyle name="40% - Accent2 2 3 2 2" xfId="892"/>
    <cellStyle name="40% - Accent2 2 3 2 2 2" xfId="893"/>
    <cellStyle name="40% - Accent2 2 3 2 2 3" xfId="894"/>
    <cellStyle name="40% - Accent2 2 3 2 3" xfId="895"/>
    <cellStyle name="40% - Accent2 2 3 2 4" xfId="896"/>
    <cellStyle name="40% - Accent2 2 3 3" xfId="897"/>
    <cellStyle name="40% - Accent2 2 3 3 2" xfId="898"/>
    <cellStyle name="40% - Accent2 2 3 3 3" xfId="899"/>
    <cellStyle name="40% - Accent2 2 3 4" xfId="900"/>
    <cellStyle name="40% - Accent2 2 3 5" xfId="901"/>
    <cellStyle name="40% - Accent2 2 3 6" xfId="902"/>
    <cellStyle name="40% - Accent2 2 3_Analysis File Template" xfId="903"/>
    <cellStyle name="40% - Accent2 2 4" xfId="904"/>
    <cellStyle name="40% - Accent2 2 4 2" xfId="905"/>
    <cellStyle name="40% - Accent2 2 4 2 2" xfId="906"/>
    <cellStyle name="40% - Accent2 2 4 2 3" xfId="907"/>
    <cellStyle name="40% - Accent2 2 4 3" xfId="908"/>
    <cellStyle name="40% - Accent2 2 4 4" xfId="909"/>
    <cellStyle name="40% - Accent2 2 5" xfId="910"/>
    <cellStyle name="40% - Accent2 2 5 2" xfId="911"/>
    <cellStyle name="40% - Accent2 2 5 3" xfId="912"/>
    <cellStyle name="40% - Accent2 2 5 4" xfId="913"/>
    <cellStyle name="40% - Accent2 2 5 5" xfId="914"/>
    <cellStyle name="40% - Accent2 2 6" xfId="915"/>
    <cellStyle name="40% - Accent2 2 7" xfId="916"/>
    <cellStyle name="40% - Accent2 2 7 2" xfId="917"/>
    <cellStyle name="40% - Accent2 2 8" xfId="918"/>
    <cellStyle name="40% - Accent2 2 8 2" xfId="919"/>
    <cellStyle name="40% - Accent2 2 9" xfId="920"/>
    <cellStyle name="40% - Accent2 2_All_SFR_Tables" xfId="921"/>
    <cellStyle name="40% - Accent2 3" xfId="922"/>
    <cellStyle name="40% - Accent2 3 2" xfId="923"/>
    <cellStyle name="40% - Accent2 3 2 2" xfId="924"/>
    <cellStyle name="40% - Accent2 3 2 2 2" xfId="925"/>
    <cellStyle name="40% - Accent2 3 2 2 3" xfId="926"/>
    <cellStyle name="40% - Accent2 3 2 3" xfId="927"/>
    <cellStyle name="40% - Accent2 3 2 4" xfId="928"/>
    <cellStyle name="40% - Accent2 3 3" xfId="929"/>
    <cellStyle name="40% - Accent2 3 3 2" xfId="930"/>
    <cellStyle name="40% - Accent2 3 3 3" xfId="931"/>
    <cellStyle name="40% - Accent2 3 4" xfId="932"/>
    <cellStyle name="40% - Accent2 3 4 2" xfId="933"/>
    <cellStyle name="40% - Accent2 3 4 3" xfId="934"/>
    <cellStyle name="40% - Accent2 3 5" xfId="935"/>
    <cellStyle name="40% - Accent2 3 5 2" xfId="936"/>
    <cellStyle name="40% - Accent2 3 5 3" xfId="937"/>
    <cellStyle name="40% - Accent2 3 6" xfId="938"/>
    <cellStyle name="40% - Accent2 3 6 2" xfId="939"/>
    <cellStyle name="40% - Accent2 3 7" xfId="940"/>
    <cellStyle name="40% - Accent2 3 8" xfId="941"/>
    <cellStyle name="40% - Accent2 3_Analysis File Template" xfId="942"/>
    <cellStyle name="40% - Accent2 4" xfId="943"/>
    <cellStyle name="40% - Accent2 4 2" xfId="944"/>
    <cellStyle name="40% - Accent2 4 2 2" xfId="945"/>
    <cellStyle name="40% - Accent2 4 3" xfId="946"/>
    <cellStyle name="40% - Accent2 4 3 2" xfId="947"/>
    <cellStyle name="40% - Accent2 4 3 3" xfId="948"/>
    <cellStyle name="40% - Accent2 4 4" xfId="949"/>
    <cellStyle name="40% - Accent2 4_Draft SFR tables 300113 V8" xfId="950"/>
    <cellStyle name="40% - Accent2 5" xfId="951"/>
    <cellStyle name="40% - Accent2 5 2" xfId="952"/>
    <cellStyle name="40% - Accent2 5 2 2" xfId="953"/>
    <cellStyle name="40% - Accent2 5 3" xfId="954"/>
    <cellStyle name="40% - Accent2 5_Draft SFR tables 300113 V8" xfId="955"/>
    <cellStyle name="40% - Accent2 6" xfId="956"/>
    <cellStyle name="40% - Accent2 6 2" xfId="957"/>
    <cellStyle name="40% - Accent2 6 2 2" xfId="958"/>
    <cellStyle name="40% - Accent2 6 2 3" xfId="959"/>
    <cellStyle name="40% - Accent2 6 3" xfId="960"/>
    <cellStyle name="40% - Accent2 6 4" xfId="961"/>
    <cellStyle name="40% - Accent2 7" xfId="962"/>
    <cellStyle name="40% - Accent2 7 2" xfId="963"/>
    <cellStyle name="40% - Accent2 7 2 2" xfId="964"/>
    <cellStyle name="40% - Accent2 7 2 3" xfId="965"/>
    <cellStyle name="40% - Accent2 7 3" xfId="966"/>
    <cellStyle name="40% - Accent2 7 4" xfId="967"/>
    <cellStyle name="40% - Accent2 8" xfId="968"/>
    <cellStyle name="40% - Accent2 8 2" xfId="969"/>
    <cellStyle name="40% - Accent2 9" xfId="970"/>
    <cellStyle name="40% - Accent2 9 2" xfId="971"/>
    <cellStyle name="40% - Accent3 10" xfId="972"/>
    <cellStyle name="40% - Accent3 10 2" xfId="973"/>
    <cellStyle name="40% - Accent3 10 3" xfId="974"/>
    <cellStyle name="40% - Accent3 10 4" xfId="975"/>
    <cellStyle name="40% - Accent3 11" xfId="976"/>
    <cellStyle name="40% - Accent3 11 2" xfId="977"/>
    <cellStyle name="40% - Accent3 11 3" xfId="978"/>
    <cellStyle name="40% - Accent3 12" xfId="979"/>
    <cellStyle name="40% - Accent3 13" xfId="980"/>
    <cellStyle name="40% - Accent3 13 2" xfId="981"/>
    <cellStyle name="40% - Accent3 13 3" xfId="982"/>
    <cellStyle name="40% - Accent3 13 4" xfId="983"/>
    <cellStyle name="40% - Accent3 13 5" xfId="984"/>
    <cellStyle name="40% - Accent3 13 6" xfId="985"/>
    <cellStyle name="40% - Accent3 13 7" xfId="986"/>
    <cellStyle name="40% - Accent3 13 7 2" xfId="987"/>
    <cellStyle name="40% - Accent3 13 8" xfId="988"/>
    <cellStyle name="40% - Accent3 14" xfId="989"/>
    <cellStyle name="40% - Accent3 15" xfId="990"/>
    <cellStyle name="40% - Accent3 16" xfId="991"/>
    <cellStyle name="40% - Accent3 17" xfId="992"/>
    <cellStyle name="40% - Accent3 18" xfId="993"/>
    <cellStyle name="40% - Accent3 18 2" xfId="994"/>
    <cellStyle name="40% - Accent3 19" xfId="995"/>
    <cellStyle name="40% - Accent3 2" xfId="996"/>
    <cellStyle name="40% - Accent3 2 10" xfId="997"/>
    <cellStyle name="40% - Accent3 2 2" xfId="998"/>
    <cellStyle name="40% - Accent3 2 2 2" xfId="999"/>
    <cellStyle name="40% - Accent3 2 2 2 2" xfId="1000"/>
    <cellStyle name="40% - Accent3 2 2 2 2 2" xfId="1001"/>
    <cellStyle name="40% - Accent3 2 2 2 2 3" xfId="1002"/>
    <cellStyle name="40% - Accent3 2 2 2 3" xfId="1003"/>
    <cellStyle name="40% - Accent3 2 2 2 4" xfId="1004"/>
    <cellStyle name="40% - Accent3 2 2 3" xfId="1005"/>
    <cellStyle name="40% - Accent3 2 2 3 2" xfId="1006"/>
    <cellStyle name="40% - Accent3 2 2 3 3" xfId="1007"/>
    <cellStyle name="40% - Accent3 2 2 4" xfId="1008"/>
    <cellStyle name="40% - Accent3 2 2 5" xfId="1009"/>
    <cellStyle name="40% - Accent3 2 2 6" xfId="1010"/>
    <cellStyle name="40% - Accent3 2 2_Analysis File Template" xfId="1011"/>
    <cellStyle name="40% - Accent3 2 3" xfId="1012"/>
    <cellStyle name="40% - Accent3 2 3 2" xfId="1013"/>
    <cellStyle name="40% - Accent3 2 3 2 2" xfId="1014"/>
    <cellStyle name="40% - Accent3 2 3 2 2 2" xfId="1015"/>
    <cellStyle name="40% - Accent3 2 3 2 2 3" xfId="1016"/>
    <cellStyle name="40% - Accent3 2 3 2 3" xfId="1017"/>
    <cellStyle name="40% - Accent3 2 3 2 4" xfId="1018"/>
    <cellStyle name="40% - Accent3 2 3 3" xfId="1019"/>
    <cellStyle name="40% - Accent3 2 3 3 2" xfId="1020"/>
    <cellStyle name="40% - Accent3 2 3 3 3" xfId="1021"/>
    <cellStyle name="40% - Accent3 2 3 4" xfId="1022"/>
    <cellStyle name="40% - Accent3 2 3 5" xfId="1023"/>
    <cellStyle name="40% - Accent3 2 3 6" xfId="1024"/>
    <cellStyle name="40% - Accent3 2 3_Analysis File Template" xfId="1025"/>
    <cellStyle name="40% - Accent3 2 4" xfId="1026"/>
    <cellStyle name="40% - Accent3 2 4 2" xfId="1027"/>
    <cellStyle name="40% - Accent3 2 4 2 2" xfId="1028"/>
    <cellStyle name="40% - Accent3 2 4 2 3" xfId="1029"/>
    <cellStyle name="40% - Accent3 2 4 3" xfId="1030"/>
    <cellStyle name="40% - Accent3 2 4 4" xfId="1031"/>
    <cellStyle name="40% - Accent3 2 5" xfId="1032"/>
    <cellStyle name="40% - Accent3 2 5 2" xfId="1033"/>
    <cellStyle name="40% - Accent3 2 5 3" xfId="1034"/>
    <cellStyle name="40% - Accent3 2 5 4" xfId="1035"/>
    <cellStyle name="40% - Accent3 2 5 5" xfId="1036"/>
    <cellStyle name="40% - Accent3 2 5 6" xfId="1037"/>
    <cellStyle name="40% - Accent3 2 5 6 2" xfId="1038"/>
    <cellStyle name="40% - Accent3 2 6" xfId="1039"/>
    <cellStyle name="40% - Accent3 2 7" xfId="1040"/>
    <cellStyle name="40% - Accent3 2 7 2" xfId="1041"/>
    <cellStyle name="40% - Accent3 2 8" xfId="1042"/>
    <cellStyle name="40% - Accent3 2 8 2" xfId="1043"/>
    <cellStyle name="40% - Accent3 2 9" xfId="1044"/>
    <cellStyle name="40% - Accent3 2_All_SFR_Tables" xfId="1045"/>
    <cellStyle name="40% - Accent3 20" xfId="1046"/>
    <cellStyle name="40% - Accent3 3" xfId="1047"/>
    <cellStyle name="40% - Accent3 3 2" xfId="1048"/>
    <cellStyle name="40% - Accent3 3 2 2" xfId="1049"/>
    <cellStyle name="40% - Accent3 3 2 2 2" xfId="1050"/>
    <cellStyle name="40% - Accent3 3 2 2 3" xfId="1051"/>
    <cellStyle name="40% - Accent3 3 2 3" xfId="1052"/>
    <cellStyle name="40% - Accent3 3 2 4" xfId="1053"/>
    <cellStyle name="40% - Accent3 3 3" xfId="1054"/>
    <cellStyle name="40% - Accent3 3 3 2" xfId="1055"/>
    <cellStyle name="40% - Accent3 3 3 3" xfId="1056"/>
    <cellStyle name="40% - Accent3 3 4" xfId="1057"/>
    <cellStyle name="40% - Accent3 3 4 2" xfId="1058"/>
    <cellStyle name="40% - Accent3 3 4 3" xfId="1059"/>
    <cellStyle name="40% - Accent3 3 4 4" xfId="1060"/>
    <cellStyle name="40% - Accent3 3 4 4 2" xfId="1061"/>
    <cellStyle name="40% - Accent3 3 5" xfId="1062"/>
    <cellStyle name="40% - Accent3 3 5 2" xfId="1063"/>
    <cellStyle name="40% - Accent3 3 5 3" xfId="1064"/>
    <cellStyle name="40% - Accent3 3 6" xfId="1065"/>
    <cellStyle name="40% - Accent3 3 6 2" xfId="1066"/>
    <cellStyle name="40% - Accent3 3 7" xfId="1067"/>
    <cellStyle name="40% - Accent3 3 8" xfId="1068"/>
    <cellStyle name="40% - Accent3 3_Analysis File Template" xfId="1069"/>
    <cellStyle name="40% - Accent3 4" xfId="1070"/>
    <cellStyle name="40% - Accent3 4 2" xfId="1071"/>
    <cellStyle name="40% - Accent3 4 2 2" xfId="1072"/>
    <cellStyle name="40% - Accent3 4 3" xfId="1073"/>
    <cellStyle name="40% - Accent3 4 3 2" xfId="1074"/>
    <cellStyle name="40% - Accent3 4 3 3" xfId="1075"/>
    <cellStyle name="40% - Accent3 4 3 4" xfId="1076"/>
    <cellStyle name="40% - Accent3 4 3 4 2" xfId="1077"/>
    <cellStyle name="40% - Accent3 4 4" xfId="1078"/>
    <cellStyle name="40% - Accent3 4_Draft SFR tables 300113 V8" xfId="1079"/>
    <cellStyle name="40% - Accent3 5" xfId="1080"/>
    <cellStyle name="40% - Accent3 5 2" xfId="1081"/>
    <cellStyle name="40% - Accent3 5 2 2" xfId="1082"/>
    <cellStyle name="40% - Accent3 5 3" xfId="1083"/>
    <cellStyle name="40% - Accent3 5_Draft SFR tables 300113 V8" xfId="1084"/>
    <cellStyle name="40% - Accent3 6" xfId="1085"/>
    <cellStyle name="40% - Accent3 6 2" xfId="1086"/>
    <cellStyle name="40% - Accent3 6 2 2" xfId="1087"/>
    <cellStyle name="40% - Accent3 6 2 3" xfId="1088"/>
    <cellStyle name="40% - Accent3 6 3" xfId="1089"/>
    <cellStyle name="40% - Accent3 6 4" xfId="1090"/>
    <cellStyle name="40% - Accent3 7" xfId="1091"/>
    <cellStyle name="40% - Accent3 7 2" xfId="1092"/>
    <cellStyle name="40% - Accent3 7 2 2" xfId="1093"/>
    <cellStyle name="40% - Accent3 7 2 3" xfId="1094"/>
    <cellStyle name="40% - Accent3 7 3" xfId="1095"/>
    <cellStyle name="40% - Accent3 7 4" xfId="1096"/>
    <cellStyle name="40% - Accent3 8" xfId="1097"/>
    <cellStyle name="40% - Accent3 8 2" xfId="1098"/>
    <cellStyle name="40% - Accent3 8 3" xfId="1099"/>
    <cellStyle name="40% - Accent3 8 4" xfId="1100"/>
    <cellStyle name="40% - Accent3 9" xfId="1101"/>
    <cellStyle name="40% - Accent3 9 2" xfId="1102"/>
    <cellStyle name="40% - Accent3 9 3" xfId="1103"/>
    <cellStyle name="40% - Accent3 9 4" xfId="1104"/>
    <cellStyle name="40% - Accent4 10" xfId="1105"/>
    <cellStyle name="40% - Accent4 10 2" xfId="1106"/>
    <cellStyle name="40% - Accent4 10 3" xfId="1107"/>
    <cellStyle name="40% - Accent4 10 4" xfId="1108"/>
    <cellStyle name="40% - Accent4 11" xfId="1109"/>
    <cellStyle name="40% - Accent4 11 2" xfId="1110"/>
    <cellStyle name="40% - Accent4 11 3" xfId="1111"/>
    <cellStyle name="40% - Accent4 12" xfId="1112"/>
    <cellStyle name="40% - Accent4 13" xfId="1113"/>
    <cellStyle name="40% - Accent4 13 2" xfId="1114"/>
    <cellStyle name="40% - Accent4 13 3" xfId="1115"/>
    <cellStyle name="40% - Accent4 13 4" xfId="1116"/>
    <cellStyle name="40% - Accent4 13 5" xfId="1117"/>
    <cellStyle name="40% - Accent4 13 6" xfId="1118"/>
    <cellStyle name="40% - Accent4 13 7" xfId="1119"/>
    <cellStyle name="40% - Accent4 13 7 2" xfId="1120"/>
    <cellStyle name="40% - Accent4 13 8" xfId="1121"/>
    <cellStyle name="40% - Accent4 14" xfId="1122"/>
    <cellStyle name="40% - Accent4 15" xfId="1123"/>
    <cellStyle name="40% - Accent4 16" xfId="1124"/>
    <cellStyle name="40% - Accent4 17" xfId="1125"/>
    <cellStyle name="40% - Accent4 18" xfId="1126"/>
    <cellStyle name="40% - Accent4 18 2" xfId="1127"/>
    <cellStyle name="40% - Accent4 19" xfId="1128"/>
    <cellStyle name="40% - Accent4 2" xfId="1129"/>
    <cellStyle name="40% - Accent4 2 10" xfId="1130"/>
    <cellStyle name="40% - Accent4 2 2" xfId="1131"/>
    <cellStyle name="40% - Accent4 2 2 2" xfId="1132"/>
    <cellStyle name="40% - Accent4 2 2 2 2" xfId="1133"/>
    <cellStyle name="40% - Accent4 2 2 2 2 2" xfId="1134"/>
    <cellStyle name="40% - Accent4 2 2 2 2 3" xfId="1135"/>
    <cellStyle name="40% - Accent4 2 2 2 3" xfId="1136"/>
    <cellStyle name="40% - Accent4 2 2 2 4" xfId="1137"/>
    <cellStyle name="40% - Accent4 2 2 3" xfId="1138"/>
    <cellStyle name="40% - Accent4 2 2 3 2" xfId="1139"/>
    <cellStyle name="40% - Accent4 2 2 3 3" xfId="1140"/>
    <cellStyle name="40% - Accent4 2 2 4" xfId="1141"/>
    <cellStyle name="40% - Accent4 2 2 5" xfId="1142"/>
    <cellStyle name="40% - Accent4 2 2 6" xfId="1143"/>
    <cellStyle name="40% - Accent4 2 2_Analysis File Template" xfId="1144"/>
    <cellStyle name="40% - Accent4 2 3" xfId="1145"/>
    <cellStyle name="40% - Accent4 2 3 2" xfId="1146"/>
    <cellStyle name="40% - Accent4 2 3 2 2" xfId="1147"/>
    <cellStyle name="40% - Accent4 2 3 2 2 2" xfId="1148"/>
    <cellStyle name="40% - Accent4 2 3 2 2 3" xfId="1149"/>
    <cellStyle name="40% - Accent4 2 3 2 3" xfId="1150"/>
    <cellStyle name="40% - Accent4 2 3 2 4" xfId="1151"/>
    <cellStyle name="40% - Accent4 2 3 3" xfId="1152"/>
    <cellStyle name="40% - Accent4 2 3 3 2" xfId="1153"/>
    <cellStyle name="40% - Accent4 2 3 3 3" xfId="1154"/>
    <cellStyle name="40% - Accent4 2 3 4" xfId="1155"/>
    <cellStyle name="40% - Accent4 2 3 5" xfId="1156"/>
    <cellStyle name="40% - Accent4 2 3 6" xfId="1157"/>
    <cellStyle name="40% - Accent4 2 3_Analysis File Template" xfId="1158"/>
    <cellStyle name="40% - Accent4 2 4" xfId="1159"/>
    <cellStyle name="40% - Accent4 2 4 2" xfId="1160"/>
    <cellStyle name="40% - Accent4 2 4 2 2" xfId="1161"/>
    <cellStyle name="40% - Accent4 2 4 2 3" xfId="1162"/>
    <cellStyle name="40% - Accent4 2 4 3" xfId="1163"/>
    <cellStyle name="40% - Accent4 2 4 4" xfId="1164"/>
    <cellStyle name="40% - Accent4 2 5" xfId="1165"/>
    <cellStyle name="40% - Accent4 2 5 2" xfId="1166"/>
    <cellStyle name="40% - Accent4 2 5 3" xfId="1167"/>
    <cellStyle name="40% - Accent4 2 5 4" xfId="1168"/>
    <cellStyle name="40% - Accent4 2 5 5" xfId="1169"/>
    <cellStyle name="40% - Accent4 2 5 6" xfId="1170"/>
    <cellStyle name="40% - Accent4 2 5 6 2" xfId="1171"/>
    <cellStyle name="40% - Accent4 2 6" xfId="1172"/>
    <cellStyle name="40% - Accent4 2 7" xfId="1173"/>
    <cellStyle name="40% - Accent4 2 7 2" xfId="1174"/>
    <cellStyle name="40% - Accent4 2 8" xfId="1175"/>
    <cellStyle name="40% - Accent4 2 8 2" xfId="1176"/>
    <cellStyle name="40% - Accent4 2 9" xfId="1177"/>
    <cellStyle name="40% - Accent4 2_All_SFR_Tables" xfId="1178"/>
    <cellStyle name="40% - Accent4 20" xfId="1179"/>
    <cellStyle name="40% - Accent4 3" xfId="1180"/>
    <cellStyle name="40% - Accent4 3 2" xfId="1181"/>
    <cellStyle name="40% - Accent4 3 2 2" xfId="1182"/>
    <cellStyle name="40% - Accent4 3 2 2 2" xfId="1183"/>
    <cellStyle name="40% - Accent4 3 2 2 3" xfId="1184"/>
    <cellStyle name="40% - Accent4 3 2 3" xfId="1185"/>
    <cellStyle name="40% - Accent4 3 2 4" xfId="1186"/>
    <cellStyle name="40% - Accent4 3 3" xfId="1187"/>
    <cellStyle name="40% - Accent4 3 3 2" xfId="1188"/>
    <cellStyle name="40% - Accent4 3 3 3" xfId="1189"/>
    <cellStyle name="40% - Accent4 3 4" xfId="1190"/>
    <cellStyle name="40% - Accent4 3 4 2" xfId="1191"/>
    <cellStyle name="40% - Accent4 3 4 3" xfId="1192"/>
    <cellStyle name="40% - Accent4 3 4 4" xfId="1193"/>
    <cellStyle name="40% - Accent4 3 4 4 2" xfId="1194"/>
    <cellStyle name="40% - Accent4 3 5" xfId="1195"/>
    <cellStyle name="40% - Accent4 3 5 2" xfId="1196"/>
    <cellStyle name="40% - Accent4 3 5 3" xfId="1197"/>
    <cellStyle name="40% - Accent4 3 6" xfId="1198"/>
    <cellStyle name="40% - Accent4 3 6 2" xfId="1199"/>
    <cellStyle name="40% - Accent4 3 7" xfId="1200"/>
    <cellStyle name="40% - Accent4 3 8" xfId="1201"/>
    <cellStyle name="40% - Accent4 3_Analysis File Template" xfId="1202"/>
    <cellStyle name="40% - Accent4 4" xfId="1203"/>
    <cellStyle name="40% - Accent4 4 2" xfId="1204"/>
    <cellStyle name="40% - Accent4 4 2 2" xfId="1205"/>
    <cellStyle name="40% - Accent4 4 3" xfId="1206"/>
    <cellStyle name="40% - Accent4 4 3 2" xfId="1207"/>
    <cellStyle name="40% - Accent4 4 3 3" xfId="1208"/>
    <cellStyle name="40% - Accent4 4 3 4" xfId="1209"/>
    <cellStyle name="40% - Accent4 4 3 4 2" xfId="1210"/>
    <cellStyle name="40% - Accent4 4 4" xfId="1211"/>
    <cellStyle name="40% - Accent4 4_Draft SFR tables 300113 V8" xfId="1212"/>
    <cellStyle name="40% - Accent4 5" xfId="1213"/>
    <cellStyle name="40% - Accent4 5 2" xfId="1214"/>
    <cellStyle name="40% - Accent4 5 2 2" xfId="1215"/>
    <cellStyle name="40% - Accent4 5 3" xfId="1216"/>
    <cellStyle name="40% - Accent4 5_Draft SFR tables 300113 V8" xfId="1217"/>
    <cellStyle name="40% - Accent4 6" xfId="1218"/>
    <cellStyle name="40% - Accent4 6 2" xfId="1219"/>
    <cellStyle name="40% - Accent4 6 2 2" xfId="1220"/>
    <cellStyle name="40% - Accent4 6 2 3" xfId="1221"/>
    <cellStyle name="40% - Accent4 6 3" xfId="1222"/>
    <cellStyle name="40% - Accent4 6 4" xfId="1223"/>
    <cellStyle name="40% - Accent4 7" xfId="1224"/>
    <cellStyle name="40% - Accent4 7 2" xfId="1225"/>
    <cellStyle name="40% - Accent4 7 2 2" xfId="1226"/>
    <cellStyle name="40% - Accent4 7 2 3" xfId="1227"/>
    <cellStyle name="40% - Accent4 7 3" xfId="1228"/>
    <cellStyle name="40% - Accent4 7 4" xfId="1229"/>
    <cellStyle name="40% - Accent4 8" xfId="1230"/>
    <cellStyle name="40% - Accent4 8 2" xfId="1231"/>
    <cellStyle name="40% - Accent4 8 3" xfId="1232"/>
    <cellStyle name="40% - Accent4 8 4" xfId="1233"/>
    <cellStyle name="40% - Accent4 9" xfId="1234"/>
    <cellStyle name="40% - Accent4 9 2" xfId="1235"/>
    <cellStyle name="40% - Accent4 9 3" xfId="1236"/>
    <cellStyle name="40% - Accent4 9 4" xfId="1237"/>
    <cellStyle name="40% - Accent5" xfId="1238" builtinId="47" customBuiltin="1"/>
    <cellStyle name="40% - Accent5 10" xfId="1239"/>
    <cellStyle name="40% - Accent5 10 2" xfId="1240"/>
    <cellStyle name="40% - Accent5 11" xfId="1241"/>
    <cellStyle name="40% - Accent5 2" xfId="1242"/>
    <cellStyle name="40% - Accent5 2 10" xfId="1243"/>
    <cellStyle name="40% - Accent5 2 2" xfId="1244"/>
    <cellStyle name="40% - Accent5 2 2 2" xfId="1245"/>
    <cellStyle name="40% - Accent5 2 2 2 2" xfId="1246"/>
    <cellStyle name="40% - Accent5 2 2 2 2 2" xfId="1247"/>
    <cellStyle name="40% - Accent5 2 2 2 2 3" xfId="1248"/>
    <cellStyle name="40% - Accent5 2 2 2 3" xfId="1249"/>
    <cellStyle name="40% - Accent5 2 2 2 4" xfId="1250"/>
    <cellStyle name="40% - Accent5 2 2 3" xfId="1251"/>
    <cellStyle name="40% - Accent5 2 2 3 2" xfId="1252"/>
    <cellStyle name="40% - Accent5 2 2 3 3" xfId="1253"/>
    <cellStyle name="40% - Accent5 2 2 4" xfId="1254"/>
    <cellStyle name="40% - Accent5 2 2 5" xfId="1255"/>
    <cellStyle name="40% - Accent5 2 2 6" xfId="1256"/>
    <cellStyle name="40% - Accent5 2 2_Analysis File Template" xfId="1257"/>
    <cellStyle name="40% - Accent5 2 3" xfId="1258"/>
    <cellStyle name="40% - Accent5 2 3 2" xfId="1259"/>
    <cellStyle name="40% - Accent5 2 3 2 2" xfId="1260"/>
    <cellStyle name="40% - Accent5 2 3 2 2 2" xfId="1261"/>
    <cellStyle name="40% - Accent5 2 3 2 2 3" xfId="1262"/>
    <cellStyle name="40% - Accent5 2 3 2 3" xfId="1263"/>
    <cellStyle name="40% - Accent5 2 3 2 4" xfId="1264"/>
    <cellStyle name="40% - Accent5 2 3 3" xfId="1265"/>
    <cellStyle name="40% - Accent5 2 3 3 2" xfId="1266"/>
    <cellStyle name="40% - Accent5 2 3 3 3" xfId="1267"/>
    <cellStyle name="40% - Accent5 2 3 4" xfId="1268"/>
    <cellStyle name="40% - Accent5 2 3 5" xfId="1269"/>
    <cellStyle name="40% - Accent5 2 3 6" xfId="1270"/>
    <cellStyle name="40% - Accent5 2 3_Analysis File Template" xfId="1271"/>
    <cellStyle name="40% - Accent5 2 4" xfId="1272"/>
    <cellStyle name="40% - Accent5 2 4 2" xfId="1273"/>
    <cellStyle name="40% - Accent5 2 4 2 2" xfId="1274"/>
    <cellStyle name="40% - Accent5 2 4 2 3" xfId="1275"/>
    <cellStyle name="40% - Accent5 2 4 3" xfId="1276"/>
    <cellStyle name="40% - Accent5 2 4 4" xfId="1277"/>
    <cellStyle name="40% - Accent5 2 5" xfId="1278"/>
    <cellStyle name="40% - Accent5 2 5 2" xfId="1279"/>
    <cellStyle name="40% - Accent5 2 5 3" xfId="1280"/>
    <cellStyle name="40% - Accent5 2 5 4" xfId="1281"/>
    <cellStyle name="40% - Accent5 2 5 5" xfId="1282"/>
    <cellStyle name="40% - Accent5 2 6" xfId="1283"/>
    <cellStyle name="40% - Accent5 2 7" xfId="1284"/>
    <cellStyle name="40% - Accent5 2 7 2" xfId="1285"/>
    <cellStyle name="40% - Accent5 2 8" xfId="1286"/>
    <cellStyle name="40% - Accent5 2 8 2" xfId="1287"/>
    <cellStyle name="40% - Accent5 2 9" xfId="1288"/>
    <cellStyle name="40% - Accent5 2_All_SFR_Tables" xfId="1289"/>
    <cellStyle name="40% - Accent5 3" xfId="1290"/>
    <cellStyle name="40% - Accent5 3 2" xfId="1291"/>
    <cellStyle name="40% - Accent5 3 2 2" xfId="1292"/>
    <cellStyle name="40% - Accent5 3 2 2 2" xfId="1293"/>
    <cellStyle name="40% - Accent5 3 2 2 3" xfId="1294"/>
    <cellStyle name="40% - Accent5 3 2 3" xfId="1295"/>
    <cellStyle name="40% - Accent5 3 2 4" xfId="1296"/>
    <cellStyle name="40% - Accent5 3 3" xfId="1297"/>
    <cellStyle name="40% - Accent5 3 3 2" xfId="1298"/>
    <cellStyle name="40% - Accent5 3 3 3" xfId="1299"/>
    <cellStyle name="40% - Accent5 3 4" xfId="1300"/>
    <cellStyle name="40% - Accent5 3 4 2" xfId="1301"/>
    <cellStyle name="40% - Accent5 3 4 3" xfId="1302"/>
    <cellStyle name="40% - Accent5 3 5" xfId="1303"/>
    <cellStyle name="40% - Accent5 3 5 2" xfId="1304"/>
    <cellStyle name="40% - Accent5 3 5 3" xfId="1305"/>
    <cellStyle name="40% - Accent5 3 6" xfId="1306"/>
    <cellStyle name="40% - Accent5 3 6 2" xfId="1307"/>
    <cellStyle name="40% - Accent5 3 7" xfId="1308"/>
    <cellStyle name="40% - Accent5 3 8" xfId="1309"/>
    <cellStyle name="40% - Accent5 3_Analysis File Template" xfId="1310"/>
    <cellStyle name="40% - Accent5 4" xfId="1311"/>
    <cellStyle name="40% - Accent5 4 2" xfId="1312"/>
    <cellStyle name="40% - Accent5 4 2 2" xfId="1313"/>
    <cellStyle name="40% - Accent5 4 3" xfId="1314"/>
    <cellStyle name="40% - Accent5 4 3 2" xfId="1315"/>
    <cellStyle name="40% - Accent5 4 3 3" xfId="1316"/>
    <cellStyle name="40% - Accent5 4 4" xfId="1317"/>
    <cellStyle name="40% - Accent5 4_Draft SFR tables 300113 V8" xfId="1318"/>
    <cellStyle name="40% - Accent5 5" xfId="1319"/>
    <cellStyle name="40% - Accent5 5 2" xfId="1320"/>
    <cellStyle name="40% - Accent5 5 2 2" xfId="1321"/>
    <cellStyle name="40% - Accent5 5 3" xfId="1322"/>
    <cellStyle name="40% - Accent5 5_Draft SFR tables 300113 V8" xfId="1323"/>
    <cellStyle name="40% - Accent5 6" xfId="1324"/>
    <cellStyle name="40% - Accent5 6 2" xfId="1325"/>
    <cellStyle name="40% - Accent5 6 2 2" xfId="1326"/>
    <cellStyle name="40% - Accent5 6 2 3" xfId="1327"/>
    <cellStyle name="40% - Accent5 6 3" xfId="1328"/>
    <cellStyle name="40% - Accent5 6 4" xfId="1329"/>
    <cellStyle name="40% - Accent5 7" xfId="1330"/>
    <cellStyle name="40% - Accent5 7 2" xfId="1331"/>
    <cellStyle name="40% - Accent5 7 2 2" xfId="1332"/>
    <cellStyle name="40% - Accent5 7 2 3" xfId="1333"/>
    <cellStyle name="40% - Accent5 7 3" xfId="1334"/>
    <cellStyle name="40% - Accent5 7 4" xfId="1335"/>
    <cellStyle name="40% - Accent5 8" xfId="1336"/>
    <cellStyle name="40% - Accent5 8 2" xfId="1337"/>
    <cellStyle name="40% - Accent5 9" xfId="1338"/>
    <cellStyle name="40% - Accent5 9 2" xfId="1339"/>
    <cellStyle name="40% - Accent6 10" xfId="1340"/>
    <cellStyle name="40% - Accent6 10 2" xfId="1341"/>
    <cellStyle name="40% - Accent6 10 3" xfId="1342"/>
    <cellStyle name="40% - Accent6 10 4" xfId="1343"/>
    <cellStyle name="40% - Accent6 11" xfId="1344"/>
    <cellStyle name="40% - Accent6 11 2" xfId="1345"/>
    <cellStyle name="40% - Accent6 11 3" xfId="1346"/>
    <cellStyle name="40% - Accent6 12" xfId="1347"/>
    <cellStyle name="40% - Accent6 13" xfId="1348"/>
    <cellStyle name="40% - Accent6 13 2" xfId="1349"/>
    <cellStyle name="40% - Accent6 13 3" xfId="1350"/>
    <cellStyle name="40% - Accent6 13 4" xfId="1351"/>
    <cellStyle name="40% - Accent6 13 5" xfId="1352"/>
    <cellStyle name="40% - Accent6 13 6" xfId="1353"/>
    <cellStyle name="40% - Accent6 13 7" xfId="1354"/>
    <cellStyle name="40% - Accent6 13 7 2" xfId="1355"/>
    <cellStyle name="40% - Accent6 13 8" xfId="1356"/>
    <cellStyle name="40% - Accent6 14" xfId="1357"/>
    <cellStyle name="40% - Accent6 15" xfId="1358"/>
    <cellStyle name="40% - Accent6 16" xfId="1359"/>
    <cellStyle name="40% - Accent6 17" xfId="1360"/>
    <cellStyle name="40% - Accent6 18" xfId="1361"/>
    <cellStyle name="40% - Accent6 18 2" xfId="1362"/>
    <cellStyle name="40% - Accent6 19" xfId="1363"/>
    <cellStyle name="40% - Accent6 2" xfId="1364"/>
    <cellStyle name="40% - Accent6 2 10" xfId="1365"/>
    <cellStyle name="40% - Accent6 2 2" xfId="1366"/>
    <cellStyle name="40% - Accent6 2 2 2" xfId="1367"/>
    <cellStyle name="40% - Accent6 2 2 2 2" xfId="1368"/>
    <cellStyle name="40% - Accent6 2 2 2 2 2" xfId="1369"/>
    <cellStyle name="40% - Accent6 2 2 2 2 3" xfId="1370"/>
    <cellStyle name="40% - Accent6 2 2 2 3" xfId="1371"/>
    <cellStyle name="40% - Accent6 2 2 2 4" xfId="1372"/>
    <cellStyle name="40% - Accent6 2 2 3" xfId="1373"/>
    <cellStyle name="40% - Accent6 2 2 3 2" xfId="1374"/>
    <cellStyle name="40% - Accent6 2 2 3 3" xfId="1375"/>
    <cellStyle name="40% - Accent6 2 2 4" xfId="1376"/>
    <cellStyle name="40% - Accent6 2 2 5" xfId="1377"/>
    <cellStyle name="40% - Accent6 2 2 6" xfId="1378"/>
    <cellStyle name="40% - Accent6 2 2_Analysis File Template" xfId="1379"/>
    <cellStyle name="40% - Accent6 2 3" xfId="1380"/>
    <cellStyle name="40% - Accent6 2 3 2" xfId="1381"/>
    <cellStyle name="40% - Accent6 2 3 2 2" xfId="1382"/>
    <cellStyle name="40% - Accent6 2 3 2 2 2" xfId="1383"/>
    <cellStyle name="40% - Accent6 2 3 2 2 3" xfId="1384"/>
    <cellStyle name="40% - Accent6 2 3 2 3" xfId="1385"/>
    <cellStyle name="40% - Accent6 2 3 2 4" xfId="1386"/>
    <cellStyle name="40% - Accent6 2 3 3" xfId="1387"/>
    <cellStyle name="40% - Accent6 2 3 3 2" xfId="1388"/>
    <cellStyle name="40% - Accent6 2 3 3 3" xfId="1389"/>
    <cellStyle name="40% - Accent6 2 3 4" xfId="1390"/>
    <cellStyle name="40% - Accent6 2 3 5" xfId="1391"/>
    <cellStyle name="40% - Accent6 2 3 6" xfId="1392"/>
    <cellStyle name="40% - Accent6 2 3_Analysis File Template" xfId="1393"/>
    <cellStyle name="40% - Accent6 2 4" xfId="1394"/>
    <cellStyle name="40% - Accent6 2 4 2" xfId="1395"/>
    <cellStyle name="40% - Accent6 2 4 2 2" xfId="1396"/>
    <cellStyle name="40% - Accent6 2 4 2 3" xfId="1397"/>
    <cellStyle name="40% - Accent6 2 4 3" xfId="1398"/>
    <cellStyle name="40% - Accent6 2 4 4" xfId="1399"/>
    <cellStyle name="40% - Accent6 2 5" xfId="1400"/>
    <cellStyle name="40% - Accent6 2 5 2" xfId="1401"/>
    <cellStyle name="40% - Accent6 2 5 3" xfId="1402"/>
    <cellStyle name="40% - Accent6 2 5 4" xfId="1403"/>
    <cellStyle name="40% - Accent6 2 5 5" xfId="1404"/>
    <cellStyle name="40% - Accent6 2 5 6" xfId="1405"/>
    <cellStyle name="40% - Accent6 2 5 6 2" xfId="1406"/>
    <cellStyle name="40% - Accent6 2 6" xfId="1407"/>
    <cellStyle name="40% - Accent6 2 7" xfId="1408"/>
    <cellStyle name="40% - Accent6 2 7 2" xfId="1409"/>
    <cellStyle name="40% - Accent6 2 8" xfId="1410"/>
    <cellStyle name="40% - Accent6 2 8 2" xfId="1411"/>
    <cellStyle name="40% - Accent6 2 9" xfId="1412"/>
    <cellStyle name="40% - Accent6 2_All_SFR_Tables" xfId="1413"/>
    <cellStyle name="40% - Accent6 20" xfId="1414"/>
    <cellStyle name="40% - Accent6 3" xfId="1415"/>
    <cellStyle name="40% - Accent6 3 2" xfId="1416"/>
    <cellStyle name="40% - Accent6 3 2 2" xfId="1417"/>
    <cellStyle name="40% - Accent6 3 2 2 2" xfId="1418"/>
    <cellStyle name="40% - Accent6 3 2 2 3" xfId="1419"/>
    <cellStyle name="40% - Accent6 3 2 3" xfId="1420"/>
    <cellStyle name="40% - Accent6 3 2 4" xfId="1421"/>
    <cellStyle name="40% - Accent6 3 3" xfId="1422"/>
    <cellStyle name="40% - Accent6 3 3 2" xfId="1423"/>
    <cellStyle name="40% - Accent6 3 3 3" xfId="1424"/>
    <cellStyle name="40% - Accent6 3 4" xfId="1425"/>
    <cellStyle name="40% - Accent6 3 4 2" xfId="1426"/>
    <cellStyle name="40% - Accent6 3 4 3" xfId="1427"/>
    <cellStyle name="40% - Accent6 3 4 4" xfId="1428"/>
    <cellStyle name="40% - Accent6 3 4 4 2" xfId="1429"/>
    <cellStyle name="40% - Accent6 3 5" xfId="1430"/>
    <cellStyle name="40% - Accent6 3 5 2" xfId="1431"/>
    <cellStyle name="40% - Accent6 3 5 3" xfId="1432"/>
    <cellStyle name="40% - Accent6 3 6" xfId="1433"/>
    <cellStyle name="40% - Accent6 3 6 2" xfId="1434"/>
    <cellStyle name="40% - Accent6 3 7" xfId="1435"/>
    <cellStyle name="40% - Accent6 3 8" xfId="1436"/>
    <cellStyle name="40% - Accent6 3_Analysis File Template" xfId="1437"/>
    <cellStyle name="40% - Accent6 4" xfId="1438"/>
    <cellStyle name="40% - Accent6 4 2" xfId="1439"/>
    <cellStyle name="40% - Accent6 4 2 2" xfId="1440"/>
    <cellStyle name="40% - Accent6 4 3" xfId="1441"/>
    <cellStyle name="40% - Accent6 4 3 2" xfId="1442"/>
    <cellStyle name="40% - Accent6 4 3 3" xfId="1443"/>
    <cellStyle name="40% - Accent6 4 3 4" xfId="1444"/>
    <cellStyle name="40% - Accent6 4 3 4 2" xfId="1445"/>
    <cellStyle name="40% - Accent6 4 4" xfId="1446"/>
    <cellStyle name="40% - Accent6 4_Draft SFR tables 300113 V8" xfId="1447"/>
    <cellStyle name="40% - Accent6 5" xfId="1448"/>
    <cellStyle name="40% - Accent6 5 2" xfId="1449"/>
    <cellStyle name="40% - Accent6 5 2 2" xfId="1450"/>
    <cellStyle name="40% - Accent6 5 3" xfId="1451"/>
    <cellStyle name="40% - Accent6 5_Draft SFR tables 300113 V8" xfId="1452"/>
    <cellStyle name="40% - Accent6 6" xfId="1453"/>
    <cellStyle name="40% - Accent6 6 2" xfId="1454"/>
    <cellStyle name="40% - Accent6 6 2 2" xfId="1455"/>
    <cellStyle name="40% - Accent6 6 2 3" xfId="1456"/>
    <cellStyle name="40% - Accent6 6 3" xfId="1457"/>
    <cellStyle name="40% - Accent6 6 4" xfId="1458"/>
    <cellStyle name="40% - Accent6 7" xfId="1459"/>
    <cellStyle name="40% - Accent6 7 2" xfId="1460"/>
    <cellStyle name="40% - Accent6 7 2 2" xfId="1461"/>
    <cellStyle name="40% - Accent6 7 2 3" xfId="1462"/>
    <cellStyle name="40% - Accent6 7 3" xfId="1463"/>
    <cellStyle name="40% - Accent6 7 4" xfId="1464"/>
    <cellStyle name="40% - Accent6 8" xfId="1465"/>
    <cellStyle name="40% - Accent6 8 2" xfId="1466"/>
    <cellStyle name="40% - Accent6 8 3" xfId="1467"/>
    <cellStyle name="40% - Accent6 8 4" xfId="1468"/>
    <cellStyle name="40% - Accent6 9" xfId="1469"/>
    <cellStyle name="40% - Accent6 9 2" xfId="1470"/>
    <cellStyle name="40% - Accent6 9 3" xfId="1471"/>
    <cellStyle name="40% - Accent6 9 4" xfId="1472"/>
    <cellStyle name="60% - Accent1 10" xfId="1473"/>
    <cellStyle name="60% - Accent1 11" xfId="1474"/>
    <cellStyle name="60% - Accent1 12" xfId="1475"/>
    <cellStyle name="60% - Accent1 12 2" xfId="1476"/>
    <cellStyle name="60% - Accent1 13" xfId="1477"/>
    <cellStyle name="60% - Accent1 14" xfId="1478"/>
    <cellStyle name="60% - Accent1 2" xfId="1479"/>
    <cellStyle name="60% - Accent1 2 2" xfId="1480"/>
    <cellStyle name="60% - Accent1 2 2 2" xfId="1481"/>
    <cellStyle name="60% - Accent1 2 2 3" xfId="1482"/>
    <cellStyle name="60% - Accent1 2 3" xfId="1483"/>
    <cellStyle name="60% - Accent1 2 4" xfId="1484"/>
    <cellStyle name="60% - Accent1 2 5" xfId="1485"/>
    <cellStyle name="60% - Accent1 3" xfId="1486"/>
    <cellStyle name="60% - Accent1 3 2" xfId="1487"/>
    <cellStyle name="60% - Accent1 3 3" xfId="1488"/>
    <cellStyle name="60% - Accent1 3 3 2" xfId="1489"/>
    <cellStyle name="60% - Accent1 3 4" xfId="1490"/>
    <cellStyle name="60% - Accent1 3 5" xfId="1491"/>
    <cellStyle name="60% - Accent1 4" xfId="1492"/>
    <cellStyle name="60% - Accent1 5" xfId="1493"/>
    <cellStyle name="60% - Accent1 6" xfId="1494"/>
    <cellStyle name="60% - Accent1 6 2" xfId="1495"/>
    <cellStyle name="60% - Accent1 6 3" xfId="1496"/>
    <cellStyle name="60% - Accent1 7" xfId="1497"/>
    <cellStyle name="60% - Accent1 7 10" xfId="1498"/>
    <cellStyle name="60% - Accent1 7 2" xfId="1499"/>
    <cellStyle name="60% - Accent1 7 3" xfId="1500"/>
    <cellStyle name="60% - Accent1 7 3 2" xfId="1501"/>
    <cellStyle name="60% - Accent1 7 3 2 2" xfId="1502"/>
    <cellStyle name="60% - Accent1 7 4" xfId="1503"/>
    <cellStyle name="60% - Accent1 7 5" xfId="1504"/>
    <cellStyle name="60% - Accent1 7 6" xfId="1505"/>
    <cellStyle name="60% - Accent1 7 7" xfId="1506"/>
    <cellStyle name="60% - Accent1 7 8" xfId="1507"/>
    <cellStyle name="60% - Accent1 7 9" xfId="1508"/>
    <cellStyle name="60% - Accent1 7 9 2" xfId="1509"/>
    <cellStyle name="60% - Accent1 8" xfId="1510"/>
    <cellStyle name="60% - Accent1 9" xfId="1511"/>
    <cellStyle name="60% - Accent2" xfId="1512" builtinId="36" customBuiltin="1"/>
    <cellStyle name="60% - Accent2 2" xfId="1513"/>
    <cellStyle name="60% - Accent2 2 2" xfId="1514"/>
    <cellStyle name="60% - Accent2 2 2 2" xfId="1515"/>
    <cellStyle name="60% - Accent2 2 2 3" xfId="1516"/>
    <cellStyle name="60% - Accent2 2 3" xfId="1517"/>
    <cellStyle name="60% - Accent2 2 4" xfId="1518"/>
    <cellStyle name="60% - Accent2 2 5" xfId="1519"/>
    <cellStyle name="60% - Accent2 3" xfId="1520"/>
    <cellStyle name="60% - Accent2 3 2" xfId="1521"/>
    <cellStyle name="60% - Accent2 3 3" xfId="1522"/>
    <cellStyle name="60% - Accent2 3 3 2" xfId="1523"/>
    <cellStyle name="60% - Accent2 3 4" xfId="1524"/>
    <cellStyle name="60% - Accent2 3 5" xfId="1525"/>
    <cellStyle name="60% - Accent2 4" xfId="1526"/>
    <cellStyle name="60% - Accent2 5" xfId="1527"/>
    <cellStyle name="60% - Accent3 10" xfId="1528"/>
    <cellStyle name="60% - Accent3 11" xfId="1529"/>
    <cellStyle name="60% - Accent3 12" xfId="1530"/>
    <cellStyle name="60% - Accent3 12 2" xfId="1531"/>
    <cellStyle name="60% - Accent3 13" xfId="1532"/>
    <cellStyle name="60% - Accent3 14" xfId="1533"/>
    <cellStyle name="60% - Accent3 2" xfId="1534"/>
    <cellStyle name="60% - Accent3 2 2" xfId="1535"/>
    <cellStyle name="60% - Accent3 2 2 2" xfId="1536"/>
    <cellStyle name="60% - Accent3 2 2 3" xfId="1537"/>
    <cellStyle name="60% - Accent3 2 3" xfId="1538"/>
    <cellStyle name="60% - Accent3 2 4" xfId="1539"/>
    <cellStyle name="60% - Accent3 2 5" xfId="1540"/>
    <cellStyle name="60% - Accent3 3" xfId="1541"/>
    <cellStyle name="60% - Accent3 3 2" xfId="1542"/>
    <cellStyle name="60% - Accent3 3 3" xfId="1543"/>
    <cellStyle name="60% - Accent3 3 3 2" xfId="1544"/>
    <cellStyle name="60% - Accent3 3 4" xfId="1545"/>
    <cellStyle name="60% - Accent3 3 5" xfId="1546"/>
    <cellStyle name="60% - Accent3 4" xfId="1547"/>
    <cellStyle name="60% - Accent3 5" xfId="1548"/>
    <cellStyle name="60% - Accent3 6" xfId="1549"/>
    <cellStyle name="60% - Accent3 7" xfId="1550"/>
    <cellStyle name="60% - Accent3 7 10" xfId="1551"/>
    <cellStyle name="60% - Accent3 7 2" xfId="1552"/>
    <cellStyle name="60% - Accent3 7 3" xfId="1553"/>
    <cellStyle name="60% - Accent3 7 3 2" xfId="1554"/>
    <cellStyle name="60% - Accent3 7 3 2 2" xfId="1555"/>
    <cellStyle name="60% - Accent3 7 4" xfId="1556"/>
    <cellStyle name="60% - Accent3 7 5" xfId="1557"/>
    <cellStyle name="60% - Accent3 7 6" xfId="1558"/>
    <cellStyle name="60% - Accent3 7 7" xfId="1559"/>
    <cellStyle name="60% - Accent3 7 8" xfId="1560"/>
    <cellStyle name="60% - Accent3 7 9" xfId="1561"/>
    <cellStyle name="60% - Accent3 7 9 2" xfId="1562"/>
    <cellStyle name="60% - Accent3 8" xfId="1563"/>
    <cellStyle name="60% - Accent3 9" xfId="1564"/>
    <cellStyle name="60% - Accent4 10" xfId="1565"/>
    <cellStyle name="60% - Accent4 11" xfId="1566"/>
    <cellStyle name="60% - Accent4 12" xfId="1567"/>
    <cellStyle name="60% - Accent4 12 2" xfId="1568"/>
    <cellStyle name="60% - Accent4 13" xfId="1569"/>
    <cellStyle name="60% - Accent4 14" xfId="1570"/>
    <cellStyle name="60% - Accent4 2" xfId="1571"/>
    <cellStyle name="60% - Accent4 2 2" xfId="1572"/>
    <cellStyle name="60% - Accent4 2 2 2" xfId="1573"/>
    <cellStyle name="60% - Accent4 2 2 3" xfId="1574"/>
    <cellStyle name="60% - Accent4 2 3" xfId="1575"/>
    <cellStyle name="60% - Accent4 2 4" xfId="1576"/>
    <cellStyle name="60% - Accent4 2 5" xfId="1577"/>
    <cellStyle name="60% - Accent4 3" xfId="1578"/>
    <cellStyle name="60% - Accent4 3 2" xfId="1579"/>
    <cellStyle name="60% - Accent4 3 3" xfId="1580"/>
    <cellStyle name="60% - Accent4 3 3 2" xfId="1581"/>
    <cellStyle name="60% - Accent4 3 4" xfId="1582"/>
    <cellStyle name="60% - Accent4 3 5" xfId="1583"/>
    <cellStyle name="60% - Accent4 4" xfId="1584"/>
    <cellStyle name="60% - Accent4 5" xfId="1585"/>
    <cellStyle name="60% - Accent4 6" xfId="1586"/>
    <cellStyle name="60% - Accent4 6 2" xfId="1587"/>
    <cellStyle name="60% - Accent4 6 3" xfId="1588"/>
    <cellStyle name="60% - Accent4 7" xfId="1589"/>
    <cellStyle name="60% - Accent4 7 10" xfId="1590"/>
    <cellStyle name="60% - Accent4 7 2" xfId="1591"/>
    <cellStyle name="60% - Accent4 7 3" xfId="1592"/>
    <cellStyle name="60% - Accent4 7 3 2" xfId="1593"/>
    <cellStyle name="60% - Accent4 7 3 2 2" xfId="1594"/>
    <cellStyle name="60% - Accent4 7 4" xfId="1595"/>
    <cellStyle name="60% - Accent4 7 5" xfId="1596"/>
    <cellStyle name="60% - Accent4 7 6" xfId="1597"/>
    <cellStyle name="60% - Accent4 7 7" xfId="1598"/>
    <cellStyle name="60% - Accent4 7 8" xfId="1599"/>
    <cellStyle name="60% - Accent4 7 9" xfId="1600"/>
    <cellStyle name="60% - Accent4 7 9 2" xfId="1601"/>
    <cellStyle name="60% - Accent4 8" xfId="1602"/>
    <cellStyle name="60% - Accent4 9" xfId="1603"/>
    <cellStyle name="60% - Accent5" xfId="1604" builtinId="48" customBuiltin="1"/>
    <cellStyle name="60% - Accent5 2" xfId="1605"/>
    <cellStyle name="60% - Accent5 2 2" xfId="1606"/>
    <cellStyle name="60% - Accent5 2 2 2" xfId="1607"/>
    <cellStyle name="60% - Accent5 2 2 3" xfId="1608"/>
    <cellStyle name="60% - Accent5 2 3" xfId="1609"/>
    <cellStyle name="60% - Accent5 2 4" xfId="1610"/>
    <cellStyle name="60% - Accent5 2 5" xfId="1611"/>
    <cellStyle name="60% - Accent5 3" xfId="1612"/>
    <cellStyle name="60% - Accent5 3 2" xfId="1613"/>
    <cellStyle name="60% - Accent5 3 3" xfId="1614"/>
    <cellStyle name="60% - Accent5 3 3 2" xfId="1615"/>
    <cellStyle name="60% - Accent5 3 4" xfId="1616"/>
    <cellStyle name="60% - Accent5 3 5" xfId="1617"/>
    <cellStyle name="60% - Accent5 4" xfId="1618"/>
    <cellStyle name="60% - Accent5 5" xfId="1619"/>
    <cellStyle name="60% - Accent6 10" xfId="1620"/>
    <cellStyle name="60% - Accent6 11" xfId="1621"/>
    <cellStyle name="60% - Accent6 12" xfId="1622"/>
    <cellStyle name="60% - Accent6 12 2" xfId="1623"/>
    <cellStyle name="60% - Accent6 13" xfId="1624"/>
    <cellStyle name="60% - Accent6 14" xfId="1625"/>
    <cellStyle name="60% - Accent6 2" xfId="1626"/>
    <cellStyle name="60% - Accent6 2 2" xfId="1627"/>
    <cellStyle name="60% - Accent6 2 2 2" xfId="1628"/>
    <cellStyle name="60% - Accent6 2 2 3" xfId="1629"/>
    <cellStyle name="60% - Accent6 2 3" xfId="1630"/>
    <cellStyle name="60% - Accent6 2 4" xfId="1631"/>
    <cellStyle name="60% - Accent6 2 5" xfId="1632"/>
    <cellStyle name="60% - Accent6 3" xfId="1633"/>
    <cellStyle name="60% - Accent6 3 2" xfId="1634"/>
    <cellStyle name="60% - Accent6 3 3" xfId="1635"/>
    <cellStyle name="60% - Accent6 3 3 2" xfId="1636"/>
    <cellStyle name="60% - Accent6 3 4" xfId="1637"/>
    <cellStyle name="60% - Accent6 3 5" xfId="1638"/>
    <cellStyle name="60% - Accent6 4" xfId="1639"/>
    <cellStyle name="60% - Accent6 5" xfId="1640"/>
    <cellStyle name="60% - Accent6 6" xfId="1641"/>
    <cellStyle name="60% - Accent6 7" xfId="1642"/>
    <cellStyle name="60% - Accent6 7 10" xfId="1643"/>
    <cellStyle name="60% - Accent6 7 2" xfId="1644"/>
    <cellStyle name="60% - Accent6 7 3" xfId="1645"/>
    <cellStyle name="60% - Accent6 7 3 2" xfId="1646"/>
    <cellStyle name="60% - Accent6 7 3 2 2" xfId="1647"/>
    <cellStyle name="60% - Accent6 7 4" xfId="1648"/>
    <cellStyle name="60% - Accent6 7 5" xfId="1649"/>
    <cellStyle name="60% - Accent6 7 6" xfId="1650"/>
    <cellStyle name="60% - Accent6 7 7" xfId="1651"/>
    <cellStyle name="60% - Accent6 7 8" xfId="1652"/>
    <cellStyle name="60% - Accent6 7 9" xfId="1653"/>
    <cellStyle name="60% - Accent6 7 9 2" xfId="1654"/>
    <cellStyle name="60% - Accent6 8" xfId="1655"/>
    <cellStyle name="60% - Accent6 9" xfId="1656"/>
    <cellStyle name="Accent1" xfId="1657" builtinId="29" customBuiltin="1"/>
    <cellStyle name="Accent1 2" xfId="1658"/>
    <cellStyle name="Accent1 2 2" xfId="1659"/>
    <cellStyle name="Accent1 2 2 2" xfId="1660"/>
    <cellStyle name="Accent1 2 2 3" xfId="1661"/>
    <cellStyle name="Accent1 2 3" xfId="1662"/>
    <cellStyle name="Accent1 2 4" xfId="1663"/>
    <cellStyle name="Accent1 2 5" xfId="1664"/>
    <cellStyle name="Accent1 3" xfId="1665"/>
    <cellStyle name="Accent1 3 2" xfId="1666"/>
    <cellStyle name="Accent1 3 3" xfId="1667"/>
    <cellStyle name="Accent1 3 3 2" xfId="1668"/>
    <cellStyle name="Accent1 3 4" xfId="1669"/>
    <cellStyle name="Accent1 3 5" xfId="1670"/>
    <cellStyle name="Accent1 4" xfId="1671"/>
    <cellStyle name="Accent1 5" xfId="1672"/>
    <cellStyle name="Accent1 6" xfId="1673"/>
    <cellStyle name="Accent1 7" xfId="1674"/>
    <cellStyle name="Accent2" xfId="1675" builtinId="33" customBuiltin="1"/>
    <cellStyle name="Accent2 2" xfId="1676"/>
    <cellStyle name="Accent2 2 2" xfId="1677"/>
    <cellStyle name="Accent2 2 2 2" xfId="1678"/>
    <cellStyle name="Accent2 2 2 3" xfId="1679"/>
    <cellStyle name="Accent2 2 3" xfId="1680"/>
    <cellStyle name="Accent2 2 4" xfId="1681"/>
    <cellStyle name="Accent2 2 5" xfId="1682"/>
    <cellStyle name="Accent2 3" xfId="1683"/>
    <cellStyle name="Accent2 3 2" xfId="1684"/>
    <cellStyle name="Accent2 3 3" xfId="1685"/>
    <cellStyle name="Accent2 3 3 2" xfId="1686"/>
    <cellStyle name="Accent2 3 4" xfId="1687"/>
    <cellStyle name="Accent2 3 5" xfId="1688"/>
    <cellStyle name="Accent2 4" xfId="1689"/>
    <cellStyle name="Accent2 5" xfId="1690"/>
    <cellStyle name="Accent3" xfId="1691" builtinId="37" customBuiltin="1"/>
    <cellStyle name="Accent3 2" xfId="1692"/>
    <cellStyle name="Accent3 2 2" xfId="1693"/>
    <cellStyle name="Accent3 2 2 2" xfId="1694"/>
    <cellStyle name="Accent3 2 2 3" xfId="1695"/>
    <cellStyle name="Accent3 2 3" xfId="1696"/>
    <cellStyle name="Accent3 2 4" xfId="1697"/>
    <cellStyle name="Accent3 2 5" xfId="1698"/>
    <cellStyle name="Accent3 3" xfId="1699"/>
    <cellStyle name="Accent3 3 2" xfId="1700"/>
    <cellStyle name="Accent3 3 3" xfId="1701"/>
    <cellStyle name="Accent3 3 3 2" xfId="1702"/>
    <cellStyle name="Accent3 3 4" xfId="1703"/>
    <cellStyle name="Accent3 3 5" xfId="1704"/>
    <cellStyle name="Accent3 4" xfId="1705"/>
    <cellStyle name="Accent3 5" xfId="1706"/>
    <cellStyle name="Accent3 6" xfId="1707"/>
    <cellStyle name="Accent4 10" xfId="1708"/>
    <cellStyle name="Accent4 11" xfId="1709"/>
    <cellStyle name="Accent4 12" xfId="1710"/>
    <cellStyle name="Accent4 12 2" xfId="1711"/>
    <cellStyle name="Accent4 13" xfId="1712"/>
    <cellStyle name="Accent4 14" xfId="1713"/>
    <cellStyle name="Accent4 2" xfId="1714"/>
    <cellStyle name="Accent4 2 2" xfId="1715"/>
    <cellStyle name="Accent4 2 2 2" xfId="1716"/>
    <cellStyle name="Accent4 2 2 3" xfId="1717"/>
    <cellStyle name="Accent4 2 3" xfId="1718"/>
    <cellStyle name="Accent4 2 4" xfId="1719"/>
    <cellStyle name="Accent4 2 5" xfId="1720"/>
    <cellStyle name="Accent4 3" xfId="1721"/>
    <cellStyle name="Accent4 3 2" xfId="1722"/>
    <cellStyle name="Accent4 3 3" xfId="1723"/>
    <cellStyle name="Accent4 3 3 2" xfId="1724"/>
    <cellStyle name="Accent4 3 4" xfId="1725"/>
    <cellStyle name="Accent4 3 5" xfId="1726"/>
    <cellStyle name="Accent4 4" xfId="1727"/>
    <cellStyle name="Accent4 5" xfId="1728"/>
    <cellStyle name="Accent4 6" xfId="1729"/>
    <cellStyle name="Accent4 7" xfId="1730"/>
    <cellStyle name="Accent4 7 10" xfId="1731"/>
    <cellStyle name="Accent4 7 2" xfId="1732"/>
    <cellStyle name="Accent4 7 3" xfId="1733"/>
    <cellStyle name="Accent4 7 3 2" xfId="1734"/>
    <cellStyle name="Accent4 7 3 2 2" xfId="1735"/>
    <cellStyle name="Accent4 7 4" xfId="1736"/>
    <cellStyle name="Accent4 7 5" xfId="1737"/>
    <cellStyle name="Accent4 7 6" xfId="1738"/>
    <cellStyle name="Accent4 7 7" xfId="1739"/>
    <cellStyle name="Accent4 7 8" xfId="1740"/>
    <cellStyle name="Accent4 7 9" xfId="1741"/>
    <cellStyle name="Accent4 7 9 2" xfId="1742"/>
    <cellStyle name="Accent4 8" xfId="1743"/>
    <cellStyle name="Accent4 9" xfId="1744"/>
    <cellStyle name="Accent5" xfId="1745" builtinId="45" customBuiltin="1"/>
    <cellStyle name="Accent5 2" xfId="1746"/>
    <cellStyle name="Accent5 2 2" xfId="1747"/>
    <cellStyle name="Accent5 2 2 2" xfId="1748"/>
    <cellStyle name="Accent5 2 2 3" xfId="1749"/>
    <cellStyle name="Accent5 2 3" xfId="1750"/>
    <cellStyle name="Accent5 2 4" xfId="1751"/>
    <cellStyle name="Accent5 2 5" xfId="1752"/>
    <cellStyle name="Accent5 3" xfId="1753"/>
    <cellStyle name="Accent5 3 2" xfId="1754"/>
    <cellStyle name="Accent5 3 3" xfId="1755"/>
    <cellStyle name="Accent5 3 3 2" xfId="1756"/>
    <cellStyle name="Accent5 3 4" xfId="1757"/>
    <cellStyle name="Accent5 3 5" xfId="1758"/>
    <cellStyle name="Accent5 4" xfId="1759"/>
    <cellStyle name="Accent5 5" xfId="1760"/>
    <cellStyle name="Accent6" xfId="1761" builtinId="49" customBuiltin="1"/>
    <cellStyle name="Accent6 2" xfId="1762"/>
    <cellStyle name="Accent6 2 2" xfId="1763"/>
    <cellStyle name="Accent6 2 2 2" xfId="1764"/>
    <cellStyle name="Accent6 2 2 3" xfId="1765"/>
    <cellStyle name="Accent6 2 3" xfId="1766"/>
    <cellStyle name="Accent6 2 4" xfId="1767"/>
    <cellStyle name="Accent6 2 5" xfId="1768"/>
    <cellStyle name="Accent6 3" xfId="1769"/>
    <cellStyle name="Accent6 3 2" xfId="1770"/>
    <cellStyle name="Accent6 3 3" xfId="1771"/>
    <cellStyle name="Accent6 3 3 2" xfId="1772"/>
    <cellStyle name="Accent6 3 4" xfId="1773"/>
    <cellStyle name="Accent6 3 5" xfId="1774"/>
    <cellStyle name="Accent6 4" xfId="1775"/>
    <cellStyle name="Accent6 5" xfId="1776"/>
    <cellStyle name="ANCLAS,REZONES Y SUS PARTES,DE FUNDICION,DE HIERRO O DE ACERO" xfId="1777"/>
    <cellStyle name="ANCLAS,REZONES Y SUS PARTES,DE FUNDICION,DE HIERRO O DE ACERO 2" xfId="1778"/>
    <cellStyle name="Bad" xfId="1779" builtinId="27" customBuiltin="1"/>
    <cellStyle name="Bad 2" xfId="1780"/>
    <cellStyle name="Bad 2 2" xfId="1781"/>
    <cellStyle name="Bad 2 2 2" xfId="1782"/>
    <cellStyle name="Bad 2 2 3" xfId="1783"/>
    <cellStyle name="Bad 2 3" xfId="1784"/>
    <cellStyle name="Bad 2 4" xfId="1785"/>
    <cellStyle name="Bad 2 5" xfId="1786"/>
    <cellStyle name="Bad 3" xfId="1787"/>
    <cellStyle name="Bad 3 2" xfId="1788"/>
    <cellStyle name="Bad 3 3" xfId="1789"/>
    <cellStyle name="Bad 3 3 2" xfId="1790"/>
    <cellStyle name="Bad 3 4" xfId="1791"/>
    <cellStyle name="Bad 3 5" xfId="1792"/>
    <cellStyle name="Bad 4" xfId="1793"/>
    <cellStyle name="Bad 5" xfId="1794"/>
    <cellStyle name="Bad 6" xfId="1795"/>
    <cellStyle name="Bad 7" xfId="1796"/>
    <cellStyle name="Calculation 10" xfId="1797"/>
    <cellStyle name="Calculation 10 10" xfId="1798"/>
    <cellStyle name="Calculation 10 11" xfId="1799"/>
    <cellStyle name="Calculation 10 12" xfId="1800"/>
    <cellStyle name="Calculation 10 13" xfId="1801"/>
    <cellStyle name="Calculation 10 14" xfId="1802"/>
    <cellStyle name="Calculation 10 2" xfId="1803"/>
    <cellStyle name="Calculation 10 2 2" xfId="1804"/>
    <cellStyle name="Calculation 10 3" xfId="1805"/>
    <cellStyle name="Calculation 10 3 2" xfId="1806"/>
    <cellStyle name="Calculation 10 4" xfId="1807"/>
    <cellStyle name="Calculation 10 4 2" xfId="1808"/>
    <cellStyle name="Calculation 10 5" xfId="1809"/>
    <cellStyle name="Calculation 10 5 2" xfId="1810"/>
    <cellStyle name="Calculation 10 6" xfId="1811"/>
    <cellStyle name="Calculation 10 6 2" xfId="1812"/>
    <cellStyle name="Calculation 10 7" xfId="1813"/>
    <cellStyle name="Calculation 10 7 2" xfId="1814"/>
    <cellStyle name="Calculation 10 8" xfId="1815"/>
    <cellStyle name="Calculation 10 8 2" xfId="1816"/>
    <cellStyle name="Calculation 10 9" xfId="1817"/>
    <cellStyle name="Calculation 10 9 2" xfId="1818"/>
    <cellStyle name="Calculation 11" xfId="1819"/>
    <cellStyle name="Calculation 11 10" xfId="1820"/>
    <cellStyle name="Calculation 11 11" xfId="1821"/>
    <cellStyle name="Calculation 11 12" xfId="1822"/>
    <cellStyle name="Calculation 11 13" xfId="1823"/>
    <cellStyle name="Calculation 11 14" xfId="1824"/>
    <cellStyle name="Calculation 11 2" xfId="1825"/>
    <cellStyle name="Calculation 11 2 2" xfId="1826"/>
    <cellStyle name="Calculation 11 2 3" xfId="1827"/>
    <cellStyle name="Calculation 11 3" xfId="1828"/>
    <cellStyle name="Calculation 11 3 2" xfId="1829"/>
    <cellStyle name="Calculation 11 3 2 2" xfId="1830"/>
    <cellStyle name="Calculation 11 3 2 3" xfId="1831"/>
    <cellStyle name="Calculation 11 3 3" xfId="1832"/>
    <cellStyle name="Calculation 11 4" xfId="1833"/>
    <cellStyle name="Calculation 11 4 2" xfId="1834"/>
    <cellStyle name="Calculation 11 4 3" xfId="1835"/>
    <cellStyle name="Calculation 11 5" xfId="1836"/>
    <cellStyle name="Calculation 11 5 2" xfId="1837"/>
    <cellStyle name="Calculation 11 5 3" xfId="1838"/>
    <cellStyle name="Calculation 11 6" xfId="1839"/>
    <cellStyle name="Calculation 11 6 2" xfId="1840"/>
    <cellStyle name="Calculation 11 6 3" xfId="1841"/>
    <cellStyle name="Calculation 11 7" xfId="1842"/>
    <cellStyle name="Calculation 11 7 2" xfId="1843"/>
    <cellStyle name="Calculation 11 7 3" xfId="1844"/>
    <cellStyle name="Calculation 11 8" xfId="1845"/>
    <cellStyle name="Calculation 11 8 2" xfId="1846"/>
    <cellStyle name="Calculation 11 8 3" xfId="1847"/>
    <cellStyle name="Calculation 11 9" xfId="1848"/>
    <cellStyle name="Calculation 11 9 2" xfId="1849"/>
    <cellStyle name="Calculation 11 9 3" xfId="1850"/>
    <cellStyle name="Calculation 12" xfId="1851"/>
    <cellStyle name="Calculation 12 2" xfId="1852"/>
    <cellStyle name="Calculation 12 3" xfId="1853"/>
    <cellStyle name="Calculation 13" xfId="1854"/>
    <cellStyle name="Calculation 13 2" xfId="1855"/>
    <cellStyle name="Calculation 14" xfId="1856"/>
    <cellStyle name="Calculation 15" xfId="1857"/>
    <cellStyle name="Calculation 16" xfId="1858"/>
    <cellStyle name="Calculation 16 2" xfId="1859"/>
    <cellStyle name="Calculation 17" xfId="1860"/>
    <cellStyle name="Calculation 18" xfId="1861"/>
    <cellStyle name="Calculation 2" xfId="1862"/>
    <cellStyle name="Calculation 2 10" xfId="1863"/>
    <cellStyle name="Calculation 2 11" xfId="1864"/>
    <cellStyle name="Calculation 2 12" xfId="1865"/>
    <cellStyle name="Calculation 2 13" xfId="1866"/>
    <cellStyle name="Calculation 2 2" xfId="1867"/>
    <cellStyle name="Calculation 2 2 2" xfId="1868"/>
    <cellStyle name="Calculation 2 2 2 2" xfId="1869"/>
    <cellStyle name="Calculation 2 2 2 3" xfId="1870"/>
    <cellStyle name="Calculation 2 2 2 4" xfId="1871"/>
    <cellStyle name="Calculation 2 2 3" xfId="1872"/>
    <cellStyle name="Calculation 2 2 3 2" xfId="1873"/>
    <cellStyle name="Calculation 2 2 4" xfId="1874"/>
    <cellStyle name="Calculation 2 2 5" xfId="1875"/>
    <cellStyle name="Calculation 2 3" xfId="1876"/>
    <cellStyle name="Calculation 2 3 2" xfId="1877"/>
    <cellStyle name="Calculation 2 3 3" xfId="1878"/>
    <cellStyle name="Calculation 2 3 4" xfId="1879"/>
    <cellStyle name="Calculation 2 3 5" xfId="1880"/>
    <cellStyle name="Calculation 2 4" xfId="1881"/>
    <cellStyle name="Calculation 2 4 2" xfId="1882"/>
    <cellStyle name="Calculation 2 5" xfId="1883"/>
    <cellStyle name="Calculation 2 5 2" xfId="1884"/>
    <cellStyle name="Calculation 2 6" xfId="1885"/>
    <cellStyle name="Calculation 2 6 2" xfId="1886"/>
    <cellStyle name="Calculation 2 7" xfId="1887"/>
    <cellStyle name="Calculation 2 7 2" xfId="1888"/>
    <cellStyle name="Calculation 2 8" xfId="1889"/>
    <cellStyle name="Calculation 2 8 2" xfId="1890"/>
    <cellStyle name="Calculation 2 9" xfId="1891"/>
    <cellStyle name="Calculation 2 9 2" xfId="1892"/>
    <cellStyle name="Calculation 2_Analysis File Template" xfId="1893"/>
    <cellStyle name="Calculation 3" xfId="1894"/>
    <cellStyle name="Calculation 3 10" xfId="1895"/>
    <cellStyle name="Calculation 3 11" xfId="1896"/>
    <cellStyle name="Calculation 3 12" xfId="1897"/>
    <cellStyle name="Calculation 3 13" xfId="1898"/>
    <cellStyle name="Calculation 3 14" xfId="1899"/>
    <cellStyle name="Calculation 3 2" xfId="1900"/>
    <cellStyle name="Calculation 3 2 2" xfId="1901"/>
    <cellStyle name="Calculation 3 2 3" xfId="1902"/>
    <cellStyle name="Calculation 3 2 4" xfId="1903"/>
    <cellStyle name="Calculation 3 2 5" xfId="1904"/>
    <cellStyle name="Calculation 3 3" xfId="1905"/>
    <cellStyle name="Calculation 3 3 2" xfId="1906"/>
    <cellStyle name="Calculation 3 3 3" xfId="1907"/>
    <cellStyle name="Calculation 3 4" xfId="1908"/>
    <cellStyle name="Calculation 3 4 2" xfId="1909"/>
    <cellStyle name="Calculation 3 5" xfId="1910"/>
    <cellStyle name="Calculation 3 5 2" xfId="1911"/>
    <cellStyle name="Calculation 3 6" xfId="1912"/>
    <cellStyle name="Calculation 3 6 2" xfId="1913"/>
    <cellStyle name="Calculation 3 7" xfId="1914"/>
    <cellStyle name="Calculation 3 7 2" xfId="1915"/>
    <cellStyle name="Calculation 3 8" xfId="1916"/>
    <cellStyle name="Calculation 3 8 2" xfId="1917"/>
    <cellStyle name="Calculation 3 9" xfId="1918"/>
    <cellStyle name="Calculation 3 9 2" xfId="1919"/>
    <cellStyle name="Calculation 4" xfId="1920"/>
    <cellStyle name="Calculation 4 10" xfId="1921"/>
    <cellStyle name="Calculation 4 11" xfId="1922"/>
    <cellStyle name="Calculation 4 2" xfId="1923"/>
    <cellStyle name="Calculation 4 2 2" xfId="1924"/>
    <cellStyle name="Calculation 4 3" xfId="1925"/>
    <cellStyle name="Calculation 4 3 2" xfId="1926"/>
    <cellStyle name="Calculation 4 4" xfId="1927"/>
    <cellStyle name="Calculation 4 4 2" xfId="1928"/>
    <cellStyle name="Calculation 4 5" xfId="1929"/>
    <cellStyle name="Calculation 4 5 2" xfId="1930"/>
    <cellStyle name="Calculation 4 6" xfId="1931"/>
    <cellStyle name="Calculation 4 6 2" xfId="1932"/>
    <cellStyle name="Calculation 4 7" xfId="1933"/>
    <cellStyle name="Calculation 4 7 2" xfId="1934"/>
    <cellStyle name="Calculation 4 8" xfId="1935"/>
    <cellStyle name="Calculation 4 8 2" xfId="1936"/>
    <cellStyle name="Calculation 4 9" xfId="1937"/>
    <cellStyle name="Calculation 4 9 2" xfId="1938"/>
    <cellStyle name="Calculation 5" xfId="1939"/>
    <cellStyle name="Calculation 5 10" xfId="1940"/>
    <cellStyle name="Calculation 5 11" xfId="1941"/>
    <cellStyle name="Calculation 5 12" xfId="1942"/>
    <cellStyle name="Calculation 5 13" xfId="1943"/>
    <cellStyle name="Calculation 5 14" xfId="1944"/>
    <cellStyle name="Calculation 5 2" xfId="1945"/>
    <cellStyle name="Calculation 5 2 2" xfId="1946"/>
    <cellStyle name="Calculation 5 3" xfId="1947"/>
    <cellStyle name="Calculation 5 3 2" xfId="1948"/>
    <cellStyle name="Calculation 5 4" xfId="1949"/>
    <cellStyle name="Calculation 5 4 2" xfId="1950"/>
    <cellStyle name="Calculation 5 5" xfId="1951"/>
    <cellStyle name="Calculation 5 5 2" xfId="1952"/>
    <cellStyle name="Calculation 5 6" xfId="1953"/>
    <cellStyle name="Calculation 5 6 2" xfId="1954"/>
    <cellStyle name="Calculation 5 7" xfId="1955"/>
    <cellStyle name="Calculation 5 7 2" xfId="1956"/>
    <cellStyle name="Calculation 5 8" xfId="1957"/>
    <cellStyle name="Calculation 5 8 2" xfId="1958"/>
    <cellStyle name="Calculation 5 9" xfId="1959"/>
    <cellStyle name="Calculation 5 9 2" xfId="1960"/>
    <cellStyle name="Calculation 6" xfId="1961"/>
    <cellStyle name="Calculation 6 10" xfId="1962"/>
    <cellStyle name="Calculation 6 11" xfId="1963"/>
    <cellStyle name="Calculation 6 12" xfId="1964"/>
    <cellStyle name="Calculation 6 13" xfId="1965"/>
    <cellStyle name="Calculation 6 14" xfId="1966"/>
    <cellStyle name="Calculation 6 2" xfId="1967"/>
    <cellStyle name="Calculation 6 2 2" xfId="1968"/>
    <cellStyle name="Calculation 6 2 3" xfId="1969"/>
    <cellStyle name="Calculation 6 3" xfId="1970"/>
    <cellStyle name="Calculation 6 3 2" xfId="1971"/>
    <cellStyle name="Calculation 6 3 3" xfId="1972"/>
    <cellStyle name="Calculation 6 4" xfId="1973"/>
    <cellStyle name="Calculation 6 4 2" xfId="1974"/>
    <cellStyle name="Calculation 6 5" xfId="1975"/>
    <cellStyle name="Calculation 6 5 2" xfId="1976"/>
    <cellStyle name="Calculation 6 6" xfId="1977"/>
    <cellStyle name="Calculation 6 6 2" xfId="1978"/>
    <cellStyle name="Calculation 6 7" xfId="1979"/>
    <cellStyle name="Calculation 6 7 2" xfId="1980"/>
    <cellStyle name="Calculation 6 8" xfId="1981"/>
    <cellStyle name="Calculation 6 8 2" xfId="1982"/>
    <cellStyle name="Calculation 6 9" xfId="1983"/>
    <cellStyle name="Calculation 6 9 2" xfId="1984"/>
    <cellStyle name="Calculation 7" xfId="1985"/>
    <cellStyle name="Calculation 7 10" xfId="1986"/>
    <cellStyle name="Calculation 7 11" xfId="1987"/>
    <cellStyle name="Calculation 7 12" xfId="1988"/>
    <cellStyle name="Calculation 7 13" xfId="1989"/>
    <cellStyle name="Calculation 7 14" xfId="1990"/>
    <cellStyle name="Calculation 7 2" xfId="1991"/>
    <cellStyle name="Calculation 7 2 2" xfId="1992"/>
    <cellStyle name="Calculation 7 2 3" xfId="1993"/>
    <cellStyle name="Calculation 7 3" xfId="1994"/>
    <cellStyle name="Calculation 7 3 2" xfId="1995"/>
    <cellStyle name="Calculation 7 3 3" xfId="1996"/>
    <cellStyle name="Calculation 7 4" xfId="1997"/>
    <cellStyle name="Calculation 7 4 2" xfId="1998"/>
    <cellStyle name="Calculation 7 5" xfId="1999"/>
    <cellStyle name="Calculation 7 5 2" xfId="2000"/>
    <cellStyle name="Calculation 7 6" xfId="2001"/>
    <cellStyle name="Calculation 7 6 2" xfId="2002"/>
    <cellStyle name="Calculation 7 7" xfId="2003"/>
    <cellStyle name="Calculation 7 7 2" xfId="2004"/>
    <cellStyle name="Calculation 7 8" xfId="2005"/>
    <cellStyle name="Calculation 7 8 2" xfId="2006"/>
    <cellStyle name="Calculation 7 9" xfId="2007"/>
    <cellStyle name="Calculation 7 9 2" xfId="2008"/>
    <cellStyle name="Calculation 8" xfId="2009"/>
    <cellStyle name="Calculation 8 10" xfId="2010"/>
    <cellStyle name="Calculation 8 11" xfId="2011"/>
    <cellStyle name="Calculation 8 12" xfId="2012"/>
    <cellStyle name="Calculation 8 13" xfId="2013"/>
    <cellStyle name="Calculation 8 14" xfId="2014"/>
    <cellStyle name="Calculation 8 2" xfId="2015"/>
    <cellStyle name="Calculation 8 2 2" xfId="2016"/>
    <cellStyle name="Calculation 8 2 3" xfId="2017"/>
    <cellStyle name="Calculation 8 3" xfId="2018"/>
    <cellStyle name="Calculation 8 3 2" xfId="2019"/>
    <cellStyle name="Calculation 8 3 3" xfId="2020"/>
    <cellStyle name="Calculation 8 4" xfId="2021"/>
    <cellStyle name="Calculation 8 4 2" xfId="2022"/>
    <cellStyle name="Calculation 8 5" xfId="2023"/>
    <cellStyle name="Calculation 8 5 2" xfId="2024"/>
    <cellStyle name="Calculation 8 6" xfId="2025"/>
    <cellStyle name="Calculation 8 6 2" xfId="2026"/>
    <cellStyle name="Calculation 8 7" xfId="2027"/>
    <cellStyle name="Calculation 8 7 2" xfId="2028"/>
    <cellStyle name="Calculation 8 8" xfId="2029"/>
    <cellStyle name="Calculation 8 8 2" xfId="2030"/>
    <cellStyle name="Calculation 8 9" xfId="2031"/>
    <cellStyle name="Calculation 8 9 2" xfId="2032"/>
    <cellStyle name="Calculation 9" xfId="2033"/>
    <cellStyle name="Calculation 9 10" xfId="2034"/>
    <cellStyle name="Calculation 9 11" xfId="2035"/>
    <cellStyle name="Calculation 9 12" xfId="2036"/>
    <cellStyle name="Calculation 9 13" xfId="2037"/>
    <cellStyle name="Calculation 9 14" xfId="2038"/>
    <cellStyle name="Calculation 9 2" xfId="2039"/>
    <cellStyle name="Calculation 9 2 2" xfId="2040"/>
    <cellStyle name="Calculation 9 3" xfId="2041"/>
    <cellStyle name="Calculation 9 3 2" xfId="2042"/>
    <cellStyle name="Calculation 9 4" xfId="2043"/>
    <cellStyle name="Calculation 9 4 2" xfId="2044"/>
    <cellStyle name="Calculation 9 5" xfId="2045"/>
    <cellStyle name="Calculation 9 5 2" xfId="2046"/>
    <cellStyle name="Calculation 9 6" xfId="2047"/>
    <cellStyle name="Calculation 9 6 2" xfId="2048"/>
    <cellStyle name="Calculation 9 7" xfId="2049"/>
    <cellStyle name="Calculation 9 7 2" xfId="2050"/>
    <cellStyle name="Calculation 9 8" xfId="2051"/>
    <cellStyle name="Calculation 9 8 2" xfId="2052"/>
    <cellStyle name="Calculation 9 9" xfId="2053"/>
    <cellStyle name="Calculation 9 9 2" xfId="2054"/>
    <cellStyle name="CellBACode" xfId="2055"/>
    <cellStyle name="CellBAName" xfId="2056"/>
    <cellStyle name="CellMCCode" xfId="2057"/>
    <cellStyle name="CellMCName" xfId="2058"/>
    <cellStyle name="CellNationCode" xfId="2059"/>
    <cellStyle name="CellNationName" xfId="2060"/>
    <cellStyle name="CellRegionCode" xfId="2061"/>
    <cellStyle name="CellRegionName" xfId="2062"/>
    <cellStyle name="CellUACode" xfId="2063"/>
    <cellStyle name="CellUAName" xfId="2064"/>
    <cellStyle name="cf1" xfId="2065"/>
    <cellStyle name="cf1 2" xfId="2066"/>
    <cellStyle name="cf1 2 2" xfId="2067"/>
    <cellStyle name="cf1 2 3" xfId="2068"/>
    <cellStyle name="Check Cell" xfId="2069" builtinId="23" customBuiltin="1"/>
    <cellStyle name="Check Cell 2" xfId="2070"/>
    <cellStyle name="Check Cell 2 2" xfId="2071"/>
    <cellStyle name="Check Cell 2 2 2" xfId="2072"/>
    <cellStyle name="Check Cell 2 2 3" xfId="2073"/>
    <cellStyle name="Check Cell 2 3" xfId="2074"/>
    <cellStyle name="Check Cell 2 4" xfId="2075"/>
    <cellStyle name="Check Cell 2 5" xfId="2076"/>
    <cellStyle name="Check Cell 2_Analysis File Template" xfId="2077"/>
    <cellStyle name="Check Cell 3" xfId="2078"/>
    <cellStyle name="Check Cell 3 2" xfId="2079"/>
    <cellStyle name="Check Cell 3 3" xfId="2080"/>
    <cellStyle name="Check Cell 3 3 2" xfId="2081"/>
    <cellStyle name="Check Cell 3 4" xfId="2082"/>
    <cellStyle name="Check Cell 3 5" xfId="2083"/>
    <cellStyle name="Check Cell 4" xfId="2084"/>
    <cellStyle name="Check Cell 5" xfId="2085"/>
    <cellStyle name="Check Cell 6" xfId="2086"/>
    <cellStyle name="Check Cell 7" xfId="2087"/>
    <cellStyle name="Check Cell 8" xfId="2088"/>
    <cellStyle name="Comma 10" xfId="2089"/>
    <cellStyle name="Comma 10 2" xfId="2090"/>
    <cellStyle name="Comma 10 3" xfId="2091"/>
    <cellStyle name="Comma 10 3 2" xfId="2092"/>
    <cellStyle name="Comma 11" xfId="2093"/>
    <cellStyle name="Comma 12" xfId="2094"/>
    <cellStyle name="Comma 13" xfId="2095"/>
    <cellStyle name="Comma 14" xfId="2096"/>
    <cellStyle name="Comma 14 2" xfId="2097"/>
    <cellStyle name="Comma 15" xfId="2098"/>
    <cellStyle name="Comma 16" xfId="2099"/>
    <cellStyle name="Comma 17" xfId="2100"/>
    <cellStyle name="Comma 18" xfId="2101"/>
    <cellStyle name="Comma 19" xfId="2102"/>
    <cellStyle name="Comma 2" xfId="2103"/>
    <cellStyle name="Comma 2 10" xfId="2104"/>
    <cellStyle name="Comma 2 11" xfId="2105"/>
    <cellStyle name="Comma 2 11 2" xfId="2106"/>
    <cellStyle name="Comma 2 11 3" xfId="2107"/>
    <cellStyle name="Comma 2 12" xfId="2108"/>
    <cellStyle name="Comma 2 13" xfId="2109"/>
    <cellStyle name="Comma 2 13 2" xfId="2110"/>
    <cellStyle name="Comma 2 13 3" xfId="2111"/>
    <cellStyle name="Comma 2 13 4" xfId="2112"/>
    <cellStyle name="Comma 2 14" xfId="2113"/>
    <cellStyle name="Comma 2 15" xfId="2114"/>
    <cellStyle name="Comma 2 15 2" xfId="2115"/>
    <cellStyle name="Comma 2 2" xfId="2116"/>
    <cellStyle name="Comma 2 2 2" xfId="2117"/>
    <cellStyle name="Comma 2 2 3" xfId="2118"/>
    <cellStyle name="Comma 2 2 4" xfId="2119"/>
    <cellStyle name="Comma 2 2 5" xfId="2120"/>
    <cellStyle name="Comma 2 2 6" xfId="2121"/>
    <cellStyle name="Comma 2 2 6 2" xfId="2122"/>
    <cellStyle name="Comma 2 2 6 3" xfId="2123"/>
    <cellStyle name="Comma 2 2 7" xfId="2124"/>
    <cellStyle name="Comma 2 2 7 2" xfId="2125"/>
    <cellStyle name="Comma 2 2 7 2 2" xfId="2126"/>
    <cellStyle name="Comma 2 2 7 2 3" xfId="2127"/>
    <cellStyle name="Comma 2 2 7 3" xfId="2128"/>
    <cellStyle name="Comma 2 2 8" xfId="2129"/>
    <cellStyle name="Comma 2 2 8 2" xfId="2130"/>
    <cellStyle name="Comma 2 2 8 3" xfId="2131"/>
    <cellStyle name="Comma 2 2 8 4" xfId="2132"/>
    <cellStyle name="Comma 2 3" xfId="2133"/>
    <cellStyle name="Comma 2 3 2" xfId="2134"/>
    <cellStyle name="Comma 2 3 3" xfId="2135"/>
    <cellStyle name="Comma 2 4" xfId="2136"/>
    <cellStyle name="Comma 2 4 2" xfId="2137"/>
    <cellStyle name="Comma 2 4 2 2" xfId="2138"/>
    <cellStyle name="Comma 2 4 2 3" xfId="2139"/>
    <cellStyle name="Comma 2 4 3" xfId="2140"/>
    <cellStyle name="Comma 2 4 4" xfId="2141"/>
    <cellStyle name="Comma 2 4 5" xfId="2142"/>
    <cellStyle name="Comma 2 5" xfId="2143"/>
    <cellStyle name="Comma 2 5 2" xfId="2144"/>
    <cellStyle name="Comma 2 5 2 2" xfId="2145"/>
    <cellStyle name="Comma 2 5 3" xfId="2146"/>
    <cellStyle name="Comma 2 5 4" xfId="2147"/>
    <cellStyle name="Comma 2 5 5" xfId="2148"/>
    <cellStyle name="Comma 2 5 6" xfId="2149"/>
    <cellStyle name="Comma 2 6" xfId="2150"/>
    <cellStyle name="Comma 2 6 2" xfId="2151"/>
    <cellStyle name="Comma 2 6 2 2" xfId="2152"/>
    <cellStyle name="Comma 2 6 2 3" xfId="2153"/>
    <cellStyle name="Comma 2 6 3" xfId="2154"/>
    <cellStyle name="Comma 2 6 4" xfId="2155"/>
    <cellStyle name="Comma 2 7" xfId="2156"/>
    <cellStyle name="Comma 2 7 2" xfId="2157"/>
    <cellStyle name="Comma 2 7 3" xfId="2158"/>
    <cellStyle name="Comma 2 7 4" xfId="2159"/>
    <cellStyle name="Comma 2 8" xfId="2160"/>
    <cellStyle name="Comma 2 8 2" xfId="2161"/>
    <cellStyle name="Comma 2 8 3" xfId="2162"/>
    <cellStyle name="Comma 2 9" xfId="2163"/>
    <cellStyle name="Comma 2 9 2" xfId="2164"/>
    <cellStyle name="Comma 2 9 3" xfId="2165"/>
    <cellStyle name="Comma 20" xfId="2166"/>
    <cellStyle name="Comma 21" xfId="2167"/>
    <cellStyle name="Comma 22" xfId="2168"/>
    <cellStyle name="Comma 23" xfId="2169"/>
    <cellStyle name="Comma 24" xfId="2170"/>
    <cellStyle name="Comma 3" xfId="2171"/>
    <cellStyle name="Comma 3 10" xfId="2172"/>
    <cellStyle name="Comma 3 11" xfId="2173"/>
    <cellStyle name="Comma 3 12" xfId="2174"/>
    <cellStyle name="Comma 3 13" xfId="2175"/>
    <cellStyle name="Comma 3 14" xfId="2176"/>
    <cellStyle name="Comma 3 14 2" xfId="2177"/>
    <cellStyle name="Comma 3 2" xfId="2178"/>
    <cellStyle name="Comma 3 2 2" xfId="2179"/>
    <cellStyle name="Comma 3 2 2 2" xfId="2180"/>
    <cellStyle name="Comma 3 2 2 3" xfId="2181"/>
    <cellStyle name="Comma 3 2 2 4" xfId="2182"/>
    <cellStyle name="Comma 3 2 2 5" xfId="2183"/>
    <cellStyle name="Comma 3 2 3" xfId="2184"/>
    <cellStyle name="Comma 3 2 3 2" xfId="2185"/>
    <cellStyle name="Comma 3 2 3 3" xfId="2186"/>
    <cellStyle name="Comma 3 2 4" xfId="2187"/>
    <cellStyle name="Comma 3 2 4 2" xfId="2188"/>
    <cellStyle name="Comma 3 2 4 3" xfId="2189"/>
    <cellStyle name="Comma 3 2 5" xfId="2190"/>
    <cellStyle name="Comma 3 2 5 2" xfId="2191"/>
    <cellStyle name="Comma 3 2 6" xfId="2192"/>
    <cellStyle name="Comma 3 2 6 2" xfId="2193"/>
    <cellStyle name="Comma 3 2 6 3" xfId="2194"/>
    <cellStyle name="Comma 3 2 7" xfId="2195"/>
    <cellStyle name="Comma 3 3" xfId="2196"/>
    <cellStyle name="Comma 3 3 2" xfId="2197"/>
    <cellStyle name="Comma 3 3 2 2" xfId="2198"/>
    <cellStyle name="Comma 3 3 2 3" xfId="2199"/>
    <cellStyle name="Comma 3 3 3" xfId="2200"/>
    <cellStyle name="Comma 3 3 3 2" xfId="2201"/>
    <cellStyle name="Comma 3 3 3 3" xfId="2202"/>
    <cellStyle name="Comma 3 3 3 4" xfId="2203"/>
    <cellStyle name="Comma 3 3 4" xfId="2204"/>
    <cellStyle name="Comma 3 3 5" xfId="2205"/>
    <cellStyle name="Comma 3 4" xfId="2206"/>
    <cellStyle name="Comma 3 4 2" xfId="2207"/>
    <cellStyle name="Comma 3 4 2 2" xfId="2208"/>
    <cellStyle name="Comma 3 4 2 3" xfId="2209"/>
    <cellStyle name="Comma 3 4 3" xfId="2210"/>
    <cellStyle name="Comma 3 4 4" xfId="2211"/>
    <cellStyle name="Comma 3 5" xfId="2212"/>
    <cellStyle name="Comma 3 5 2" xfId="2213"/>
    <cellStyle name="Comma 3 5 2 2" xfId="2214"/>
    <cellStyle name="Comma 3 5 2 3" xfId="2215"/>
    <cellStyle name="Comma 3 5 3" xfId="2216"/>
    <cellStyle name="Comma 3 5 4" xfId="2217"/>
    <cellStyle name="Comma 3 6" xfId="2218"/>
    <cellStyle name="Comma 3 7" xfId="2219"/>
    <cellStyle name="Comma 3 7 2" xfId="2220"/>
    <cellStyle name="Comma 3 8" xfId="2221"/>
    <cellStyle name="Comma 3 8 2" xfId="2222"/>
    <cellStyle name="Comma 3 8 3" xfId="2223"/>
    <cellStyle name="Comma 3 8 3 2" xfId="2224"/>
    <cellStyle name="Comma 3 9" xfId="2225"/>
    <cellStyle name="Comma 3 9 2" xfId="2226"/>
    <cellStyle name="Comma 3 9 3" xfId="2227"/>
    <cellStyle name="Comma 4" xfId="2228"/>
    <cellStyle name="Comma 4 2" xfId="2229"/>
    <cellStyle name="Comma 4 2 2" xfId="2230"/>
    <cellStyle name="Comma 4 2 2 2" xfId="2231"/>
    <cellStyle name="Comma 4 2 3" xfId="2232"/>
    <cellStyle name="Comma 4 2 4" xfId="2233"/>
    <cellStyle name="Comma 4 3" xfId="2234"/>
    <cellStyle name="Comma 4 3 2" xfId="2235"/>
    <cellStyle name="Comma 4 3 3" xfId="2236"/>
    <cellStyle name="Comma 4 4" xfId="2237"/>
    <cellStyle name="Comma 4 4 2" xfId="2238"/>
    <cellStyle name="Comma 4 5" xfId="2239"/>
    <cellStyle name="Comma 4 5 2" xfId="2240"/>
    <cellStyle name="Comma 4 5 3" xfId="2241"/>
    <cellStyle name="Comma 4 6" xfId="2242"/>
    <cellStyle name="Comma 5" xfId="2243"/>
    <cellStyle name="Comma 5 2" xfId="2244"/>
    <cellStyle name="Comma 5 2 2" xfId="2245"/>
    <cellStyle name="Comma 5 2 3" xfId="2246"/>
    <cellStyle name="Comma 5 3" xfId="2247"/>
    <cellStyle name="Comma 5 4" xfId="2248"/>
    <cellStyle name="Comma 5 4 2" xfId="2249"/>
    <cellStyle name="Comma 5 4 3" xfId="2250"/>
    <cellStyle name="Comma 5 5" xfId="2251"/>
    <cellStyle name="Comma 6" xfId="2252"/>
    <cellStyle name="Comma 6 2" xfId="2253"/>
    <cellStyle name="Comma 6 2 2" xfId="2254"/>
    <cellStyle name="Comma 6 2 3" xfId="2255"/>
    <cellStyle name="Comma 6 3" xfId="2256"/>
    <cellStyle name="Comma 6 3 2" xfId="2257"/>
    <cellStyle name="Comma 6 4" xfId="2258"/>
    <cellStyle name="Comma 6 4 2" xfId="2259"/>
    <cellStyle name="Comma 6 4 3" xfId="2260"/>
    <cellStyle name="Comma 6 5" xfId="2261"/>
    <cellStyle name="Comma 6 6" xfId="2262"/>
    <cellStyle name="Comma 6 7" xfId="2263"/>
    <cellStyle name="Comma 6 7 2" xfId="2264"/>
    <cellStyle name="Comma 7" xfId="2265"/>
    <cellStyle name="Comma 7 2" xfId="2266"/>
    <cellStyle name="Comma 7 2 2" xfId="2267"/>
    <cellStyle name="Comma 7 3" xfId="2268"/>
    <cellStyle name="Comma 7 3 2" xfId="2269"/>
    <cellStyle name="Comma 7 3 3" xfId="2270"/>
    <cellStyle name="Comma 7 4" xfId="2271"/>
    <cellStyle name="Comma 7 5" xfId="2272"/>
    <cellStyle name="Comma 7 6" xfId="2273"/>
    <cellStyle name="Comma 7 7" xfId="2274"/>
    <cellStyle name="Comma 7 7 2" xfId="2275"/>
    <cellStyle name="Comma 8" xfId="2276"/>
    <cellStyle name="Comma 8 2" xfId="2277"/>
    <cellStyle name="Comma 8 3" xfId="2278"/>
    <cellStyle name="Comma 9" xfId="2279"/>
    <cellStyle name="Comma 9 2" xfId="2280"/>
    <cellStyle name="Comma 9 3" xfId="2281"/>
    <cellStyle name="Currency 2" xfId="2282"/>
    <cellStyle name="Currency 2 2" xfId="2283"/>
    <cellStyle name="Currency 2 2 2" xfId="2284"/>
    <cellStyle name="Currency 2 2 3" xfId="2285"/>
    <cellStyle name="Currency 2 2 4" xfId="2286"/>
    <cellStyle name="Currency 2 3" xfId="2287"/>
    <cellStyle name="Currency 2 4" xfId="2288"/>
    <cellStyle name="Currency 2 5" xfId="2289"/>
    <cellStyle name="Currency 3" xfId="2290"/>
    <cellStyle name="Currency 3 2" xfId="2291"/>
    <cellStyle name="Currency 3 2 2" xfId="2292"/>
    <cellStyle name="Currency 3 2 3" xfId="2293"/>
    <cellStyle name="Currency 3 3" xfId="2294"/>
    <cellStyle name="Currency 3 4" xfId="2295"/>
    <cellStyle name="Currency 4" xfId="2296"/>
    <cellStyle name="Currency 4 2" xfId="2297"/>
    <cellStyle name="Currency 4 2 2" xfId="2298"/>
    <cellStyle name="Currency 4 2 3" xfId="2299"/>
    <cellStyle name="Data_Total" xfId="2300"/>
    <cellStyle name="Dave1" xfId="2301"/>
    <cellStyle name="Emphasis 1" xfId="2302"/>
    <cellStyle name="Emphasis 2" xfId="2303"/>
    <cellStyle name="Emphasis 3" xfId="2304"/>
    <cellStyle name="Euro" xfId="2305"/>
    <cellStyle name="Euro 2" xfId="2306"/>
    <cellStyle name="Explanatory Text" xfId="2307" builtinId="53" customBuiltin="1"/>
    <cellStyle name="Explanatory Text 2" xfId="2308"/>
    <cellStyle name="Explanatory Text 2 2" xfId="2309"/>
    <cellStyle name="Explanatory Text 2 2 2" xfId="2310"/>
    <cellStyle name="Explanatory Text 2 2 3" xfId="2311"/>
    <cellStyle name="Explanatory Text 2 3" xfId="2312"/>
    <cellStyle name="Explanatory Text 2 4" xfId="2313"/>
    <cellStyle name="Explanatory Text 2 5" xfId="2314"/>
    <cellStyle name="Explanatory Text 3" xfId="2315"/>
    <cellStyle name="Explanatory Text 3 2" xfId="2316"/>
    <cellStyle name="Explanatory Text 3 3" xfId="2317"/>
    <cellStyle name="Explanatory Text 3 4" xfId="2318"/>
    <cellStyle name="Explanatory Text 4" xfId="2319"/>
    <cellStyle name="Explanatory Text 5" xfId="2320"/>
    <cellStyle name="external input" xfId="2321"/>
    <cellStyle name="Followed Hyperlink 2" xfId="2322"/>
    <cellStyle name="Followed Hyperlink 2 2" xfId="2323"/>
    <cellStyle name="Followed Hyperlink 2 2 2" xfId="2324"/>
    <cellStyle name="Followed Hyperlink 2 2 3" xfId="2325"/>
    <cellStyle name="Followed Hyperlink 2 3" xfId="2326"/>
    <cellStyle name="Followed Hyperlink 3" xfId="2327"/>
    <cellStyle name="Followed Hyperlink 3 2" xfId="2328"/>
    <cellStyle name="Followed Hyperlink 3 2 2" xfId="2329"/>
    <cellStyle name="Followed Hyperlink 3 2 3" xfId="2330"/>
    <cellStyle name="Followed Hyperlink 3 3" xfId="2331"/>
    <cellStyle name="Followed Hyperlink 3 4" xfId="2332"/>
    <cellStyle name="Followed Hyperlink 3 4 2" xfId="2333"/>
    <cellStyle name="Followed Hyperlink 3 4 2 2" xfId="2334"/>
    <cellStyle name="Followed Hyperlink 3 5" xfId="2335"/>
    <cellStyle name="Followed Hyperlink 3 5 2" xfId="2336"/>
    <cellStyle name="Followed Hyperlink 4" xfId="2337"/>
    <cellStyle name="Followed Hyperlink 5" xfId="2338"/>
    <cellStyle name="Followed Hyperlink 6" xfId="2339"/>
    <cellStyle name="Followed Hyperlink 6 2" xfId="2340"/>
    <cellStyle name="Forecast_Number" xfId="2341"/>
    <cellStyle name="Good" xfId="2342" builtinId="26" customBuiltin="1"/>
    <cellStyle name="Good 2" xfId="2343"/>
    <cellStyle name="Good 2 2" xfId="2344"/>
    <cellStyle name="Good 2 2 2" xfId="2345"/>
    <cellStyle name="Good 2 2 3" xfId="2346"/>
    <cellStyle name="Good 2 3" xfId="2347"/>
    <cellStyle name="Good 2 4" xfId="2348"/>
    <cellStyle name="Good 2 5" xfId="2349"/>
    <cellStyle name="Good 3" xfId="2350"/>
    <cellStyle name="Good 3 2" xfId="2351"/>
    <cellStyle name="Good 3 3" xfId="2352"/>
    <cellStyle name="Good 3 3 2" xfId="2353"/>
    <cellStyle name="Good 3 4" xfId="2354"/>
    <cellStyle name="Good 3 5" xfId="2355"/>
    <cellStyle name="Good 4" xfId="2356"/>
    <cellStyle name="Good 5" xfId="2357"/>
    <cellStyle name="Good 6" xfId="2358"/>
    <cellStyle name="Heading" xfId="2359"/>
    <cellStyle name="Heading 1 10" xfId="2360"/>
    <cellStyle name="Heading 1 10 10" xfId="2361"/>
    <cellStyle name="Heading 1 10 2" xfId="2362"/>
    <cellStyle name="Heading 1 10 3" xfId="2363"/>
    <cellStyle name="Heading 1 10 3 2" xfId="2364"/>
    <cellStyle name="Heading 1 10 3 2 2" xfId="2365"/>
    <cellStyle name="Heading 1 10 4" xfId="2366"/>
    <cellStyle name="Heading 1 10 5" xfId="2367"/>
    <cellStyle name="Heading 1 10 6" xfId="2368"/>
    <cellStyle name="Heading 1 10 7" xfId="2369"/>
    <cellStyle name="Heading 1 10 8" xfId="2370"/>
    <cellStyle name="Heading 1 10 9" xfId="2371"/>
    <cellStyle name="Heading 1 10 9 2" xfId="2372"/>
    <cellStyle name="Heading 1 11" xfId="2373"/>
    <cellStyle name="Heading 1 12" xfId="2374"/>
    <cellStyle name="Heading 1 13" xfId="2375"/>
    <cellStyle name="Heading 1 14" xfId="2376"/>
    <cellStyle name="Heading 1 15" xfId="2377"/>
    <cellStyle name="Heading 1 16" xfId="2378"/>
    <cellStyle name="Heading 1 16 2" xfId="2379"/>
    <cellStyle name="Heading 1 17" xfId="2380"/>
    <cellStyle name="Heading 1 18" xfId="2381"/>
    <cellStyle name="Heading 1 2" xfId="2382"/>
    <cellStyle name="Heading 1 2 2" xfId="2383"/>
    <cellStyle name="Heading 1 2 2 2" xfId="2384"/>
    <cellStyle name="Heading 1 2 2 3" xfId="2385"/>
    <cellStyle name="Heading 1 2 3" xfId="2386"/>
    <cellStyle name="Heading 1 2 4" xfId="2387"/>
    <cellStyle name="Heading 1 2 5" xfId="2388"/>
    <cellStyle name="Heading 1 2_Analysis File Template" xfId="2389"/>
    <cellStyle name="Heading 1 3" xfId="2390"/>
    <cellStyle name="Heading 1 3 2" xfId="2391"/>
    <cellStyle name="Heading 1 3 3" xfId="2392"/>
    <cellStyle name="Heading 1 3 4" xfId="2393"/>
    <cellStyle name="Heading 1 4" xfId="2394"/>
    <cellStyle name="Heading 1 5" xfId="2395"/>
    <cellStyle name="Heading 1 6" xfId="2396"/>
    <cellStyle name="Heading 1 6 2" xfId="2397"/>
    <cellStyle name="Heading 1 6 3" xfId="2398"/>
    <cellStyle name="Heading 1 7" xfId="2399"/>
    <cellStyle name="Heading 1 7 2" xfId="2400"/>
    <cellStyle name="Heading 1 7 3" xfId="2401"/>
    <cellStyle name="Heading 1 8" xfId="2402"/>
    <cellStyle name="Heading 1 8 10" xfId="2403"/>
    <cellStyle name="Heading 1 8 2" xfId="2404"/>
    <cellStyle name="Heading 1 8 3" xfId="2405"/>
    <cellStyle name="Heading 1 8 3 2" xfId="2406"/>
    <cellStyle name="Heading 1 8 3 2 2" xfId="2407"/>
    <cellStyle name="Heading 1 8 4" xfId="2408"/>
    <cellStyle name="Heading 1 8 5" xfId="2409"/>
    <cellStyle name="Heading 1 8 6" xfId="2410"/>
    <cellStyle name="Heading 1 8 7" xfId="2411"/>
    <cellStyle name="Heading 1 8 8" xfId="2412"/>
    <cellStyle name="Heading 1 8 9" xfId="2413"/>
    <cellStyle name="Heading 1 8 9 2" xfId="2414"/>
    <cellStyle name="Heading 1 9" xfId="2415"/>
    <cellStyle name="Heading 1 9 10" xfId="2416"/>
    <cellStyle name="Heading 1 9 2" xfId="2417"/>
    <cellStyle name="Heading 1 9 3" xfId="2418"/>
    <cellStyle name="Heading 1 9 3 2" xfId="2419"/>
    <cellStyle name="Heading 1 9 3 2 2" xfId="2420"/>
    <cellStyle name="Heading 1 9 4" xfId="2421"/>
    <cellStyle name="Heading 1 9 5" xfId="2422"/>
    <cellStyle name="Heading 1 9 6" xfId="2423"/>
    <cellStyle name="Heading 1 9 7" xfId="2424"/>
    <cellStyle name="Heading 1 9 8" xfId="2425"/>
    <cellStyle name="Heading 1 9 9" xfId="2426"/>
    <cellStyle name="Heading 1 9 9 2" xfId="2427"/>
    <cellStyle name="Heading 2 10" xfId="2428"/>
    <cellStyle name="Heading 2 10 10" xfId="2429"/>
    <cellStyle name="Heading 2 10 10 2" xfId="2430"/>
    <cellStyle name="Heading 2 10 10 3" xfId="2431"/>
    <cellStyle name="Heading 2 10 11" xfId="2432"/>
    <cellStyle name="Heading 2 10 2" xfId="2433"/>
    <cellStyle name="Heading 2 10 2 2" xfId="2434"/>
    <cellStyle name="Heading 2 10 2 2 2" xfId="2435"/>
    <cellStyle name="Heading 2 10 2 2 3" xfId="2436"/>
    <cellStyle name="Heading 2 10 3" xfId="2437"/>
    <cellStyle name="Heading 2 10 3 2" xfId="2438"/>
    <cellStyle name="Heading 2 10 3 2 2" xfId="2439"/>
    <cellStyle name="Heading 2 10 3 2 3" xfId="2440"/>
    <cellStyle name="Heading 2 10 4" xfId="2441"/>
    <cellStyle name="Heading 2 10 5" xfId="2442"/>
    <cellStyle name="Heading 2 10 6" xfId="2443"/>
    <cellStyle name="Heading 2 10 7" xfId="2444"/>
    <cellStyle name="Heading 2 10 8" xfId="2445"/>
    <cellStyle name="Heading 2 10 8 2" xfId="2446"/>
    <cellStyle name="Heading 2 10 8 3" xfId="2447"/>
    <cellStyle name="Heading 2 10 9" xfId="2448"/>
    <cellStyle name="Heading 2 10 9 2" xfId="2449"/>
    <cellStyle name="Heading 2 10 9 3" xfId="2450"/>
    <cellStyle name="Heading 2 11" xfId="2451"/>
    <cellStyle name="Heading 2 11 2" xfId="2452"/>
    <cellStyle name="Heading 2 11 2 2" xfId="2453"/>
    <cellStyle name="Heading 2 11 2 3" xfId="2454"/>
    <cellStyle name="Heading 2 12" xfId="2455"/>
    <cellStyle name="Heading 2 13" xfId="2456"/>
    <cellStyle name="Heading 2 14" xfId="2457"/>
    <cellStyle name="Heading 2 15" xfId="2458"/>
    <cellStyle name="Heading 2 15 2" xfId="2459"/>
    <cellStyle name="Heading 2 15 3" xfId="2460"/>
    <cellStyle name="Heading 2 16" xfId="2461"/>
    <cellStyle name="Heading 2 16 2" xfId="2462"/>
    <cellStyle name="Heading 2 16 3" xfId="2463"/>
    <cellStyle name="Heading 2 17" xfId="2464"/>
    <cellStyle name="Heading 2 17 2" xfId="2465"/>
    <cellStyle name="Heading 2 18" xfId="2466"/>
    <cellStyle name="Heading 2 2" xfId="2467"/>
    <cellStyle name="Heading 2 2 2" xfId="2468"/>
    <cellStyle name="Heading 2 2 2 2" xfId="2469"/>
    <cellStyle name="Heading 2 2 2 3" xfId="2470"/>
    <cellStyle name="Heading 2 2 3" xfId="2471"/>
    <cellStyle name="Heading 2 2 4" xfId="2472"/>
    <cellStyle name="Heading 2 2 5" xfId="2473"/>
    <cellStyle name="Heading 2 2_Analysis File Template" xfId="2474"/>
    <cellStyle name="Heading 2 3" xfId="2475"/>
    <cellStyle name="Heading 2 3 2" xfId="2476"/>
    <cellStyle name="Heading 2 3 3" xfId="2477"/>
    <cellStyle name="Heading 2 3 4" xfId="2478"/>
    <cellStyle name="Heading 2 4" xfId="2479"/>
    <cellStyle name="Heading 2 5" xfId="2480"/>
    <cellStyle name="Heading 2 6" xfId="2481"/>
    <cellStyle name="Heading 2 6 10" xfId="2482"/>
    <cellStyle name="Heading 2 6 2" xfId="2483"/>
    <cellStyle name="Heading 2 6 2 2" xfId="2484"/>
    <cellStyle name="Heading 2 6 2 2 2" xfId="2485"/>
    <cellStyle name="Heading 2 6 2 2 3" xfId="2486"/>
    <cellStyle name="Heading 2 6 3" xfId="2487"/>
    <cellStyle name="Heading 2 6 3 2" xfId="2488"/>
    <cellStyle name="Heading 2 6 3 2 2" xfId="2489"/>
    <cellStyle name="Heading 2 6 3 2 3" xfId="2490"/>
    <cellStyle name="Heading 2 6 4" xfId="2491"/>
    <cellStyle name="Heading 2 6 5" xfId="2492"/>
    <cellStyle name="Heading 2 6 6" xfId="2493"/>
    <cellStyle name="Heading 2 6 7" xfId="2494"/>
    <cellStyle name="Heading 2 6 8" xfId="2495"/>
    <cellStyle name="Heading 2 6 8 2" xfId="2496"/>
    <cellStyle name="Heading 2 6 8 3" xfId="2497"/>
    <cellStyle name="Heading 2 6 9" xfId="2498"/>
    <cellStyle name="Heading 2 6 9 2" xfId="2499"/>
    <cellStyle name="Heading 2 6 9 3" xfId="2500"/>
    <cellStyle name="Heading 2 7" xfId="2501"/>
    <cellStyle name="Heading 2 7 10" xfId="2502"/>
    <cellStyle name="Heading 2 7 2" xfId="2503"/>
    <cellStyle name="Heading 2 7 2 2" xfId="2504"/>
    <cellStyle name="Heading 2 7 2 2 2" xfId="2505"/>
    <cellStyle name="Heading 2 7 2 2 3" xfId="2506"/>
    <cellStyle name="Heading 2 7 3" xfId="2507"/>
    <cellStyle name="Heading 2 7 3 2" xfId="2508"/>
    <cellStyle name="Heading 2 7 3 2 2" xfId="2509"/>
    <cellStyle name="Heading 2 7 3 2 3" xfId="2510"/>
    <cellStyle name="Heading 2 7 4" xfId="2511"/>
    <cellStyle name="Heading 2 7 5" xfId="2512"/>
    <cellStyle name="Heading 2 7 6" xfId="2513"/>
    <cellStyle name="Heading 2 7 7" xfId="2514"/>
    <cellStyle name="Heading 2 7 8" xfId="2515"/>
    <cellStyle name="Heading 2 7 8 2" xfId="2516"/>
    <cellStyle name="Heading 2 7 8 3" xfId="2517"/>
    <cellStyle name="Heading 2 7 9" xfId="2518"/>
    <cellStyle name="Heading 2 7 9 2" xfId="2519"/>
    <cellStyle name="Heading 2 7 9 3" xfId="2520"/>
    <cellStyle name="Heading 2 8" xfId="2521"/>
    <cellStyle name="Heading 2 8 10" xfId="2522"/>
    <cellStyle name="Heading 2 8 10 2" xfId="2523"/>
    <cellStyle name="Heading 2 8 10 3" xfId="2524"/>
    <cellStyle name="Heading 2 8 11" xfId="2525"/>
    <cellStyle name="Heading 2 8 2" xfId="2526"/>
    <cellStyle name="Heading 2 8 2 2" xfId="2527"/>
    <cellStyle name="Heading 2 8 2 2 2" xfId="2528"/>
    <cellStyle name="Heading 2 8 2 2 3" xfId="2529"/>
    <cellStyle name="Heading 2 8 3" xfId="2530"/>
    <cellStyle name="Heading 2 8 3 2" xfId="2531"/>
    <cellStyle name="Heading 2 8 3 2 2" xfId="2532"/>
    <cellStyle name="Heading 2 8 3 2 3" xfId="2533"/>
    <cellStyle name="Heading 2 8 4" xfId="2534"/>
    <cellStyle name="Heading 2 8 5" xfId="2535"/>
    <cellStyle name="Heading 2 8 6" xfId="2536"/>
    <cellStyle name="Heading 2 8 7" xfId="2537"/>
    <cellStyle name="Heading 2 8 8" xfId="2538"/>
    <cellStyle name="Heading 2 8 8 2" xfId="2539"/>
    <cellStyle name="Heading 2 8 8 3" xfId="2540"/>
    <cellStyle name="Heading 2 8 9" xfId="2541"/>
    <cellStyle name="Heading 2 8 9 2" xfId="2542"/>
    <cellStyle name="Heading 2 8 9 3" xfId="2543"/>
    <cellStyle name="Heading 2 9" xfId="2544"/>
    <cellStyle name="Heading 2 9 10" xfId="2545"/>
    <cellStyle name="Heading 2 9 10 2" xfId="2546"/>
    <cellStyle name="Heading 2 9 10 3" xfId="2547"/>
    <cellStyle name="Heading 2 9 11" xfId="2548"/>
    <cellStyle name="Heading 2 9 2" xfId="2549"/>
    <cellStyle name="Heading 2 9 2 2" xfId="2550"/>
    <cellStyle name="Heading 2 9 2 2 2" xfId="2551"/>
    <cellStyle name="Heading 2 9 2 2 3" xfId="2552"/>
    <cellStyle name="Heading 2 9 3" xfId="2553"/>
    <cellStyle name="Heading 2 9 3 2" xfId="2554"/>
    <cellStyle name="Heading 2 9 3 2 2" xfId="2555"/>
    <cellStyle name="Heading 2 9 3 2 3" xfId="2556"/>
    <cellStyle name="Heading 2 9 4" xfId="2557"/>
    <cellStyle name="Heading 2 9 5" xfId="2558"/>
    <cellStyle name="Heading 2 9 6" xfId="2559"/>
    <cellStyle name="Heading 2 9 7" xfId="2560"/>
    <cellStyle name="Heading 2 9 8" xfId="2561"/>
    <cellStyle name="Heading 2 9 8 2" xfId="2562"/>
    <cellStyle name="Heading 2 9 8 3" xfId="2563"/>
    <cellStyle name="Heading 2 9 9" xfId="2564"/>
    <cellStyle name="Heading 2 9 9 2" xfId="2565"/>
    <cellStyle name="Heading 2 9 9 3" xfId="2566"/>
    <cellStyle name="Heading 3 10" xfId="2567"/>
    <cellStyle name="Heading 3 10 10" xfId="2568"/>
    <cellStyle name="Heading 3 10 2" xfId="2569"/>
    <cellStyle name="Heading 3 10 3" xfId="2570"/>
    <cellStyle name="Heading 3 10 3 2" xfId="2571"/>
    <cellStyle name="Heading 3 10 3 2 2" xfId="2572"/>
    <cellStyle name="Heading 3 10 3 2 3" xfId="2573"/>
    <cellStyle name="Heading 3 10 4" xfId="2574"/>
    <cellStyle name="Heading 3 10 5" xfId="2575"/>
    <cellStyle name="Heading 3 10 6" xfId="2576"/>
    <cellStyle name="Heading 3 10 7" xfId="2577"/>
    <cellStyle name="Heading 3 10 8" xfId="2578"/>
    <cellStyle name="Heading 3 10 8 2" xfId="2579"/>
    <cellStyle name="Heading 3 10 8 3" xfId="2580"/>
    <cellStyle name="Heading 3 10 9" xfId="2581"/>
    <cellStyle name="Heading 3 10 9 2" xfId="2582"/>
    <cellStyle name="Heading 3 10 9 3" xfId="2583"/>
    <cellStyle name="Heading 3 11" xfId="2584"/>
    <cellStyle name="Heading 3 12" xfId="2585"/>
    <cellStyle name="Heading 3 13" xfId="2586"/>
    <cellStyle name="Heading 3 14" xfId="2587"/>
    <cellStyle name="Heading 3 15" xfId="2588"/>
    <cellStyle name="Heading 3 15 2" xfId="2589"/>
    <cellStyle name="Heading 3 15 3" xfId="2590"/>
    <cellStyle name="Heading 3 16" xfId="2591"/>
    <cellStyle name="Heading 3 16 2" xfId="2592"/>
    <cellStyle name="Heading 3 16 3" xfId="2593"/>
    <cellStyle name="Heading 3 17" xfId="2594"/>
    <cellStyle name="Heading 3 17 2" xfId="2595"/>
    <cellStyle name="Heading 3 18" xfId="2596"/>
    <cellStyle name="Heading 3 2" xfId="2597"/>
    <cellStyle name="Heading 3 2 2" xfId="2598"/>
    <cellStyle name="Heading 3 2 2 2" xfId="2599"/>
    <cellStyle name="Heading 3 2 2 3" xfId="2600"/>
    <cellStyle name="Heading 3 2 3" xfId="2601"/>
    <cellStyle name="Heading 3 2 4" xfId="2602"/>
    <cellStyle name="Heading 3 2 5" xfId="2603"/>
    <cellStyle name="Heading 3 2_Analysis File Template" xfId="2604"/>
    <cellStyle name="Heading 3 3" xfId="2605"/>
    <cellStyle name="Heading 3 3 2" xfId="2606"/>
    <cellStyle name="Heading 3 3 3" xfId="2607"/>
    <cellStyle name="Heading 3 3 4" xfId="2608"/>
    <cellStyle name="Heading 3 4" xfId="2609"/>
    <cellStyle name="Heading 3 5" xfId="2610"/>
    <cellStyle name="Heading 3 6" xfId="2611"/>
    <cellStyle name="Heading 3 6 10" xfId="2612"/>
    <cellStyle name="Heading 3 6 2" xfId="2613"/>
    <cellStyle name="Heading 3 6 3" xfId="2614"/>
    <cellStyle name="Heading 3 6 3 2" xfId="2615"/>
    <cellStyle name="Heading 3 6 3 2 2" xfId="2616"/>
    <cellStyle name="Heading 3 6 3 2 3" xfId="2617"/>
    <cellStyle name="Heading 3 6 4" xfId="2618"/>
    <cellStyle name="Heading 3 6 5" xfId="2619"/>
    <cellStyle name="Heading 3 6 6" xfId="2620"/>
    <cellStyle name="Heading 3 6 7" xfId="2621"/>
    <cellStyle name="Heading 3 6 8" xfId="2622"/>
    <cellStyle name="Heading 3 6 9" xfId="2623"/>
    <cellStyle name="Heading 3 6 9 2" xfId="2624"/>
    <cellStyle name="Heading 3 6 9 3" xfId="2625"/>
    <cellStyle name="Heading 3 7" xfId="2626"/>
    <cellStyle name="Heading 3 7 10" xfId="2627"/>
    <cellStyle name="Heading 3 7 2" xfId="2628"/>
    <cellStyle name="Heading 3 7 3" xfId="2629"/>
    <cellStyle name="Heading 3 7 3 2" xfId="2630"/>
    <cellStyle name="Heading 3 7 3 2 2" xfId="2631"/>
    <cellStyle name="Heading 3 7 3 2 3" xfId="2632"/>
    <cellStyle name="Heading 3 7 4" xfId="2633"/>
    <cellStyle name="Heading 3 7 5" xfId="2634"/>
    <cellStyle name="Heading 3 7 6" xfId="2635"/>
    <cellStyle name="Heading 3 7 7" xfId="2636"/>
    <cellStyle name="Heading 3 7 8" xfId="2637"/>
    <cellStyle name="Heading 3 7 9" xfId="2638"/>
    <cellStyle name="Heading 3 7 9 2" xfId="2639"/>
    <cellStyle name="Heading 3 7 9 3" xfId="2640"/>
    <cellStyle name="Heading 3 8" xfId="2641"/>
    <cellStyle name="Heading 3 8 10" xfId="2642"/>
    <cellStyle name="Heading 3 8 2" xfId="2643"/>
    <cellStyle name="Heading 3 8 3" xfId="2644"/>
    <cellStyle name="Heading 3 8 3 2" xfId="2645"/>
    <cellStyle name="Heading 3 8 3 2 2" xfId="2646"/>
    <cellStyle name="Heading 3 8 3 2 3" xfId="2647"/>
    <cellStyle name="Heading 3 8 4" xfId="2648"/>
    <cellStyle name="Heading 3 8 5" xfId="2649"/>
    <cellStyle name="Heading 3 8 6" xfId="2650"/>
    <cellStyle name="Heading 3 8 7" xfId="2651"/>
    <cellStyle name="Heading 3 8 8" xfId="2652"/>
    <cellStyle name="Heading 3 8 8 2" xfId="2653"/>
    <cellStyle name="Heading 3 8 8 3" xfId="2654"/>
    <cellStyle name="Heading 3 8 9" xfId="2655"/>
    <cellStyle name="Heading 3 8 9 2" xfId="2656"/>
    <cellStyle name="Heading 3 8 9 3" xfId="2657"/>
    <cellStyle name="Heading 3 9" xfId="2658"/>
    <cellStyle name="Heading 3 9 10" xfId="2659"/>
    <cellStyle name="Heading 3 9 2" xfId="2660"/>
    <cellStyle name="Heading 3 9 3" xfId="2661"/>
    <cellStyle name="Heading 3 9 3 2" xfId="2662"/>
    <cellStyle name="Heading 3 9 3 2 2" xfId="2663"/>
    <cellStyle name="Heading 3 9 3 2 3" xfId="2664"/>
    <cellStyle name="Heading 3 9 4" xfId="2665"/>
    <cellStyle name="Heading 3 9 5" xfId="2666"/>
    <cellStyle name="Heading 3 9 6" xfId="2667"/>
    <cellStyle name="Heading 3 9 7" xfId="2668"/>
    <cellStyle name="Heading 3 9 8" xfId="2669"/>
    <cellStyle name="Heading 3 9 8 2" xfId="2670"/>
    <cellStyle name="Heading 3 9 8 3" xfId="2671"/>
    <cellStyle name="Heading 3 9 9" xfId="2672"/>
    <cellStyle name="Heading 3 9 9 2" xfId="2673"/>
    <cellStyle name="Heading 3 9 9 3" xfId="2674"/>
    <cellStyle name="Heading 4 10" xfId="2675"/>
    <cellStyle name="Heading 4 11" xfId="2676"/>
    <cellStyle name="Heading 4 11 2" xfId="2677"/>
    <cellStyle name="Heading 4 11 3" xfId="2678"/>
    <cellStyle name="Heading 4 12" xfId="2679"/>
    <cellStyle name="Heading 4 12 2" xfId="2680"/>
    <cellStyle name="Heading 4 12 3" xfId="2681"/>
    <cellStyle name="Heading 4 13" xfId="2682"/>
    <cellStyle name="Heading 4 13 2" xfId="2683"/>
    <cellStyle name="Heading 4 14" xfId="2684"/>
    <cellStyle name="Heading 4 2" xfId="2685"/>
    <cellStyle name="Heading 4 2 2" xfId="2686"/>
    <cellStyle name="Heading 4 2 2 2" xfId="2687"/>
    <cellStyle name="Heading 4 2 2 3" xfId="2688"/>
    <cellStyle name="Heading 4 2 3" xfId="2689"/>
    <cellStyle name="Heading 4 2 4" xfId="2690"/>
    <cellStyle name="Heading 4 2 5" xfId="2691"/>
    <cellStyle name="Heading 4 3" xfId="2692"/>
    <cellStyle name="Heading 4 3 2" xfId="2693"/>
    <cellStyle name="Heading 4 3 3" xfId="2694"/>
    <cellStyle name="Heading 4 3 4" xfId="2695"/>
    <cellStyle name="Heading 4 4" xfId="2696"/>
    <cellStyle name="Heading 4 5" xfId="2697"/>
    <cellStyle name="Heading 4 6" xfId="2698"/>
    <cellStyle name="Heading 4 6 10" xfId="2699"/>
    <cellStyle name="Heading 4 6 2" xfId="2700"/>
    <cellStyle name="Heading 4 6 3" xfId="2701"/>
    <cellStyle name="Heading 4 6 3 2" xfId="2702"/>
    <cellStyle name="Heading 4 6 3 2 2" xfId="2703"/>
    <cellStyle name="Heading 4 6 3 2 3" xfId="2704"/>
    <cellStyle name="Heading 4 6 4" xfId="2705"/>
    <cellStyle name="Heading 4 6 5" xfId="2706"/>
    <cellStyle name="Heading 4 6 6" xfId="2707"/>
    <cellStyle name="Heading 4 6 7" xfId="2708"/>
    <cellStyle name="Heading 4 6 8" xfId="2709"/>
    <cellStyle name="Heading 4 6 9" xfId="2710"/>
    <cellStyle name="Heading 4 6 9 2" xfId="2711"/>
    <cellStyle name="Heading 4 6 9 3" xfId="2712"/>
    <cellStyle name="Heading 4 7" xfId="2713"/>
    <cellStyle name="Heading 4 7 10" xfId="2714"/>
    <cellStyle name="Heading 4 7 2" xfId="2715"/>
    <cellStyle name="Heading 4 7 3" xfId="2716"/>
    <cellStyle name="Heading 4 7 3 2" xfId="2717"/>
    <cellStyle name="Heading 4 7 3 2 2" xfId="2718"/>
    <cellStyle name="Heading 4 7 3 2 3" xfId="2719"/>
    <cellStyle name="Heading 4 7 4" xfId="2720"/>
    <cellStyle name="Heading 4 7 5" xfId="2721"/>
    <cellStyle name="Heading 4 7 6" xfId="2722"/>
    <cellStyle name="Heading 4 7 7" xfId="2723"/>
    <cellStyle name="Heading 4 7 8" xfId="2724"/>
    <cellStyle name="Heading 4 7 8 2" xfId="2725"/>
    <cellStyle name="Heading 4 7 8 3" xfId="2726"/>
    <cellStyle name="Heading 4 7 9" xfId="2727"/>
    <cellStyle name="Heading 4 7 9 2" xfId="2728"/>
    <cellStyle name="Heading 4 7 9 3" xfId="2729"/>
    <cellStyle name="Heading 4 8" xfId="2730"/>
    <cellStyle name="Heading 4 9" xfId="2731"/>
    <cellStyle name="Headings" xfId="2732"/>
    <cellStyle name="Headings 2" xfId="2733"/>
    <cellStyle name="Headings 2 2" xfId="2734"/>
    <cellStyle name="Headings 2 3" xfId="2735"/>
    <cellStyle name="Headings 2 3 2" xfId="2736"/>
    <cellStyle name="Headings 2 3 3" xfId="2737"/>
    <cellStyle name="Headings 2 3 3 2" xfId="2738"/>
    <cellStyle name="Headings 2 4" xfId="2739"/>
    <cellStyle name="Headings 2 4 2" xfId="2740"/>
    <cellStyle name="Headings 2 4 3" xfId="2741"/>
    <cellStyle name="Headings 2 4 3 2" xfId="2742"/>
    <cellStyle name="Headings 3" xfId="2743"/>
    <cellStyle name="Headings 3 2" xfId="2744"/>
    <cellStyle name="Headings 3 2 2" xfId="2745"/>
    <cellStyle name="Headings 3 2 2 2" xfId="2746"/>
    <cellStyle name="Headings 3 2 2 2 2" xfId="2747"/>
    <cellStyle name="Headings 3 2 3" xfId="2748"/>
    <cellStyle name="Headings 3 2 4" xfId="2749"/>
    <cellStyle name="Headings 3 2 4 2" xfId="2750"/>
    <cellStyle name="Headings 3 2 5" xfId="2751"/>
    <cellStyle name="Headings 3 2 5 2" xfId="2752"/>
    <cellStyle name="Headings 3 3" xfId="2753"/>
    <cellStyle name="Headings 4" xfId="2754"/>
    <cellStyle name="Headings_Civilian Workforce Jobs" xfId="2755"/>
    <cellStyle name="Hyperlink" xfId="8819" builtinId="8"/>
    <cellStyle name="Hyperlink 10" xfId="2756"/>
    <cellStyle name="Hyperlink 10 2" xfId="2757"/>
    <cellStyle name="Hyperlink 10 3" xfId="2758"/>
    <cellStyle name="Hyperlink 11" xfId="2759"/>
    <cellStyle name="Hyperlink 11 2" xfId="2760"/>
    <cellStyle name="Hyperlink 11 3" xfId="2761"/>
    <cellStyle name="Hyperlink 12" xfId="2762"/>
    <cellStyle name="Hyperlink 13" xfId="2763"/>
    <cellStyle name="Hyperlink 13 2" xfId="2764"/>
    <cellStyle name="Hyperlink 14" xfId="2765"/>
    <cellStyle name="Hyperlink 14 2" xfId="2766"/>
    <cellStyle name="Hyperlink 15" xfId="2767"/>
    <cellStyle name="Hyperlink 16" xfId="2768"/>
    <cellStyle name="Hyperlink 17" xfId="2769"/>
    <cellStyle name="Hyperlink 18" xfId="2770"/>
    <cellStyle name="Hyperlink 19" xfId="2771"/>
    <cellStyle name="Hyperlink 2" xfId="2772"/>
    <cellStyle name="Hyperlink 2 10" xfId="2773"/>
    <cellStyle name="Hyperlink 2 11" xfId="2774"/>
    <cellStyle name="Hyperlink 2 2" xfId="2775"/>
    <cellStyle name="Hyperlink 2 2 2" xfId="2776"/>
    <cellStyle name="Hyperlink 2 2 3" xfId="2777"/>
    <cellStyle name="Hyperlink 2 2 4" xfId="2778"/>
    <cellStyle name="Hyperlink 2 2 5" xfId="2779"/>
    <cellStyle name="Hyperlink 2 2 6" xfId="2780"/>
    <cellStyle name="Hyperlink 2 2 7" xfId="2781"/>
    <cellStyle name="Hyperlink 2 2 8" xfId="2782"/>
    <cellStyle name="Hyperlink 2 3" xfId="2783"/>
    <cellStyle name="Hyperlink 2 4" xfId="2784"/>
    <cellStyle name="Hyperlink 2 5" xfId="2785"/>
    <cellStyle name="Hyperlink 2 6" xfId="2786"/>
    <cellStyle name="Hyperlink 2 7" xfId="2787"/>
    <cellStyle name="Hyperlink 2 8" xfId="2788"/>
    <cellStyle name="Hyperlink 2 9" xfId="2789"/>
    <cellStyle name="Hyperlink 2 9 2" xfId="2790"/>
    <cellStyle name="Hyperlink 20" xfId="2791"/>
    <cellStyle name="Hyperlink 21" xfId="2792"/>
    <cellStyle name="Hyperlink 3" xfId="2793"/>
    <cellStyle name="Hyperlink 3 2" xfId="2794"/>
    <cellStyle name="Hyperlink 3 2 2" xfId="2795"/>
    <cellStyle name="Hyperlink 3 2 3" xfId="2796"/>
    <cellStyle name="Hyperlink 3 2 4" xfId="2797"/>
    <cellStyle name="Hyperlink 3 3" xfId="2798"/>
    <cellStyle name="Hyperlink 3 3 2" xfId="2799"/>
    <cellStyle name="Hyperlink 3 3 3" xfId="2800"/>
    <cellStyle name="Hyperlink 3 4" xfId="2801"/>
    <cellStyle name="Hyperlink 3 5" xfId="2802"/>
    <cellStyle name="Hyperlink 3 6" xfId="2803"/>
    <cellStyle name="Hyperlink 3 7" xfId="2804"/>
    <cellStyle name="Hyperlink 3 8" xfId="2805"/>
    <cellStyle name="Hyperlink 3 8 2" xfId="2806"/>
    <cellStyle name="Hyperlink 3_SFR_Tables_Oct2013" xfId="2807"/>
    <cellStyle name="Hyperlink 4" xfId="2808"/>
    <cellStyle name="Hyperlink 4 2" xfId="2809"/>
    <cellStyle name="Hyperlink 4 3" xfId="2810"/>
    <cellStyle name="Hyperlink 4 4" xfId="2811"/>
    <cellStyle name="Hyperlink 4 5" xfId="2812"/>
    <cellStyle name="Hyperlink 4 6" xfId="2813"/>
    <cellStyle name="Hyperlink 4 6 2" xfId="2814"/>
    <cellStyle name="Hyperlink 4 7" xfId="2815"/>
    <cellStyle name="Hyperlink 5" xfId="2816"/>
    <cellStyle name="Hyperlink 5 2" xfId="2817"/>
    <cellStyle name="Hyperlink 5 3" xfId="2818"/>
    <cellStyle name="Hyperlink 5 4" xfId="2819"/>
    <cellStyle name="Hyperlink 5 5" xfId="2820"/>
    <cellStyle name="Hyperlink 5 6" xfId="2821"/>
    <cellStyle name="Hyperlink 6" xfId="2822"/>
    <cellStyle name="Hyperlink 6 2" xfId="2823"/>
    <cellStyle name="Hyperlink 6 3" xfId="2824"/>
    <cellStyle name="Hyperlink 6 4" xfId="2825"/>
    <cellStyle name="Hyperlink 7" xfId="2826"/>
    <cellStyle name="Hyperlink 7 2" xfId="2827"/>
    <cellStyle name="Hyperlink 7 3" xfId="2828"/>
    <cellStyle name="Hyperlink 8" xfId="2829"/>
    <cellStyle name="Hyperlink 8 2" xfId="2830"/>
    <cellStyle name="Hyperlink 8 3" xfId="2831"/>
    <cellStyle name="Hyperlink 9" xfId="2832"/>
    <cellStyle name="Input 10" xfId="2833"/>
    <cellStyle name="Input 10 10" xfId="2834"/>
    <cellStyle name="Input 10 11" xfId="2835"/>
    <cellStyle name="Input 10 12" xfId="2836"/>
    <cellStyle name="Input 10 13" xfId="2837"/>
    <cellStyle name="Input 10 14" xfId="2838"/>
    <cellStyle name="Input 10 2" xfId="2839"/>
    <cellStyle name="Input 10 2 2" xfId="2840"/>
    <cellStyle name="Input 10 3" xfId="2841"/>
    <cellStyle name="Input 10 3 2" xfId="2842"/>
    <cellStyle name="Input 10 4" xfId="2843"/>
    <cellStyle name="Input 10 4 2" xfId="2844"/>
    <cellStyle name="Input 10 5" xfId="2845"/>
    <cellStyle name="Input 10 5 2" xfId="2846"/>
    <cellStyle name="Input 10 6" xfId="2847"/>
    <cellStyle name="Input 10 6 2" xfId="2848"/>
    <cellStyle name="Input 10 7" xfId="2849"/>
    <cellStyle name="Input 10 7 2" xfId="2850"/>
    <cellStyle name="Input 10 8" xfId="2851"/>
    <cellStyle name="Input 10 8 2" xfId="2852"/>
    <cellStyle name="Input 10 9" xfId="2853"/>
    <cellStyle name="Input 10 9 2" xfId="2854"/>
    <cellStyle name="Input 11" xfId="2855"/>
    <cellStyle name="Input 11 10" xfId="2856"/>
    <cellStyle name="Input 11 11" xfId="2857"/>
    <cellStyle name="Input 11 12" xfId="2858"/>
    <cellStyle name="Input 11 13" xfId="2859"/>
    <cellStyle name="Input 11 14" xfId="2860"/>
    <cellStyle name="Input 11 2" xfId="2861"/>
    <cellStyle name="Input 11 2 2" xfId="2862"/>
    <cellStyle name="Input 11 2 3" xfId="2863"/>
    <cellStyle name="Input 11 3" xfId="2864"/>
    <cellStyle name="Input 11 3 2" xfId="2865"/>
    <cellStyle name="Input 11 3 3" xfId="2866"/>
    <cellStyle name="Input 11 4" xfId="2867"/>
    <cellStyle name="Input 11 4 2" xfId="2868"/>
    <cellStyle name="Input 11 4 3" xfId="2869"/>
    <cellStyle name="Input 11 5" xfId="2870"/>
    <cellStyle name="Input 11 5 2" xfId="2871"/>
    <cellStyle name="Input 11 5 3" xfId="2872"/>
    <cellStyle name="Input 11 6" xfId="2873"/>
    <cellStyle name="Input 11 6 2" xfId="2874"/>
    <cellStyle name="Input 11 6 3" xfId="2875"/>
    <cellStyle name="Input 11 7" xfId="2876"/>
    <cellStyle name="Input 11 7 2" xfId="2877"/>
    <cellStyle name="Input 11 7 3" xfId="2878"/>
    <cellStyle name="Input 11 7 4" xfId="2879"/>
    <cellStyle name="Input 11 8" xfId="2880"/>
    <cellStyle name="Input 11 8 2" xfId="2881"/>
    <cellStyle name="Input 11 9" xfId="2882"/>
    <cellStyle name="Input 12" xfId="2883"/>
    <cellStyle name="Input 12 2" xfId="2884"/>
    <cellStyle name="Input 12 3" xfId="2885"/>
    <cellStyle name="Input 13" xfId="2886"/>
    <cellStyle name="Input 13 2" xfId="2887"/>
    <cellStyle name="Input 14" xfId="2888"/>
    <cellStyle name="Input 15" xfId="2889"/>
    <cellStyle name="Input 16" xfId="2890"/>
    <cellStyle name="Input 16 2" xfId="2891"/>
    <cellStyle name="Input 17" xfId="2892"/>
    <cellStyle name="Input 18" xfId="2893"/>
    <cellStyle name="Input 2" xfId="2894"/>
    <cellStyle name="Input 2 10" xfId="2895"/>
    <cellStyle name="Input 2 11" xfId="2896"/>
    <cellStyle name="Input 2 12" xfId="2897"/>
    <cellStyle name="Input 2 13" xfId="2898"/>
    <cellStyle name="Input 2 2" xfId="2899"/>
    <cellStyle name="Input 2 2 2" xfId="2900"/>
    <cellStyle name="Input 2 2 2 2" xfId="2901"/>
    <cellStyle name="Input 2 2 2 3" xfId="2902"/>
    <cellStyle name="Input 2 2 2 4" xfId="2903"/>
    <cellStyle name="Input 2 2 3" xfId="2904"/>
    <cellStyle name="Input 2 2 3 2" xfId="2905"/>
    <cellStyle name="Input 2 2 4" xfId="2906"/>
    <cellStyle name="Input 2 2 5" xfId="2907"/>
    <cellStyle name="Input 2 3" xfId="2908"/>
    <cellStyle name="Input 2 3 2" xfId="2909"/>
    <cellStyle name="Input 2 3 3" xfId="2910"/>
    <cellStyle name="Input 2 3 4" xfId="2911"/>
    <cellStyle name="Input 2 3 5" xfId="2912"/>
    <cellStyle name="Input 2 4" xfId="2913"/>
    <cellStyle name="Input 2 4 2" xfId="2914"/>
    <cellStyle name="Input 2 5" xfId="2915"/>
    <cellStyle name="Input 2 5 2" xfId="2916"/>
    <cellStyle name="Input 2 6" xfId="2917"/>
    <cellStyle name="Input 2 6 2" xfId="2918"/>
    <cellStyle name="Input 2 7" xfId="2919"/>
    <cellStyle name="Input 2 7 2" xfId="2920"/>
    <cellStyle name="Input 2 8" xfId="2921"/>
    <cellStyle name="Input 2 8 2" xfId="2922"/>
    <cellStyle name="Input 2 9" xfId="2923"/>
    <cellStyle name="Input 2 9 2" xfId="2924"/>
    <cellStyle name="Input 2_Analysis File Template" xfId="2925"/>
    <cellStyle name="Input 3" xfId="2926"/>
    <cellStyle name="Input 3 10" xfId="2927"/>
    <cellStyle name="Input 3 11" xfId="2928"/>
    <cellStyle name="Input 3 12" xfId="2929"/>
    <cellStyle name="Input 3 13" xfId="2930"/>
    <cellStyle name="Input 3 14" xfId="2931"/>
    <cellStyle name="Input 3 2" xfId="2932"/>
    <cellStyle name="Input 3 2 2" xfId="2933"/>
    <cellStyle name="Input 3 2 3" xfId="2934"/>
    <cellStyle name="Input 3 2 4" xfId="2935"/>
    <cellStyle name="Input 3 2 5" xfId="2936"/>
    <cellStyle name="Input 3 3" xfId="2937"/>
    <cellStyle name="Input 3 3 2" xfId="2938"/>
    <cellStyle name="Input 3 3 3" xfId="2939"/>
    <cellStyle name="Input 3 4" xfId="2940"/>
    <cellStyle name="Input 3 4 2" xfId="2941"/>
    <cellStyle name="Input 3 5" xfId="2942"/>
    <cellStyle name="Input 3 5 2" xfId="2943"/>
    <cellStyle name="Input 3 6" xfId="2944"/>
    <cellStyle name="Input 3 6 2" xfId="2945"/>
    <cellStyle name="Input 3 7" xfId="2946"/>
    <cellStyle name="Input 3 7 2" xfId="2947"/>
    <cellStyle name="Input 3 8" xfId="2948"/>
    <cellStyle name="Input 3 8 2" xfId="2949"/>
    <cellStyle name="Input 3 9" xfId="2950"/>
    <cellStyle name="Input 3 9 2" xfId="2951"/>
    <cellStyle name="Input 4" xfId="2952"/>
    <cellStyle name="Input 4 10" xfId="2953"/>
    <cellStyle name="Input 4 11" xfId="2954"/>
    <cellStyle name="Input 4 2" xfId="2955"/>
    <cellStyle name="Input 4 2 2" xfId="2956"/>
    <cellStyle name="Input 4 3" xfId="2957"/>
    <cellStyle name="Input 4 3 2" xfId="2958"/>
    <cellStyle name="Input 4 4" xfId="2959"/>
    <cellStyle name="Input 4 4 2" xfId="2960"/>
    <cellStyle name="Input 4 5" xfId="2961"/>
    <cellStyle name="Input 4 5 2" xfId="2962"/>
    <cellStyle name="Input 4 6" xfId="2963"/>
    <cellStyle name="Input 4 6 2" xfId="2964"/>
    <cellStyle name="Input 4 7" xfId="2965"/>
    <cellStyle name="Input 4 7 2" xfId="2966"/>
    <cellStyle name="Input 4 8" xfId="2967"/>
    <cellStyle name="Input 4 8 2" xfId="2968"/>
    <cellStyle name="Input 4 9" xfId="2969"/>
    <cellStyle name="Input 4 9 2" xfId="2970"/>
    <cellStyle name="Input 5" xfId="2971"/>
    <cellStyle name="Input 5 10" xfId="2972"/>
    <cellStyle name="Input 5 11" xfId="2973"/>
    <cellStyle name="Input 5 12" xfId="2974"/>
    <cellStyle name="Input 5 13" xfId="2975"/>
    <cellStyle name="Input 5 14" xfId="2976"/>
    <cellStyle name="Input 5 2" xfId="2977"/>
    <cellStyle name="Input 5 2 2" xfId="2978"/>
    <cellStyle name="Input 5 3" xfId="2979"/>
    <cellStyle name="Input 5 3 2" xfId="2980"/>
    <cellStyle name="Input 5 4" xfId="2981"/>
    <cellStyle name="Input 5 4 2" xfId="2982"/>
    <cellStyle name="Input 5 5" xfId="2983"/>
    <cellStyle name="Input 5 5 2" xfId="2984"/>
    <cellStyle name="Input 5 6" xfId="2985"/>
    <cellStyle name="Input 5 6 2" xfId="2986"/>
    <cellStyle name="Input 5 7" xfId="2987"/>
    <cellStyle name="Input 5 7 2" xfId="2988"/>
    <cellStyle name="Input 5 8" xfId="2989"/>
    <cellStyle name="Input 5 8 2" xfId="2990"/>
    <cellStyle name="Input 5 9" xfId="2991"/>
    <cellStyle name="Input 5 9 2" xfId="2992"/>
    <cellStyle name="Input 6" xfId="2993"/>
    <cellStyle name="Input 6 10" xfId="2994"/>
    <cellStyle name="Input 6 11" xfId="2995"/>
    <cellStyle name="Input 6 12" xfId="2996"/>
    <cellStyle name="Input 6 13" xfId="2997"/>
    <cellStyle name="Input 6 14" xfId="2998"/>
    <cellStyle name="Input 6 2" xfId="2999"/>
    <cellStyle name="Input 6 2 2" xfId="3000"/>
    <cellStyle name="Input 6 3" xfId="3001"/>
    <cellStyle name="Input 6 3 2" xfId="3002"/>
    <cellStyle name="Input 6 4" xfId="3003"/>
    <cellStyle name="Input 6 4 2" xfId="3004"/>
    <cellStyle name="Input 6 5" xfId="3005"/>
    <cellStyle name="Input 6 5 2" xfId="3006"/>
    <cellStyle name="Input 6 6" xfId="3007"/>
    <cellStyle name="Input 6 6 2" xfId="3008"/>
    <cellStyle name="Input 6 7" xfId="3009"/>
    <cellStyle name="Input 6 7 2" xfId="3010"/>
    <cellStyle name="Input 6 8" xfId="3011"/>
    <cellStyle name="Input 6 8 2" xfId="3012"/>
    <cellStyle name="Input 6 9" xfId="3013"/>
    <cellStyle name="Input 6 9 2" xfId="3014"/>
    <cellStyle name="Input 7" xfId="3015"/>
    <cellStyle name="Input 7 10" xfId="3016"/>
    <cellStyle name="Input 7 11" xfId="3017"/>
    <cellStyle name="Input 7 12" xfId="3018"/>
    <cellStyle name="Input 7 13" xfId="3019"/>
    <cellStyle name="Input 7 14" xfId="3020"/>
    <cellStyle name="Input 7 2" xfId="3021"/>
    <cellStyle name="Input 7 2 2" xfId="3022"/>
    <cellStyle name="Input 7 3" xfId="3023"/>
    <cellStyle name="Input 7 3 2" xfId="3024"/>
    <cellStyle name="Input 7 4" xfId="3025"/>
    <cellStyle name="Input 7 4 2" xfId="3026"/>
    <cellStyle name="Input 7 5" xfId="3027"/>
    <cellStyle name="Input 7 5 2" xfId="3028"/>
    <cellStyle name="Input 7 6" xfId="3029"/>
    <cellStyle name="Input 7 6 2" xfId="3030"/>
    <cellStyle name="Input 7 7" xfId="3031"/>
    <cellStyle name="Input 7 7 2" xfId="3032"/>
    <cellStyle name="Input 7 8" xfId="3033"/>
    <cellStyle name="Input 7 8 2" xfId="3034"/>
    <cellStyle name="Input 7 9" xfId="3035"/>
    <cellStyle name="Input 7 9 2" xfId="3036"/>
    <cellStyle name="Input 8" xfId="3037"/>
    <cellStyle name="Input 8 10" xfId="3038"/>
    <cellStyle name="Input 8 11" xfId="3039"/>
    <cellStyle name="Input 8 12" xfId="3040"/>
    <cellStyle name="Input 8 13" xfId="3041"/>
    <cellStyle name="Input 8 14" xfId="3042"/>
    <cellStyle name="Input 8 2" xfId="3043"/>
    <cellStyle name="Input 8 2 2" xfId="3044"/>
    <cellStyle name="Input 8 3" xfId="3045"/>
    <cellStyle name="Input 8 3 2" xfId="3046"/>
    <cellStyle name="Input 8 4" xfId="3047"/>
    <cellStyle name="Input 8 4 2" xfId="3048"/>
    <cellStyle name="Input 8 5" xfId="3049"/>
    <cellStyle name="Input 8 5 2" xfId="3050"/>
    <cellStyle name="Input 8 6" xfId="3051"/>
    <cellStyle name="Input 8 6 2" xfId="3052"/>
    <cellStyle name="Input 8 7" xfId="3053"/>
    <cellStyle name="Input 8 7 2" xfId="3054"/>
    <cellStyle name="Input 8 8" xfId="3055"/>
    <cellStyle name="Input 8 8 2" xfId="3056"/>
    <cellStyle name="Input 8 9" xfId="3057"/>
    <cellStyle name="Input 8 9 2" xfId="3058"/>
    <cellStyle name="Input 9" xfId="3059"/>
    <cellStyle name="Input 9 10" xfId="3060"/>
    <cellStyle name="Input 9 11" xfId="3061"/>
    <cellStyle name="Input 9 12" xfId="3062"/>
    <cellStyle name="Input 9 13" xfId="3063"/>
    <cellStyle name="Input 9 14" xfId="3064"/>
    <cellStyle name="Input 9 2" xfId="3065"/>
    <cellStyle name="Input 9 2 2" xfId="3066"/>
    <cellStyle name="Input 9 3" xfId="3067"/>
    <cellStyle name="Input 9 3 2" xfId="3068"/>
    <cellStyle name="Input 9 4" xfId="3069"/>
    <cellStyle name="Input 9 4 2" xfId="3070"/>
    <cellStyle name="Input 9 5" xfId="3071"/>
    <cellStyle name="Input 9 5 2" xfId="3072"/>
    <cellStyle name="Input 9 6" xfId="3073"/>
    <cellStyle name="Input 9 6 2" xfId="3074"/>
    <cellStyle name="Input 9 7" xfId="3075"/>
    <cellStyle name="Input 9 7 2" xfId="3076"/>
    <cellStyle name="Input 9 8" xfId="3077"/>
    <cellStyle name="Input 9 8 2" xfId="3078"/>
    <cellStyle name="Input 9 9" xfId="3079"/>
    <cellStyle name="Input 9 9 2" xfId="3080"/>
    <cellStyle name="Linked Cell" xfId="3081" builtinId="24" customBuiltin="1"/>
    <cellStyle name="Linked Cell 2" xfId="3082"/>
    <cellStyle name="Linked Cell 2 2" xfId="3083"/>
    <cellStyle name="Linked Cell 2 2 2" xfId="3084"/>
    <cellStyle name="Linked Cell 2 2 3" xfId="3085"/>
    <cellStyle name="Linked Cell 2 3" xfId="3086"/>
    <cellStyle name="Linked Cell 2 4" xfId="3087"/>
    <cellStyle name="Linked Cell 2 5" xfId="3088"/>
    <cellStyle name="Linked Cell 2_Analysis File Template" xfId="3089"/>
    <cellStyle name="Linked Cell 3" xfId="3090"/>
    <cellStyle name="Linked Cell 3 2" xfId="3091"/>
    <cellStyle name="Linked Cell 3 3" xfId="3092"/>
    <cellStyle name="Linked Cell 3 4" xfId="3093"/>
    <cellStyle name="Linked Cell 4" xfId="3094"/>
    <cellStyle name="Linked Cell 5" xfId="3095"/>
    <cellStyle name="Neutral" xfId="3096" builtinId="28" customBuiltin="1"/>
    <cellStyle name="Neutral 2" xfId="3097"/>
    <cellStyle name="Neutral 2 2" xfId="3098"/>
    <cellStyle name="Neutral 2 2 2" xfId="3099"/>
    <cellStyle name="Neutral 2 2 3" xfId="3100"/>
    <cellStyle name="Neutral 2 3" xfId="3101"/>
    <cellStyle name="Neutral 2 4" xfId="3102"/>
    <cellStyle name="Neutral 2 5" xfId="3103"/>
    <cellStyle name="Neutral 3" xfId="3104"/>
    <cellStyle name="Neutral 3 2" xfId="3105"/>
    <cellStyle name="Neutral 3 3" xfId="3106"/>
    <cellStyle name="Neutral 3 3 2" xfId="3107"/>
    <cellStyle name="Neutral 3 4" xfId="3108"/>
    <cellStyle name="Neutral 3 5" xfId="3109"/>
    <cellStyle name="Neutral 4" xfId="3110"/>
    <cellStyle name="Neutral 5" xfId="3111"/>
    <cellStyle name="Normal" xfId="0" builtinId="0"/>
    <cellStyle name="Normal 10" xfId="3112"/>
    <cellStyle name="Normal 10 2" xfId="3113"/>
    <cellStyle name="Normal 10 2 2" xfId="3114"/>
    <cellStyle name="Normal 10 2 2 2" xfId="3115"/>
    <cellStyle name="Normal 10 2 2 3" xfId="3116"/>
    <cellStyle name="Normal 10 2 3" xfId="3117"/>
    <cellStyle name="Normal 10 2 4" xfId="3118"/>
    <cellStyle name="Normal 10 2 5" xfId="3119"/>
    <cellStyle name="Normal 10 3" xfId="3120"/>
    <cellStyle name="Normal 10 4" xfId="3121"/>
    <cellStyle name="Normal 10 4 2" xfId="3122"/>
    <cellStyle name="Normal 10 5" xfId="3123"/>
    <cellStyle name="Normal 10 5 2" xfId="3124"/>
    <cellStyle name="Normal 10 5 3" xfId="3125"/>
    <cellStyle name="Normal 10 5 3 2" xfId="3126"/>
    <cellStyle name="Normal 10 6" xfId="3127"/>
    <cellStyle name="Normal 10_Analysis File Template" xfId="3128"/>
    <cellStyle name="Normal 100" xfId="3129"/>
    <cellStyle name="Normal 100 2" xfId="3130"/>
    <cellStyle name="Normal 100 3" xfId="3131"/>
    <cellStyle name="Normal 100 3 2" xfId="3132"/>
    <cellStyle name="Normal 100 4" xfId="3133"/>
    <cellStyle name="Normal 101" xfId="3134"/>
    <cellStyle name="Normal 101 2" xfId="3135"/>
    <cellStyle name="Normal 101 3" xfId="3136"/>
    <cellStyle name="Normal 101 3 2" xfId="3137"/>
    <cellStyle name="Normal 101 4" xfId="3138"/>
    <cellStyle name="Normal 102" xfId="3139"/>
    <cellStyle name="Normal 102 2" xfId="3140"/>
    <cellStyle name="Normal 102 3" xfId="3141"/>
    <cellStyle name="Normal 102 3 2" xfId="3142"/>
    <cellStyle name="Normal 102 4" xfId="3143"/>
    <cellStyle name="Normal 103" xfId="3144"/>
    <cellStyle name="Normal 103 10" xfId="3145"/>
    <cellStyle name="Normal 103 10 2" xfId="3146"/>
    <cellStyle name="Normal 103 10 3" xfId="3147"/>
    <cellStyle name="Normal 103 11" xfId="3148"/>
    <cellStyle name="Normal 103 2" xfId="3149"/>
    <cellStyle name="Normal 103 2 2" xfId="3150"/>
    <cellStyle name="Normal 103 2 2 2" xfId="3151"/>
    <cellStyle name="Normal 103 2 3" xfId="3152"/>
    <cellStyle name="Normal 103 3" xfId="3153"/>
    <cellStyle name="Normal 103 3 2" xfId="3154"/>
    <cellStyle name="Normal 103 4" xfId="3155"/>
    <cellStyle name="Normal 103 4 2" xfId="3156"/>
    <cellStyle name="Normal 103 4 2 2" xfId="3157"/>
    <cellStyle name="Normal 103 4 2 3" xfId="3158"/>
    <cellStyle name="Normal 103 5" xfId="3159"/>
    <cellStyle name="Normal 103 6" xfId="3160"/>
    <cellStyle name="Normal 103 7" xfId="3161"/>
    <cellStyle name="Normal 103 8" xfId="3162"/>
    <cellStyle name="Normal 103 9" xfId="3163"/>
    <cellStyle name="Normal 104" xfId="3164"/>
    <cellStyle name="Normal 104 10" xfId="3165"/>
    <cellStyle name="Normal 104 10 2" xfId="3166"/>
    <cellStyle name="Normal 104 10 3" xfId="3167"/>
    <cellStyle name="Normal 104 11" xfId="3168"/>
    <cellStyle name="Normal 104 2" xfId="3169"/>
    <cellStyle name="Normal 104 2 2" xfId="3170"/>
    <cellStyle name="Normal 104 2 2 2" xfId="3171"/>
    <cellStyle name="Normal 104 2 3" xfId="3172"/>
    <cellStyle name="Normal 104 3" xfId="3173"/>
    <cellStyle name="Normal 104 3 2" xfId="3174"/>
    <cellStyle name="Normal 104 4" xfId="3175"/>
    <cellStyle name="Normal 104 4 2" xfId="3176"/>
    <cellStyle name="Normal 104 4 2 2" xfId="3177"/>
    <cellStyle name="Normal 104 4 2 3" xfId="3178"/>
    <cellStyle name="Normal 104 5" xfId="3179"/>
    <cellStyle name="Normal 104 6" xfId="3180"/>
    <cellStyle name="Normal 104 7" xfId="3181"/>
    <cellStyle name="Normal 104 8" xfId="3182"/>
    <cellStyle name="Normal 104 9" xfId="3183"/>
    <cellStyle name="Normal 105" xfId="3184"/>
    <cellStyle name="Normal 105 2" xfId="3185"/>
    <cellStyle name="Normal 105 2 2" xfId="3186"/>
    <cellStyle name="Normal 105 2 2 2" xfId="3187"/>
    <cellStyle name="Normal 105 2 3" xfId="3188"/>
    <cellStyle name="Normal 105 3" xfId="3189"/>
    <cellStyle name="Normal 105 3 2" xfId="3190"/>
    <cellStyle name="Normal 105 4" xfId="3191"/>
    <cellStyle name="Normal 106" xfId="3192"/>
    <cellStyle name="Normal 106 10" xfId="3193"/>
    <cellStyle name="Normal 106 10 2" xfId="3194"/>
    <cellStyle name="Normal 106 10 3" xfId="3195"/>
    <cellStyle name="Normal 106 11" xfId="3196"/>
    <cellStyle name="Normal 106 2" xfId="3197"/>
    <cellStyle name="Normal 106 2 2" xfId="3198"/>
    <cellStyle name="Normal 106 2 2 2" xfId="3199"/>
    <cellStyle name="Normal 106 2 3" xfId="3200"/>
    <cellStyle name="Normal 106 3" xfId="3201"/>
    <cellStyle name="Normal 106 3 2" xfId="3202"/>
    <cellStyle name="Normal 106 4" xfId="3203"/>
    <cellStyle name="Normal 106 4 2" xfId="3204"/>
    <cellStyle name="Normal 106 4 2 2" xfId="3205"/>
    <cellStyle name="Normal 106 4 2 3" xfId="3206"/>
    <cellStyle name="Normal 106 5" xfId="3207"/>
    <cellStyle name="Normal 106 6" xfId="3208"/>
    <cellStyle name="Normal 106 7" xfId="3209"/>
    <cellStyle name="Normal 106 8" xfId="3210"/>
    <cellStyle name="Normal 106 9" xfId="3211"/>
    <cellStyle name="Normal 107" xfId="3212"/>
    <cellStyle name="Normal 107 10" xfId="3213"/>
    <cellStyle name="Normal 107 10 2" xfId="3214"/>
    <cellStyle name="Normal 107 10 3" xfId="3215"/>
    <cellStyle name="Normal 107 11" xfId="3216"/>
    <cellStyle name="Normal 107 2" xfId="3217"/>
    <cellStyle name="Normal 107 2 2" xfId="3218"/>
    <cellStyle name="Normal 107 2 2 2" xfId="3219"/>
    <cellStyle name="Normal 107 2 3" xfId="3220"/>
    <cellStyle name="Normal 107 3" xfId="3221"/>
    <cellStyle name="Normal 107 3 2" xfId="3222"/>
    <cellStyle name="Normal 107 4" xfId="3223"/>
    <cellStyle name="Normal 107 4 2" xfId="3224"/>
    <cellStyle name="Normal 107 4 2 2" xfId="3225"/>
    <cellStyle name="Normal 107 4 2 3" xfId="3226"/>
    <cellStyle name="Normal 107 5" xfId="3227"/>
    <cellStyle name="Normal 107 6" xfId="3228"/>
    <cellStyle name="Normal 107 7" xfId="3229"/>
    <cellStyle name="Normal 107 8" xfId="3230"/>
    <cellStyle name="Normal 107 9" xfId="3231"/>
    <cellStyle name="Normal 108" xfId="3232"/>
    <cellStyle name="Normal 108 10" xfId="3233"/>
    <cellStyle name="Normal 108 10 2" xfId="3234"/>
    <cellStyle name="Normal 108 10 3" xfId="3235"/>
    <cellStyle name="Normal 108 11" xfId="3236"/>
    <cellStyle name="Normal 108 2" xfId="3237"/>
    <cellStyle name="Normal 108 2 2" xfId="3238"/>
    <cellStyle name="Normal 108 2 2 2" xfId="3239"/>
    <cellStyle name="Normal 108 2 3" xfId="3240"/>
    <cellStyle name="Normal 108 3" xfId="3241"/>
    <cellStyle name="Normal 108 3 2" xfId="3242"/>
    <cellStyle name="Normal 108 4" xfId="3243"/>
    <cellStyle name="Normal 108 4 2" xfId="3244"/>
    <cellStyle name="Normal 108 4 2 2" xfId="3245"/>
    <cellStyle name="Normal 108 4 2 3" xfId="3246"/>
    <cellStyle name="Normal 108 5" xfId="3247"/>
    <cellStyle name="Normal 108 6" xfId="3248"/>
    <cellStyle name="Normal 108 7" xfId="3249"/>
    <cellStyle name="Normal 108 8" xfId="3250"/>
    <cellStyle name="Normal 108 9" xfId="3251"/>
    <cellStyle name="Normal 109" xfId="3252"/>
    <cellStyle name="Normal 109 10" xfId="3253"/>
    <cellStyle name="Normal 109 10 2" xfId="3254"/>
    <cellStyle name="Normal 109 10 3" xfId="3255"/>
    <cellStyle name="Normal 109 11" xfId="3256"/>
    <cellStyle name="Normal 109 2" xfId="3257"/>
    <cellStyle name="Normal 109 2 2" xfId="3258"/>
    <cellStyle name="Normal 109 2 2 2" xfId="3259"/>
    <cellStyle name="Normal 109 2 3" xfId="3260"/>
    <cellStyle name="Normal 109 3" xfId="3261"/>
    <cellStyle name="Normal 109 3 2" xfId="3262"/>
    <cellStyle name="Normal 109 4" xfId="3263"/>
    <cellStyle name="Normal 109 4 2" xfId="3264"/>
    <cellStyle name="Normal 109 4 2 2" xfId="3265"/>
    <cellStyle name="Normal 109 4 2 3" xfId="3266"/>
    <cellStyle name="Normal 109 5" xfId="3267"/>
    <cellStyle name="Normal 109 6" xfId="3268"/>
    <cellStyle name="Normal 109 7" xfId="3269"/>
    <cellStyle name="Normal 109 8" xfId="3270"/>
    <cellStyle name="Normal 109 9" xfId="3271"/>
    <cellStyle name="Normal 11" xfId="3272"/>
    <cellStyle name="Normal 11 2" xfId="3273"/>
    <cellStyle name="Normal 11 3" xfId="3274"/>
    <cellStyle name="Normal 11 4" xfId="3275"/>
    <cellStyle name="Normal 110" xfId="3276"/>
    <cellStyle name="Normal 110 10" xfId="3277"/>
    <cellStyle name="Normal 110 10 2" xfId="3278"/>
    <cellStyle name="Normal 110 10 3" xfId="3279"/>
    <cellStyle name="Normal 110 11" xfId="3280"/>
    <cellStyle name="Normal 110 2" xfId="3281"/>
    <cellStyle name="Normal 110 2 2" xfId="3282"/>
    <cellStyle name="Normal 110 2 2 2" xfId="3283"/>
    <cellStyle name="Normal 110 2 3" xfId="3284"/>
    <cellStyle name="Normal 110 3" xfId="3285"/>
    <cellStyle name="Normal 110 3 2" xfId="3286"/>
    <cellStyle name="Normal 110 4" xfId="3287"/>
    <cellStyle name="Normal 110 4 2" xfId="3288"/>
    <cellStyle name="Normal 110 4 2 2" xfId="3289"/>
    <cellStyle name="Normal 110 4 2 3" xfId="3290"/>
    <cellStyle name="Normal 110 5" xfId="3291"/>
    <cellStyle name="Normal 110 6" xfId="3292"/>
    <cellStyle name="Normal 110 7" xfId="3293"/>
    <cellStyle name="Normal 110 8" xfId="3294"/>
    <cellStyle name="Normal 110 9" xfId="3295"/>
    <cellStyle name="Normal 111" xfId="3296"/>
    <cellStyle name="Normal 111 10" xfId="3297"/>
    <cellStyle name="Normal 111 10 2" xfId="3298"/>
    <cellStyle name="Normal 111 10 3" xfId="3299"/>
    <cellStyle name="Normal 111 11" xfId="3300"/>
    <cellStyle name="Normal 111 2" xfId="3301"/>
    <cellStyle name="Normal 111 2 2" xfId="3302"/>
    <cellStyle name="Normal 111 3" xfId="3303"/>
    <cellStyle name="Normal 111 4" xfId="3304"/>
    <cellStyle name="Normal 111 4 2" xfId="3305"/>
    <cellStyle name="Normal 111 4 2 2" xfId="3306"/>
    <cellStyle name="Normal 111 4 2 3" xfId="3307"/>
    <cellStyle name="Normal 111 5" xfId="3308"/>
    <cellStyle name="Normal 111 6" xfId="3309"/>
    <cellStyle name="Normal 111 7" xfId="3310"/>
    <cellStyle name="Normal 111 8" xfId="3311"/>
    <cellStyle name="Normal 111 9" xfId="3312"/>
    <cellStyle name="Normal 112" xfId="3313"/>
    <cellStyle name="Normal 112 10" xfId="3314"/>
    <cellStyle name="Normal 112 10 2" xfId="3315"/>
    <cellStyle name="Normal 112 10 3" xfId="3316"/>
    <cellStyle name="Normal 112 11" xfId="3317"/>
    <cellStyle name="Normal 112 2" xfId="3318"/>
    <cellStyle name="Normal 112 2 2" xfId="3319"/>
    <cellStyle name="Normal 112 3" xfId="3320"/>
    <cellStyle name="Normal 112 4" xfId="3321"/>
    <cellStyle name="Normal 112 4 2" xfId="3322"/>
    <cellStyle name="Normal 112 4 2 2" xfId="3323"/>
    <cellStyle name="Normal 112 4 2 3" xfId="3324"/>
    <cellStyle name="Normal 112 5" xfId="3325"/>
    <cellStyle name="Normal 112 6" xfId="3326"/>
    <cellStyle name="Normal 112 7" xfId="3327"/>
    <cellStyle name="Normal 112 8" xfId="3328"/>
    <cellStyle name="Normal 112 9" xfId="3329"/>
    <cellStyle name="Normal 113" xfId="3330"/>
    <cellStyle name="Normal 113 10" xfId="3331"/>
    <cellStyle name="Normal 113 10 2" xfId="3332"/>
    <cellStyle name="Normal 113 10 3" xfId="3333"/>
    <cellStyle name="Normal 113 11" xfId="3334"/>
    <cellStyle name="Normal 113 2" xfId="3335"/>
    <cellStyle name="Normal 113 2 2" xfId="3336"/>
    <cellStyle name="Normal 113 3" xfId="3337"/>
    <cellStyle name="Normal 113 4" xfId="3338"/>
    <cellStyle name="Normal 113 4 2" xfId="3339"/>
    <cellStyle name="Normal 113 4 2 2" xfId="3340"/>
    <cellStyle name="Normal 113 4 2 3" xfId="3341"/>
    <cellStyle name="Normal 113 5" xfId="3342"/>
    <cellStyle name="Normal 113 6" xfId="3343"/>
    <cellStyle name="Normal 113 7" xfId="3344"/>
    <cellStyle name="Normal 113 8" xfId="3345"/>
    <cellStyle name="Normal 113 9" xfId="3346"/>
    <cellStyle name="Normal 114" xfId="3347"/>
    <cellStyle name="Normal 114 10" xfId="3348"/>
    <cellStyle name="Normal 114 10 2" xfId="3349"/>
    <cellStyle name="Normal 114 10 3" xfId="3350"/>
    <cellStyle name="Normal 114 11" xfId="3351"/>
    <cellStyle name="Normal 114 2" xfId="3352"/>
    <cellStyle name="Normal 114 2 2" xfId="3353"/>
    <cellStyle name="Normal 114 3" xfId="3354"/>
    <cellStyle name="Normal 114 4" xfId="3355"/>
    <cellStyle name="Normal 114 4 2" xfId="3356"/>
    <cellStyle name="Normal 114 4 2 2" xfId="3357"/>
    <cellStyle name="Normal 114 4 2 3" xfId="3358"/>
    <cellStyle name="Normal 114 5" xfId="3359"/>
    <cellStyle name="Normal 114 6" xfId="3360"/>
    <cellStyle name="Normal 114 7" xfId="3361"/>
    <cellStyle name="Normal 114 8" xfId="3362"/>
    <cellStyle name="Normal 114 9" xfId="3363"/>
    <cellStyle name="Normal 115" xfId="3364"/>
    <cellStyle name="Normal 115 10" xfId="3365"/>
    <cellStyle name="Normal 115 10 2" xfId="3366"/>
    <cellStyle name="Normal 115 10 3" xfId="3367"/>
    <cellStyle name="Normal 115 11" xfId="3368"/>
    <cellStyle name="Normal 115 2" xfId="3369"/>
    <cellStyle name="Normal 115 2 2" xfId="3370"/>
    <cellStyle name="Normal 115 3" xfId="3371"/>
    <cellStyle name="Normal 115 4" xfId="3372"/>
    <cellStyle name="Normal 115 4 2" xfId="3373"/>
    <cellStyle name="Normal 115 4 2 2" xfId="3374"/>
    <cellStyle name="Normal 115 4 2 3" xfId="3375"/>
    <cellStyle name="Normal 115 5" xfId="3376"/>
    <cellStyle name="Normal 115 6" xfId="3377"/>
    <cellStyle name="Normal 115 7" xfId="3378"/>
    <cellStyle name="Normal 115 8" xfId="3379"/>
    <cellStyle name="Normal 115 9" xfId="3380"/>
    <cellStyle name="Normal 116" xfId="3381"/>
    <cellStyle name="Normal 116 10" xfId="3382"/>
    <cellStyle name="Normal 116 10 2" xfId="3383"/>
    <cellStyle name="Normal 116 10 3" xfId="3384"/>
    <cellStyle name="Normal 116 11" xfId="3385"/>
    <cellStyle name="Normal 116 2" xfId="3386"/>
    <cellStyle name="Normal 116 2 2" xfId="3387"/>
    <cellStyle name="Normal 116 3" xfId="3388"/>
    <cellStyle name="Normal 116 4" xfId="3389"/>
    <cellStyle name="Normal 116 4 2" xfId="3390"/>
    <cellStyle name="Normal 116 4 2 2" xfId="3391"/>
    <cellStyle name="Normal 116 4 2 3" xfId="3392"/>
    <cellStyle name="Normal 116 5" xfId="3393"/>
    <cellStyle name="Normal 116 6" xfId="3394"/>
    <cellStyle name="Normal 116 7" xfId="3395"/>
    <cellStyle name="Normal 116 8" xfId="3396"/>
    <cellStyle name="Normal 116 9" xfId="3397"/>
    <cellStyle name="Normal 117" xfId="3398"/>
    <cellStyle name="Normal 117 2" xfId="3399"/>
    <cellStyle name="Normal 117 2 2" xfId="3400"/>
    <cellStyle name="Normal 117 3" xfId="3401"/>
    <cellStyle name="Normal 117 4" xfId="3402"/>
    <cellStyle name="Normal 118" xfId="3403"/>
    <cellStyle name="Normal 118 10" xfId="3404"/>
    <cellStyle name="Normal 118 10 2" xfId="3405"/>
    <cellStyle name="Normal 118 10 3" xfId="3406"/>
    <cellStyle name="Normal 118 11" xfId="3407"/>
    <cellStyle name="Normal 118 2" xfId="3408"/>
    <cellStyle name="Normal 118 2 2" xfId="3409"/>
    <cellStyle name="Normal 118 3" xfId="3410"/>
    <cellStyle name="Normal 118 4" xfId="3411"/>
    <cellStyle name="Normal 118 4 2" xfId="3412"/>
    <cellStyle name="Normal 118 4 2 2" xfId="3413"/>
    <cellStyle name="Normal 118 4 2 3" xfId="3414"/>
    <cellStyle name="Normal 118 5" xfId="3415"/>
    <cellStyle name="Normal 118 6" xfId="3416"/>
    <cellStyle name="Normal 118 7" xfId="3417"/>
    <cellStyle name="Normal 118 8" xfId="3418"/>
    <cellStyle name="Normal 118 9" xfId="3419"/>
    <cellStyle name="Normal 119" xfId="3420"/>
    <cellStyle name="Normal 119 10" xfId="3421"/>
    <cellStyle name="Normal 119 2" xfId="3422"/>
    <cellStyle name="Normal 119 2 2" xfId="3423"/>
    <cellStyle name="Normal 119 3" xfId="3424"/>
    <cellStyle name="Normal 119 3 2" xfId="3425"/>
    <cellStyle name="Normal 119 3 2 2" xfId="3426"/>
    <cellStyle name="Normal 119 3 2 3" xfId="3427"/>
    <cellStyle name="Normal 119 4" xfId="3428"/>
    <cellStyle name="Normal 119 5" xfId="3429"/>
    <cellStyle name="Normal 119 6" xfId="3430"/>
    <cellStyle name="Normal 119 7" xfId="3431"/>
    <cellStyle name="Normal 119 8" xfId="3432"/>
    <cellStyle name="Normal 119 9" xfId="3433"/>
    <cellStyle name="Normal 119 9 2" xfId="3434"/>
    <cellStyle name="Normal 119 9 3" xfId="3435"/>
    <cellStyle name="Normal 12" xfId="3436"/>
    <cellStyle name="Normal 12 2" xfId="3437"/>
    <cellStyle name="Normal 12 2 2" xfId="3438"/>
    <cellStyle name="Normal 12 2 3" xfId="3439"/>
    <cellStyle name="Normal 12 3" xfId="3440"/>
    <cellStyle name="Normal 12 4" xfId="3441"/>
    <cellStyle name="Normal 12 5" xfId="3442"/>
    <cellStyle name="Normal 12 5 2" xfId="3443"/>
    <cellStyle name="Normal 12_NCNC Report v1.3" xfId="3444"/>
    <cellStyle name="Normal 120" xfId="3445"/>
    <cellStyle name="Normal 120 10" xfId="3446"/>
    <cellStyle name="Normal 120 2" xfId="3447"/>
    <cellStyle name="Normal 120 2 2" xfId="3448"/>
    <cellStyle name="Normal 120 3" xfId="3449"/>
    <cellStyle name="Normal 120 3 2" xfId="3450"/>
    <cellStyle name="Normal 120 3 2 2" xfId="3451"/>
    <cellStyle name="Normal 120 3 2 3" xfId="3452"/>
    <cellStyle name="Normal 120 4" xfId="3453"/>
    <cellStyle name="Normal 120 5" xfId="3454"/>
    <cellStyle name="Normal 120 6" xfId="3455"/>
    <cellStyle name="Normal 120 7" xfId="3456"/>
    <cellStyle name="Normal 120 8" xfId="3457"/>
    <cellStyle name="Normal 120 9" xfId="3458"/>
    <cellStyle name="Normal 120 9 2" xfId="3459"/>
    <cellStyle name="Normal 120 9 3" xfId="3460"/>
    <cellStyle name="Normal 121" xfId="3461"/>
    <cellStyle name="Normal 121 10" xfId="3462"/>
    <cellStyle name="Normal 121 2" xfId="3463"/>
    <cellStyle name="Normal 121 2 2" xfId="3464"/>
    <cellStyle name="Normal 121 3" xfId="3465"/>
    <cellStyle name="Normal 121 3 2" xfId="3466"/>
    <cellStyle name="Normal 121 3 2 2" xfId="3467"/>
    <cellStyle name="Normal 121 3 2 3" xfId="3468"/>
    <cellStyle name="Normal 121 4" xfId="3469"/>
    <cellStyle name="Normal 121 5" xfId="3470"/>
    <cellStyle name="Normal 121 6" xfId="3471"/>
    <cellStyle name="Normal 121 7" xfId="3472"/>
    <cellStyle name="Normal 121 8" xfId="3473"/>
    <cellStyle name="Normal 121 9" xfId="3474"/>
    <cellStyle name="Normal 121 9 2" xfId="3475"/>
    <cellStyle name="Normal 121 9 3" xfId="3476"/>
    <cellStyle name="Normal 122" xfId="3477"/>
    <cellStyle name="Normal 122 2" xfId="3478"/>
    <cellStyle name="Normal 122 2 2" xfId="3479"/>
    <cellStyle name="Normal 122 3" xfId="3480"/>
    <cellStyle name="Normal 123" xfId="3481"/>
    <cellStyle name="Normal 123 10" xfId="3482"/>
    <cellStyle name="Normal 123 2" xfId="3483"/>
    <cellStyle name="Normal 123 2 2" xfId="3484"/>
    <cellStyle name="Normal 123 2 2 2" xfId="3485"/>
    <cellStyle name="Normal 123 2 3" xfId="3486"/>
    <cellStyle name="Normal 123 3" xfId="3487"/>
    <cellStyle name="Normal 123 3 2" xfId="3488"/>
    <cellStyle name="Normal 123 3 2 2" xfId="3489"/>
    <cellStyle name="Normal 123 3 2 3" xfId="3490"/>
    <cellStyle name="Normal 123 3 3" xfId="3491"/>
    <cellStyle name="Normal 123 4" xfId="3492"/>
    <cellStyle name="Normal 123 5" xfId="3493"/>
    <cellStyle name="Normal 123 6" xfId="3494"/>
    <cellStyle name="Normal 123 7" xfId="3495"/>
    <cellStyle name="Normal 123 8" xfId="3496"/>
    <cellStyle name="Normal 123 9" xfId="3497"/>
    <cellStyle name="Normal 123 9 2" xfId="3498"/>
    <cellStyle name="Normal 123 9 3" xfId="3499"/>
    <cellStyle name="Normal 124" xfId="3500"/>
    <cellStyle name="Normal 124 10" xfId="3501"/>
    <cellStyle name="Normal 124 2" xfId="3502"/>
    <cellStyle name="Normal 124 2 2" xfId="3503"/>
    <cellStyle name="Normal 124 2 2 2" xfId="3504"/>
    <cellStyle name="Normal 124 2 3" xfId="3505"/>
    <cellStyle name="Normal 124 3" xfId="3506"/>
    <cellStyle name="Normal 124 3 2" xfId="3507"/>
    <cellStyle name="Normal 124 3 2 2" xfId="3508"/>
    <cellStyle name="Normal 124 3 2 3" xfId="3509"/>
    <cellStyle name="Normal 124 3 3" xfId="3510"/>
    <cellStyle name="Normal 124 4" xfId="3511"/>
    <cellStyle name="Normal 124 5" xfId="3512"/>
    <cellStyle name="Normal 124 6" xfId="3513"/>
    <cellStyle name="Normal 124 7" xfId="3514"/>
    <cellStyle name="Normal 124 8" xfId="3515"/>
    <cellStyle name="Normal 124 9" xfId="3516"/>
    <cellStyle name="Normal 124 9 2" xfId="3517"/>
    <cellStyle name="Normal 124 9 3" xfId="3518"/>
    <cellStyle name="Normal 125" xfId="3519"/>
    <cellStyle name="Normal 125 2" xfId="3520"/>
    <cellStyle name="Normal 125 2 2" xfId="3521"/>
    <cellStyle name="Normal 125 2 2 2" xfId="3522"/>
    <cellStyle name="Normal 125 2 3" xfId="3523"/>
    <cellStyle name="Normal 125 3" xfId="3524"/>
    <cellStyle name="Normal 125 3 2" xfId="3525"/>
    <cellStyle name="Normal 125 3 2 2" xfId="3526"/>
    <cellStyle name="Normal 125 3 2 3" xfId="3527"/>
    <cellStyle name="Normal 125 3 3" xfId="3528"/>
    <cellStyle name="Normal 125 4" xfId="3529"/>
    <cellStyle name="Normal 125 5" xfId="3530"/>
    <cellStyle name="Normal 125 6" xfId="3531"/>
    <cellStyle name="Normal 125 7" xfId="3532"/>
    <cellStyle name="Normal 125 8" xfId="3533"/>
    <cellStyle name="Normal 125 8 2" xfId="3534"/>
    <cellStyle name="Normal 125 8 3" xfId="3535"/>
    <cellStyle name="Normal 125 9" xfId="3536"/>
    <cellStyle name="Normal 126" xfId="3537"/>
    <cellStyle name="Normal 126 2" xfId="3538"/>
    <cellStyle name="Normal 126 2 2" xfId="3539"/>
    <cellStyle name="Normal 126 2 2 2" xfId="3540"/>
    <cellStyle name="Normal 126 2 3" xfId="3541"/>
    <cellStyle name="Normal 126 3" xfId="3542"/>
    <cellStyle name="Normal 126 3 2" xfId="3543"/>
    <cellStyle name="Normal 126 3 2 2" xfId="3544"/>
    <cellStyle name="Normal 126 3 2 3" xfId="3545"/>
    <cellStyle name="Normal 126 3 3" xfId="3546"/>
    <cellStyle name="Normal 126 4" xfId="3547"/>
    <cellStyle name="Normal 126 5" xfId="3548"/>
    <cellStyle name="Normal 126 6" xfId="3549"/>
    <cellStyle name="Normal 126 7" xfId="3550"/>
    <cellStyle name="Normal 126 8" xfId="3551"/>
    <cellStyle name="Normal 126 8 2" xfId="3552"/>
    <cellStyle name="Normal 126 8 3" xfId="3553"/>
    <cellStyle name="Normal 126 9" xfId="3554"/>
    <cellStyle name="Normal 127" xfId="3555"/>
    <cellStyle name="Normal 127 2" xfId="3556"/>
    <cellStyle name="Normal 127 2 2" xfId="3557"/>
    <cellStyle name="Normal 127 2 2 2" xfId="3558"/>
    <cellStyle name="Normal 127 2 3" xfId="3559"/>
    <cellStyle name="Normal 127 3" xfId="3560"/>
    <cellStyle name="Normal 127 3 2" xfId="3561"/>
    <cellStyle name="Normal 127 3 2 2" xfId="3562"/>
    <cellStyle name="Normal 127 3 2 3" xfId="3563"/>
    <cellStyle name="Normal 127 3 3" xfId="3564"/>
    <cellStyle name="Normal 127 4" xfId="3565"/>
    <cellStyle name="Normal 127 5" xfId="3566"/>
    <cellStyle name="Normal 127 6" xfId="3567"/>
    <cellStyle name="Normal 127 7" xfId="3568"/>
    <cellStyle name="Normal 127 8" xfId="3569"/>
    <cellStyle name="Normal 127 8 2" xfId="3570"/>
    <cellStyle name="Normal 127 8 3" xfId="3571"/>
    <cellStyle name="Normal 127 9" xfId="3572"/>
    <cellStyle name="Normal 128" xfId="3573"/>
    <cellStyle name="Normal 128 2" xfId="3574"/>
    <cellStyle name="Normal 128 2 2" xfId="3575"/>
    <cellStyle name="Normal 128 2 2 2" xfId="3576"/>
    <cellStyle name="Normal 128 2 3" xfId="3577"/>
    <cellStyle name="Normal 128 3" xfId="3578"/>
    <cellStyle name="Normal 128 3 2" xfId="3579"/>
    <cellStyle name="Normal 128 3 2 2" xfId="3580"/>
    <cellStyle name="Normal 128 3 2 3" xfId="3581"/>
    <cellStyle name="Normal 128 3 3" xfId="3582"/>
    <cellStyle name="Normal 128 4" xfId="3583"/>
    <cellStyle name="Normal 128 5" xfId="3584"/>
    <cellStyle name="Normal 128 6" xfId="3585"/>
    <cellStyle name="Normal 128 7" xfId="3586"/>
    <cellStyle name="Normal 128 8" xfId="3587"/>
    <cellStyle name="Normal 128 8 2" xfId="3588"/>
    <cellStyle name="Normal 128 8 3" xfId="3589"/>
    <cellStyle name="Normal 128 9" xfId="3590"/>
    <cellStyle name="Normal 129" xfId="3591"/>
    <cellStyle name="Normal 129 2" xfId="3592"/>
    <cellStyle name="Normal 129 3" xfId="3593"/>
    <cellStyle name="Normal 129 3 2" xfId="3594"/>
    <cellStyle name="Normal 129 3 2 2" xfId="3595"/>
    <cellStyle name="Normal 129 3 2 3" xfId="3596"/>
    <cellStyle name="Normal 129 4" xfId="3597"/>
    <cellStyle name="Normal 129 5" xfId="3598"/>
    <cellStyle name="Normal 129 6" xfId="3599"/>
    <cellStyle name="Normal 129 7" xfId="3600"/>
    <cellStyle name="Normal 129 8" xfId="3601"/>
    <cellStyle name="Normal 129 8 2" xfId="3602"/>
    <cellStyle name="Normal 129 8 3" xfId="3603"/>
    <cellStyle name="Normal 129 9" xfId="3604"/>
    <cellStyle name="Normal 13" xfId="3605"/>
    <cellStyle name="Normal 13 2" xfId="3606"/>
    <cellStyle name="Normal 13 3" xfId="3607"/>
    <cellStyle name="Normal 13 4" xfId="3608"/>
    <cellStyle name="Normal 13_Traineeship Mock MI Tables V11" xfId="3609"/>
    <cellStyle name="Normal 130" xfId="3610"/>
    <cellStyle name="Normal 130 2" xfId="3611"/>
    <cellStyle name="Normal 130 3" xfId="3612"/>
    <cellStyle name="Normal 130 3 2" xfId="3613"/>
    <cellStyle name="Normal 130 3 2 2" xfId="3614"/>
    <cellStyle name="Normal 130 3 2 3" xfId="3615"/>
    <cellStyle name="Normal 130 4" xfId="3616"/>
    <cellStyle name="Normal 130 5" xfId="3617"/>
    <cellStyle name="Normal 130 6" xfId="3618"/>
    <cellStyle name="Normal 130 7" xfId="3619"/>
    <cellStyle name="Normal 130 8" xfId="3620"/>
    <cellStyle name="Normal 130 8 2" xfId="3621"/>
    <cellStyle name="Normal 130 8 3" xfId="3622"/>
    <cellStyle name="Normal 130 9" xfId="3623"/>
    <cellStyle name="Normal 131" xfId="3624"/>
    <cellStyle name="Normal 131 2" xfId="3625"/>
    <cellStyle name="Normal 131 3" xfId="3626"/>
    <cellStyle name="Normal 131 3 2" xfId="3627"/>
    <cellStyle name="Normal 131 3 2 2" xfId="3628"/>
    <cellStyle name="Normal 131 3 2 3" xfId="3629"/>
    <cellStyle name="Normal 131 4" xfId="3630"/>
    <cellStyle name="Normal 131 5" xfId="3631"/>
    <cellStyle name="Normal 131 6" xfId="3632"/>
    <cellStyle name="Normal 131 7" xfId="3633"/>
    <cellStyle name="Normal 131 8" xfId="3634"/>
    <cellStyle name="Normal 131 8 2" xfId="3635"/>
    <cellStyle name="Normal 131 8 3" xfId="3636"/>
    <cellStyle name="Normal 131 9" xfId="3637"/>
    <cellStyle name="Normal 132" xfId="3638"/>
    <cellStyle name="Normal 132 2" xfId="3639"/>
    <cellStyle name="Normal 132 3" xfId="3640"/>
    <cellStyle name="Normal 132 3 2" xfId="3641"/>
    <cellStyle name="Normal 132 3 2 2" xfId="3642"/>
    <cellStyle name="Normal 132 3 2 3" xfId="3643"/>
    <cellStyle name="Normal 132 4" xfId="3644"/>
    <cellStyle name="Normal 132 5" xfId="3645"/>
    <cellStyle name="Normal 132 6" xfId="3646"/>
    <cellStyle name="Normal 132 7" xfId="3647"/>
    <cellStyle name="Normal 132 8" xfId="3648"/>
    <cellStyle name="Normal 132 8 2" xfId="3649"/>
    <cellStyle name="Normal 132 8 3" xfId="3650"/>
    <cellStyle name="Normal 132 9" xfId="3651"/>
    <cellStyle name="Normal 133" xfId="3652"/>
    <cellStyle name="Normal 133 2" xfId="3653"/>
    <cellStyle name="Normal 133 3" xfId="3654"/>
    <cellStyle name="Normal 133 3 2" xfId="3655"/>
    <cellStyle name="Normal 133 4" xfId="3656"/>
    <cellStyle name="Normal 133 4 2" xfId="3657"/>
    <cellStyle name="Normal 133 4 3" xfId="3658"/>
    <cellStyle name="Normal 133 4 3 2" xfId="3659"/>
    <cellStyle name="Normal 133 5" xfId="3660"/>
    <cellStyle name="Normal 134" xfId="3661"/>
    <cellStyle name="Normal 134 2" xfId="3662"/>
    <cellStyle name="Normal 134 3" xfId="3663"/>
    <cellStyle name="Normal 134 3 2" xfId="3664"/>
    <cellStyle name="Normal 134 4" xfId="3665"/>
    <cellStyle name="Normal 134 4 2" xfId="3666"/>
    <cellStyle name="Normal 134 4 3" xfId="3667"/>
    <cellStyle name="Normal 134 4 3 2" xfId="3668"/>
    <cellStyle name="Normal 134 5" xfId="3669"/>
    <cellStyle name="Normal 135" xfId="3670"/>
    <cellStyle name="Normal 135 2" xfId="3671"/>
    <cellStyle name="Normal 135 3" xfId="3672"/>
    <cellStyle name="Normal 135 3 2" xfId="3673"/>
    <cellStyle name="Normal 135 4" xfId="3674"/>
    <cellStyle name="Normal 135 4 2" xfId="3675"/>
    <cellStyle name="Normal 135 4 3" xfId="3676"/>
    <cellStyle name="Normal 135 4 3 2" xfId="3677"/>
    <cellStyle name="Normal 135 5" xfId="3678"/>
    <cellStyle name="Normal 136" xfId="3679"/>
    <cellStyle name="Normal 136 2" xfId="3680"/>
    <cellStyle name="Normal 136 3" xfId="3681"/>
    <cellStyle name="Normal 136 3 2" xfId="3682"/>
    <cellStyle name="Normal 136 4" xfId="3683"/>
    <cellStyle name="Normal 136 4 2" xfId="3684"/>
    <cellStyle name="Normal 136 4 3" xfId="3685"/>
    <cellStyle name="Normal 136 4 3 2" xfId="3686"/>
    <cellStyle name="Normal 136 5" xfId="3687"/>
    <cellStyle name="Normal 137" xfId="3688"/>
    <cellStyle name="Normal 137 2" xfId="3689"/>
    <cellStyle name="Normal 137 3" xfId="3690"/>
    <cellStyle name="Normal 137 3 2" xfId="3691"/>
    <cellStyle name="Normal 137 4" xfId="3692"/>
    <cellStyle name="Normal 137 4 2" xfId="3693"/>
    <cellStyle name="Normal 137 4 3" xfId="3694"/>
    <cellStyle name="Normal 137 4 3 2" xfId="3695"/>
    <cellStyle name="Normal 137 5" xfId="3696"/>
    <cellStyle name="Normal 138" xfId="3697"/>
    <cellStyle name="Normal 138 2" xfId="3698"/>
    <cellStyle name="Normal 138 3" xfId="3699"/>
    <cellStyle name="Normal 138 3 2" xfId="3700"/>
    <cellStyle name="Normal 138 4" xfId="3701"/>
    <cellStyle name="Normal 138 4 2" xfId="3702"/>
    <cellStyle name="Normal 138 4 3" xfId="3703"/>
    <cellStyle name="Normal 138 4 3 2" xfId="3704"/>
    <cellStyle name="Normal 138 5" xfId="3705"/>
    <cellStyle name="Normal 139" xfId="3706"/>
    <cellStyle name="Normal 139 2" xfId="3707"/>
    <cellStyle name="Normal 139 3" xfId="3708"/>
    <cellStyle name="Normal 139 3 2" xfId="3709"/>
    <cellStyle name="Normal 139 4" xfId="3710"/>
    <cellStyle name="Normal 139 4 2" xfId="3711"/>
    <cellStyle name="Normal 139 4 3" xfId="3712"/>
    <cellStyle name="Normal 139 4 3 2" xfId="3713"/>
    <cellStyle name="Normal 139 5" xfId="3714"/>
    <cellStyle name="Normal 14" xfId="3715"/>
    <cellStyle name="Normal 14 2" xfId="3716"/>
    <cellStyle name="Normal 14 2 2" xfId="3717"/>
    <cellStyle name="Normal 14 3" xfId="3718"/>
    <cellStyle name="Normal 14 3 2" xfId="3719"/>
    <cellStyle name="Normal 14 4" xfId="3720"/>
    <cellStyle name="Normal 14 5" xfId="3721"/>
    <cellStyle name="Normal 14 6" xfId="3722"/>
    <cellStyle name="Normal 14_All_SFR_Tables_Oct13" xfId="3723"/>
    <cellStyle name="Normal 140" xfId="3724"/>
    <cellStyle name="Normal 140 2" xfId="3725"/>
    <cellStyle name="Normal 140 3" xfId="3726"/>
    <cellStyle name="Normal 140 3 2" xfId="3727"/>
    <cellStyle name="Normal 140 4" xfId="3728"/>
    <cellStyle name="Normal 140 4 2" xfId="3729"/>
    <cellStyle name="Normal 140 4 3" xfId="3730"/>
    <cellStyle name="Normal 140 4 3 2" xfId="3731"/>
    <cellStyle name="Normal 140 5" xfId="3732"/>
    <cellStyle name="Normal 141" xfId="3733"/>
    <cellStyle name="Normal 141 2" xfId="3734"/>
    <cellStyle name="Normal 141 3" xfId="3735"/>
    <cellStyle name="Normal 141 3 2" xfId="3736"/>
    <cellStyle name="Normal 141 4" xfId="3737"/>
    <cellStyle name="Normal 141 4 2" xfId="3738"/>
    <cellStyle name="Normal 141 4 3" xfId="3739"/>
    <cellStyle name="Normal 141 4 3 2" xfId="3740"/>
    <cellStyle name="Normal 141 5" xfId="3741"/>
    <cellStyle name="Normal 142" xfId="3742"/>
    <cellStyle name="Normal 142 2" xfId="3743"/>
    <cellStyle name="Normal 142 3" xfId="3744"/>
    <cellStyle name="Normal 142 3 2" xfId="3745"/>
    <cellStyle name="Normal 142 3 2 2" xfId="3746"/>
    <cellStyle name="Normal 142 3 2 3" xfId="3747"/>
    <cellStyle name="Normal 142 4" xfId="3748"/>
    <cellStyle name="Normal 142 5" xfId="3749"/>
    <cellStyle name="Normal 142 6" xfId="3750"/>
    <cellStyle name="Normal 142 7" xfId="3751"/>
    <cellStyle name="Normal 142 8" xfId="3752"/>
    <cellStyle name="Normal 142 8 2" xfId="3753"/>
    <cellStyle name="Normal 142 8 3" xfId="3754"/>
    <cellStyle name="Normal 142 9" xfId="3755"/>
    <cellStyle name="Normal 143" xfId="3756"/>
    <cellStyle name="Normal 143 2" xfId="3757"/>
    <cellStyle name="Normal 143 3" xfId="3758"/>
    <cellStyle name="Normal 143 3 2" xfId="3759"/>
    <cellStyle name="Normal 143 3 2 2" xfId="3760"/>
    <cellStyle name="Normal 143 3 2 3" xfId="3761"/>
    <cellStyle name="Normal 143 4" xfId="3762"/>
    <cellStyle name="Normal 143 5" xfId="3763"/>
    <cellStyle name="Normal 143 6" xfId="3764"/>
    <cellStyle name="Normal 143 7" xfId="3765"/>
    <cellStyle name="Normal 143 8" xfId="3766"/>
    <cellStyle name="Normal 143 8 2" xfId="3767"/>
    <cellStyle name="Normal 143 8 3" xfId="3768"/>
    <cellStyle name="Normal 143 9" xfId="3769"/>
    <cellStyle name="Normal 144" xfId="3770"/>
    <cellStyle name="Normal 144 2" xfId="3771"/>
    <cellStyle name="Normal 144 3" xfId="3772"/>
    <cellStyle name="Normal 144 3 2" xfId="3773"/>
    <cellStyle name="Normal 144 3 2 2" xfId="3774"/>
    <cellStyle name="Normal 144 3 2 3" xfId="3775"/>
    <cellStyle name="Normal 144 4" xfId="3776"/>
    <cellStyle name="Normal 144 5" xfId="3777"/>
    <cellStyle name="Normal 144 6" xfId="3778"/>
    <cellStyle name="Normal 144 7" xfId="3779"/>
    <cellStyle name="Normal 144 8" xfId="3780"/>
    <cellStyle name="Normal 144 8 2" xfId="3781"/>
    <cellStyle name="Normal 144 8 3" xfId="3782"/>
    <cellStyle name="Normal 144 9" xfId="3783"/>
    <cellStyle name="Normal 145" xfId="3784"/>
    <cellStyle name="Normal 145 2" xfId="3785"/>
    <cellStyle name="Normal 145 3" xfId="3786"/>
    <cellStyle name="Normal 145 3 2" xfId="3787"/>
    <cellStyle name="Normal 145 3 2 2" xfId="3788"/>
    <cellStyle name="Normal 145 3 2 3" xfId="3789"/>
    <cellStyle name="Normal 145 4" xfId="3790"/>
    <cellStyle name="Normal 145 5" xfId="3791"/>
    <cellStyle name="Normal 145 6" xfId="3792"/>
    <cellStyle name="Normal 145 7" xfId="3793"/>
    <cellStyle name="Normal 145 8" xfId="3794"/>
    <cellStyle name="Normal 145 8 2" xfId="3795"/>
    <cellStyle name="Normal 145 8 3" xfId="3796"/>
    <cellStyle name="Normal 145 9" xfId="3797"/>
    <cellStyle name="Normal 146" xfId="3798"/>
    <cellStyle name="Normal 146 2" xfId="3799"/>
    <cellStyle name="Normal 146 3" xfId="3800"/>
    <cellStyle name="Normal 146 3 2" xfId="3801"/>
    <cellStyle name="Normal 146 3 2 2" xfId="3802"/>
    <cellStyle name="Normal 146 3 2 3" xfId="3803"/>
    <cellStyle name="Normal 146 4" xfId="3804"/>
    <cellStyle name="Normal 146 5" xfId="3805"/>
    <cellStyle name="Normal 146 6" xfId="3806"/>
    <cellStyle name="Normal 146 7" xfId="3807"/>
    <cellStyle name="Normal 146 8" xfId="3808"/>
    <cellStyle name="Normal 146 8 2" xfId="3809"/>
    <cellStyle name="Normal 146 8 3" xfId="3810"/>
    <cellStyle name="Normal 146 9" xfId="3811"/>
    <cellStyle name="Normal 147" xfId="3812"/>
    <cellStyle name="Normal 147 2" xfId="3813"/>
    <cellStyle name="Normal 147 3" xfId="3814"/>
    <cellStyle name="Normal 147 3 2" xfId="3815"/>
    <cellStyle name="Normal 147 3 2 2" xfId="3816"/>
    <cellStyle name="Normal 147 3 2 3" xfId="3817"/>
    <cellStyle name="Normal 147 4" xfId="3818"/>
    <cellStyle name="Normal 147 5" xfId="3819"/>
    <cellStyle name="Normal 147 6" xfId="3820"/>
    <cellStyle name="Normal 147 7" xfId="3821"/>
    <cellStyle name="Normal 147 8" xfId="3822"/>
    <cellStyle name="Normal 147 8 2" xfId="3823"/>
    <cellStyle name="Normal 147 8 3" xfId="3824"/>
    <cellStyle name="Normal 147 9" xfId="3825"/>
    <cellStyle name="Normal 148" xfId="3826"/>
    <cellStyle name="Normal 148 2" xfId="3827"/>
    <cellStyle name="Normal 148 3" xfId="3828"/>
    <cellStyle name="Normal 148 3 2" xfId="3829"/>
    <cellStyle name="Normal 148 3 2 2" xfId="3830"/>
    <cellStyle name="Normal 148 3 2 3" xfId="3831"/>
    <cellStyle name="Normal 148 4" xfId="3832"/>
    <cellStyle name="Normal 148 5" xfId="3833"/>
    <cellStyle name="Normal 148 6" xfId="3834"/>
    <cellStyle name="Normal 148 7" xfId="3835"/>
    <cellStyle name="Normal 148 8" xfId="3836"/>
    <cellStyle name="Normal 148 8 2" xfId="3837"/>
    <cellStyle name="Normal 148 8 3" xfId="3838"/>
    <cellStyle name="Normal 148 9" xfId="3839"/>
    <cellStyle name="Normal 149" xfId="3840"/>
    <cellStyle name="Normal 149 2" xfId="3841"/>
    <cellStyle name="Normal 149 3" xfId="3842"/>
    <cellStyle name="Normal 149 3 2" xfId="3843"/>
    <cellStyle name="Normal 149 3 2 2" xfId="3844"/>
    <cellStyle name="Normal 149 3 2 3" xfId="3845"/>
    <cellStyle name="Normal 149 4" xfId="3846"/>
    <cellStyle name="Normal 149 5" xfId="3847"/>
    <cellStyle name="Normal 149 6" xfId="3848"/>
    <cellStyle name="Normal 149 7" xfId="3849"/>
    <cellStyle name="Normal 149 8" xfId="3850"/>
    <cellStyle name="Normal 149 8 2" xfId="3851"/>
    <cellStyle name="Normal 149 8 3" xfId="3852"/>
    <cellStyle name="Normal 149 9" xfId="3853"/>
    <cellStyle name="Normal 15" xfId="3854"/>
    <cellStyle name="Normal 15 2" xfId="3855"/>
    <cellStyle name="Normal 15 2 2" xfId="3856"/>
    <cellStyle name="Normal 15 3" xfId="3857"/>
    <cellStyle name="Normal 150" xfId="3858"/>
    <cellStyle name="Normal 150 2" xfId="3859"/>
    <cellStyle name="Normal 150 3" xfId="3860"/>
    <cellStyle name="Normal 150 3 2" xfId="3861"/>
    <cellStyle name="Normal 150 3 2 2" xfId="3862"/>
    <cellStyle name="Normal 150 3 2 3" xfId="3863"/>
    <cellStyle name="Normal 150 4" xfId="3864"/>
    <cellStyle name="Normal 150 5" xfId="3865"/>
    <cellStyle name="Normal 150 6" xfId="3866"/>
    <cellStyle name="Normal 150 7" xfId="3867"/>
    <cellStyle name="Normal 150 8" xfId="3868"/>
    <cellStyle name="Normal 150 8 2" xfId="3869"/>
    <cellStyle name="Normal 150 8 3" xfId="3870"/>
    <cellStyle name="Normal 150 9" xfId="3871"/>
    <cellStyle name="Normal 151" xfId="3872"/>
    <cellStyle name="Normal 151 2" xfId="3873"/>
    <cellStyle name="Normal 151 3" xfId="3874"/>
    <cellStyle name="Normal 151 3 2" xfId="3875"/>
    <cellStyle name="Normal 151 4" xfId="3876"/>
    <cellStyle name="Normal 151 4 2" xfId="3877"/>
    <cellStyle name="Normal 151 4 3" xfId="3878"/>
    <cellStyle name="Normal 151 4 3 2" xfId="3879"/>
    <cellStyle name="Normal 151 5" xfId="3880"/>
    <cellStyle name="Normal 152" xfId="3881"/>
    <cellStyle name="Normal 152 2" xfId="3882"/>
    <cellStyle name="Normal 152 2 2" xfId="3883"/>
    <cellStyle name="Normal 152 3" xfId="3884"/>
    <cellStyle name="Normal 152 3 2" xfId="3885"/>
    <cellStyle name="Normal 152 4" xfId="3886"/>
    <cellStyle name="Normal 152 5" xfId="3887"/>
    <cellStyle name="Normal 152 6" xfId="3888"/>
    <cellStyle name="Normal 152 6 2" xfId="3889"/>
    <cellStyle name="Normal 152 7" xfId="3890"/>
    <cellStyle name="Normal 153" xfId="3891"/>
    <cellStyle name="Normal 153 2" xfId="3892"/>
    <cellStyle name="Normal 153 2 2" xfId="3893"/>
    <cellStyle name="Normal 153 3" xfId="3894"/>
    <cellStyle name="Normal 153 4" xfId="3895"/>
    <cellStyle name="Normal 153 4 2" xfId="3896"/>
    <cellStyle name="Normal 153 5" xfId="3897"/>
    <cellStyle name="Normal 154" xfId="3898"/>
    <cellStyle name="Normal 154 2" xfId="3899"/>
    <cellStyle name="Normal 154 2 2" xfId="3900"/>
    <cellStyle name="Normal 154 3" xfId="3901"/>
    <cellStyle name="Normal 154 4" xfId="3902"/>
    <cellStyle name="Normal 154 4 2" xfId="3903"/>
    <cellStyle name="Normal 154 5" xfId="3904"/>
    <cellStyle name="Normal 155" xfId="3905"/>
    <cellStyle name="Normal 155 2" xfId="3906"/>
    <cellStyle name="Normal 155 2 2" xfId="3907"/>
    <cellStyle name="Normal 155 3" xfId="3908"/>
    <cellStyle name="Normal 155 4" xfId="3909"/>
    <cellStyle name="Normal 155 4 2" xfId="3910"/>
    <cellStyle name="Normal 155 5" xfId="3911"/>
    <cellStyle name="Normal 155 6" xfId="3912"/>
    <cellStyle name="Normal 155 6 2" xfId="3913"/>
    <cellStyle name="Normal 155 7" xfId="3914"/>
    <cellStyle name="Normal 156" xfId="3915"/>
    <cellStyle name="Normal 156 2" xfId="3916"/>
    <cellStyle name="Normal 156 2 2" xfId="3917"/>
    <cellStyle name="Normal 156 3" xfId="3918"/>
    <cellStyle name="Normal 156 3 2" xfId="3919"/>
    <cellStyle name="Normal 156 3 3" xfId="3920"/>
    <cellStyle name="Normal 156 4" xfId="3921"/>
    <cellStyle name="Normal 156 5" xfId="3922"/>
    <cellStyle name="Normal 157" xfId="3923"/>
    <cellStyle name="Normal 157 2" xfId="3924"/>
    <cellStyle name="Normal 157 2 2" xfId="3925"/>
    <cellStyle name="Normal 157 3" xfId="3926"/>
    <cellStyle name="Normal 157 4" xfId="3927"/>
    <cellStyle name="Normal 157 5" xfId="3928"/>
    <cellStyle name="Normal 157 5 2" xfId="3929"/>
    <cellStyle name="Normal 157 6" xfId="3930"/>
    <cellStyle name="Normal 158" xfId="3931"/>
    <cellStyle name="Normal 158 2" xfId="3932"/>
    <cellStyle name="Normal 158 2 2" xfId="3933"/>
    <cellStyle name="Normal 158 3" xfId="3934"/>
    <cellStyle name="Normal 158 3 2" xfId="3935"/>
    <cellStyle name="Normal 158 3 3" xfId="3936"/>
    <cellStyle name="Normal 158 4" xfId="3937"/>
    <cellStyle name="Normal 159" xfId="3938"/>
    <cellStyle name="Normal 159 2" xfId="3939"/>
    <cellStyle name="Normal 159 2 2" xfId="3940"/>
    <cellStyle name="Normal 159 3" xfId="3941"/>
    <cellStyle name="Normal 159 3 2" xfId="3942"/>
    <cellStyle name="Normal 159 3 2 2" xfId="3943"/>
    <cellStyle name="Normal 159 3 2 3" xfId="3944"/>
    <cellStyle name="Normal 159 4" xfId="3945"/>
    <cellStyle name="Normal 159 4 2" xfId="3946"/>
    <cellStyle name="Normal 159 4 3" xfId="3947"/>
    <cellStyle name="Normal 159 5" xfId="3948"/>
    <cellStyle name="Normal 16" xfId="3949"/>
    <cellStyle name="Normal 16 2" xfId="3950"/>
    <cellStyle name="Normal 16 2 2" xfId="3951"/>
    <cellStyle name="Normal 16 3" xfId="3952"/>
    <cellStyle name="Normal 160" xfId="3953"/>
    <cellStyle name="Normal 160 2" xfId="3954"/>
    <cellStyle name="Normal 160 2 2" xfId="3955"/>
    <cellStyle name="Normal 160 3" xfId="3956"/>
    <cellStyle name="Normal 160 3 2" xfId="3957"/>
    <cellStyle name="Normal 160 3 3" xfId="3958"/>
    <cellStyle name="Normal 161" xfId="3959"/>
    <cellStyle name="Normal 161 2" xfId="3960"/>
    <cellStyle name="Normal 161 2 2" xfId="3961"/>
    <cellStyle name="Normal 162" xfId="3962"/>
    <cellStyle name="Normal 162 2" xfId="3963"/>
    <cellStyle name="Normal 162 2 2" xfId="3964"/>
    <cellStyle name="Normal 163" xfId="3965"/>
    <cellStyle name="Normal 163 2" xfId="3966"/>
    <cellStyle name="Normal 163 2 2" xfId="3967"/>
    <cellStyle name="Normal 164" xfId="3968"/>
    <cellStyle name="Normal 165" xfId="3969"/>
    <cellStyle name="Normal 166" xfId="3970"/>
    <cellStyle name="Normal 167" xfId="3971"/>
    <cellStyle name="Normal 168" xfId="3972"/>
    <cellStyle name="Normal 169" xfId="3973"/>
    <cellStyle name="Normal 17" xfId="3974"/>
    <cellStyle name="Normal 17 2" xfId="3975"/>
    <cellStyle name="Normal 17 2 2" xfId="3976"/>
    <cellStyle name="Normal 17 3" xfId="3977"/>
    <cellStyle name="Normal 170" xfId="3978"/>
    <cellStyle name="Normal 171" xfId="3979"/>
    <cellStyle name="Normal 172" xfId="3980"/>
    <cellStyle name="Normal 173" xfId="3981"/>
    <cellStyle name="Normal 174" xfId="3982"/>
    <cellStyle name="Normal 175" xfId="3983"/>
    <cellStyle name="Normal 176" xfId="3984"/>
    <cellStyle name="Normal 177" xfId="3985"/>
    <cellStyle name="Normal 178" xfId="3986"/>
    <cellStyle name="Normal 179" xfId="3987"/>
    <cellStyle name="Normal 18" xfId="3988"/>
    <cellStyle name="Normal 18 2" xfId="3989"/>
    <cellStyle name="Normal 18 2 2" xfId="3990"/>
    <cellStyle name="Normal 18 3" xfId="3991"/>
    <cellStyle name="Normal 180" xfId="3992"/>
    <cellStyle name="Normal 181" xfId="3993"/>
    <cellStyle name="Normal 182" xfId="3994"/>
    <cellStyle name="Normal 183" xfId="3995"/>
    <cellStyle name="Normal 184" xfId="3996"/>
    <cellStyle name="Normal 185" xfId="3997"/>
    <cellStyle name="Normal 186" xfId="3998"/>
    <cellStyle name="Normal 187" xfId="3999"/>
    <cellStyle name="Normal 188" xfId="4000"/>
    <cellStyle name="Normal 189" xfId="4001"/>
    <cellStyle name="Normal 19" xfId="4002"/>
    <cellStyle name="Normal 19 2" xfId="4003"/>
    <cellStyle name="Normal 19 2 2" xfId="4004"/>
    <cellStyle name="Normal 19 3" xfId="4005"/>
    <cellStyle name="Normal 19 4" xfId="4006"/>
    <cellStyle name="Normal 190" xfId="4007"/>
    <cellStyle name="Normal 191" xfId="4008"/>
    <cellStyle name="Normal 192" xfId="4009"/>
    <cellStyle name="Normal 193" xfId="4010"/>
    <cellStyle name="Normal 194" xfId="4011"/>
    <cellStyle name="Normal 195" xfId="4012"/>
    <cellStyle name="Normal 196" xfId="4013"/>
    <cellStyle name="Normal 197" xfId="4014"/>
    <cellStyle name="Normal 198" xfId="4015"/>
    <cellStyle name="Normal 199" xfId="4016"/>
    <cellStyle name="Normal 2" xfId="4017"/>
    <cellStyle name="Normal 2 10" xfId="4018"/>
    <cellStyle name="Normal 2 10 2" xfId="4019"/>
    <cellStyle name="Normal 2 10 2 2" xfId="4020"/>
    <cellStyle name="Normal 2 10 2 3" xfId="4021"/>
    <cellStyle name="Normal 2 10 2 4" xfId="4022"/>
    <cellStyle name="Normal 2 10 2 5" xfId="4023"/>
    <cellStyle name="Normal 2 10 3" xfId="4024"/>
    <cellStyle name="Normal 2 10 3 2" xfId="4025"/>
    <cellStyle name="Normal 2 10 3 3" xfId="4026"/>
    <cellStyle name="Normal 2 10 4" xfId="4027"/>
    <cellStyle name="Normal 2 10 5" xfId="4028"/>
    <cellStyle name="Normal 2 10_Cover Sheet - FE and Skills" xfId="4029"/>
    <cellStyle name="Normal 2 11" xfId="4030"/>
    <cellStyle name="Normal 2 12" xfId="4031"/>
    <cellStyle name="Normal 2 12 2" xfId="4032"/>
    <cellStyle name="Normal 2 12 3" xfId="4033"/>
    <cellStyle name="Normal 2 12 3 2" xfId="4034"/>
    <cellStyle name="Normal 2 12 3 3" xfId="4035"/>
    <cellStyle name="Normal 2 12 3 3 2" xfId="4036"/>
    <cellStyle name="Normal 2 12 3 4" xfId="4037"/>
    <cellStyle name="Normal 2 12 3 4 2" xfId="4038"/>
    <cellStyle name="Normal 2 13" xfId="4039"/>
    <cellStyle name="Normal 2 13 2" xfId="4040"/>
    <cellStyle name="Normal 2 13 3" xfId="4041"/>
    <cellStyle name="Normal 2 13 4" xfId="4042"/>
    <cellStyle name="Normal 2 13 4 2" xfId="4043"/>
    <cellStyle name="Normal 2 14" xfId="4044"/>
    <cellStyle name="Normal 2 14 2" xfId="4045"/>
    <cellStyle name="Normal 2 14 3" xfId="4046"/>
    <cellStyle name="Normal 2 15" xfId="4047"/>
    <cellStyle name="Normal 2 15 2" xfId="4048"/>
    <cellStyle name="Normal 2 15 3" xfId="4049"/>
    <cellStyle name="Normal 2 16" xfId="4050"/>
    <cellStyle name="Normal 2 16 2" xfId="4051"/>
    <cellStyle name="Normal 2 16 3" xfId="4052"/>
    <cellStyle name="Normal 2 17" xfId="4053"/>
    <cellStyle name="Normal 2 17 2" xfId="4054"/>
    <cellStyle name="Normal 2 17 2 2" xfId="4055"/>
    <cellStyle name="Normal 2 17 3" xfId="4056"/>
    <cellStyle name="Normal 2 17 3 2" xfId="4057"/>
    <cellStyle name="Normal 2 17 3 2 2" xfId="4058"/>
    <cellStyle name="Normal 2 17 3 2 3" xfId="4059"/>
    <cellStyle name="Normal 2 17 4" xfId="4060"/>
    <cellStyle name="Normal 2 17 5" xfId="4061"/>
    <cellStyle name="Normal 2 17 6" xfId="4062"/>
    <cellStyle name="Normal 2 17 7" xfId="4063"/>
    <cellStyle name="Normal 2 17 8" xfId="4064"/>
    <cellStyle name="Normal 2 17 8 2" xfId="4065"/>
    <cellStyle name="Normal 2 17 8 3" xfId="4066"/>
    <cellStyle name="Normal 2 17 9" xfId="4067"/>
    <cellStyle name="Normal 2 18" xfId="4068"/>
    <cellStyle name="Normal 2 18 2" xfId="4069"/>
    <cellStyle name="Normal 2 18 3" xfId="4070"/>
    <cellStyle name="Normal 2 19" xfId="4071"/>
    <cellStyle name="Normal 2 19 2" xfId="4072"/>
    <cellStyle name="Normal 2 2" xfId="4073"/>
    <cellStyle name="Normal 2 2 10" xfId="4074"/>
    <cellStyle name="Normal 2 2 10 2" xfId="4075"/>
    <cellStyle name="Normal 2 2 10 2 2" xfId="4076"/>
    <cellStyle name="Normal 2 2 10 3" xfId="4077"/>
    <cellStyle name="Normal 2 2 11" xfId="4078"/>
    <cellStyle name="Normal 2 2 12" xfId="4079"/>
    <cellStyle name="Normal 2 2 13" xfId="4080"/>
    <cellStyle name="Normal 2 2 14" xfId="4081"/>
    <cellStyle name="Normal 2 2 14 2" xfId="4082"/>
    <cellStyle name="Normal 2 2 2" xfId="4083"/>
    <cellStyle name="Normal 2 2 2 10" xfId="4084"/>
    <cellStyle name="Normal 2 2 2 10 2" xfId="4085"/>
    <cellStyle name="Normal 2 2 2 10 3" xfId="4086"/>
    <cellStyle name="Normal 2 2 2 11" xfId="4087"/>
    <cellStyle name="Normal 2 2 2 11 2" xfId="4088"/>
    <cellStyle name="Normal 2 2 2 11 2 2" xfId="4089"/>
    <cellStyle name="Normal 2 2 2 12" xfId="4090"/>
    <cellStyle name="Normal 2 2 2 13" xfId="4091"/>
    <cellStyle name="Normal 2 2 2 13 2" xfId="4092"/>
    <cellStyle name="Normal 2 2 2 2" xfId="4093"/>
    <cellStyle name="Normal 2 2 2 2 10" xfId="4094"/>
    <cellStyle name="Normal 2 2 2 2 11" xfId="4095"/>
    <cellStyle name="Normal 2 2 2 2 2" xfId="4096"/>
    <cellStyle name="Normal 2 2 2 2 2 2" xfId="4097"/>
    <cellStyle name="Normal 2 2 2 2 2 2 2" xfId="4098"/>
    <cellStyle name="Normal 2 2 2 2 2 3" xfId="4099"/>
    <cellStyle name="Normal 2 2 2 2 2_Draft SFR tables 300113 V8" xfId="4100"/>
    <cellStyle name="Normal 2 2 2 2 3" xfId="4101"/>
    <cellStyle name="Normal 2 2 2 2 3 2" xfId="4102"/>
    <cellStyle name="Normal 2 2 2 2 4" xfId="4103"/>
    <cellStyle name="Normal 2 2 2 2 5" xfId="4104"/>
    <cellStyle name="Normal 2 2 2 2 6" xfId="4105"/>
    <cellStyle name="Normal 2 2 2 2 7" xfId="4106"/>
    <cellStyle name="Normal 2 2 2 2 8" xfId="4107"/>
    <cellStyle name="Normal 2 2 2 2 9" xfId="4108"/>
    <cellStyle name="Normal 2 2 2 2 9 2" xfId="4109"/>
    <cellStyle name="Normal 2 2 2 2_123" xfId="4110"/>
    <cellStyle name="Normal 2 2 2 3" xfId="4111"/>
    <cellStyle name="Normal 2 2 2 3 10" xfId="4112"/>
    <cellStyle name="Normal 2 2 2 3 11" xfId="4113"/>
    <cellStyle name="Normal 2 2 2 3 2" xfId="4114"/>
    <cellStyle name="Normal 2 2 2 3 2 2" xfId="4115"/>
    <cellStyle name="Normal 2 2 2 3 2 2 2" xfId="4116"/>
    <cellStyle name="Normal 2 2 2 3 2 3" xfId="4117"/>
    <cellStyle name="Normal 2 2 2 3 2_Draft SFR tables 300113 V8" xfId="4118"/>
    <cellStyle name="Normal 2 2 2 3 3" xfId="4119"/>
    <cellStyle name="Normal 2 2 2 3 3 2" xfId="4120"/>
    <cellStyle name="Normal 2 2 2 3 4" xfId="4121"/>
    <cellStyle name="Normal 2 2 2 3 5" xfId="4122"/>
    <cellStyle name="Normal 2 2 2 3 6" xfId="4123"/>
    <cellStyle name="Normal 2 2 2 3 7" xfId="4124"/>
    <cellStyle name="Normal 2 2 2 3 8" xfId="4125"/>
    <cellStyle name="Normal 2 2 2 3 9" xfId="4126"/>
    <cellStyle name="Normal 2 2 2 3 9 2" xfId="4127"/>
    <cellStyle name="Normal 2 2 2 3_123" xfId="4128"/>
    <cellStyle name="Normal 2 2 2 4" xfId="4129"/>
    <cellStyle name="Normal 2 2 2 4 2" xfId="4130"/>
    <cellStyle name="Normal 2 2 2 4 2 2" xfId="4131"/>
    <cellStyle name="Normal 2 2 2 4 2 2 2" xfId="4132"/>
    <cellStyle name="Normal 2 2 2 4 2 3" xfId="4133"/>
    <cellStyle name="Normal 2 2 2 4 2_Draft SFR tables 300113 V8" xfId="4134"/>
    <cellStyle name="Normal 2 2 2 4 3" xfId="4135"/>
    <cellStyle name="Normal 2 2 2 4 3 2" xfId="4136"/>
    <cellStyle name="Normal 2 2 2 4 4" xfId="4137"/>
    <cellStyle name="Normal 2 2 2 4_123" xfId="4138"/>
    <cellStyle name="Normal 2 2 2 5" xfId="4139"/>
    <cellStyle name="Normal 2 2 2 5 2" xfId="4140"/>
    <cellStyle name="Normal 2 2 2 5 3" xfId="4141"/>
    <cellStyle name="Normal 2 2 2 6" xfId="4142"/>
    <cellStyle name="Normal 2 2 2 7" xfId="4143"/>
    <cellStyle name="Normal 2 2 2 8" xfId="4144"/>
    <cellStyle name="Normal 2 2 2 9" xfId="4145"/>
    <cellStyle name="Normal 2 2 2 9 2" xfId="4146"/>
    <cellStyle name="Normal 2 2 2 9 3" xfId="4147"/>
    <cellStyle name="Normal 2 2 2_Analysis File Template" xfId="4148"/>
    <cellStyle name="Normal 2 2 3" xfId="4149"/>
    <cellStyle name="Normal 2 2 3 2" xfId="4150"/>
    <cellStyle name="Normal 2 2 3 3" xfId="4151"/>
    <cellStyle name="Normal 2 2 3 3 2" xfId="4152"/>
    <cellStyle name="Normal 2 2 3 4" xfId="4153"/>
    <cellStyle name="Normal 2 2 3 4 2" xfId="4154"/>
    <cellStyle name="Normal 2 2 3 5" xfId="4155"/>
    <cellStyle name="Normal 2 2 3 5 2" xfId="4156"/>
    <cellStyle name="Normal 2 2 3 5 2 2" xfId="4157"/>
    <cellStyle name="Normal 2 2 3 5 3" xfId="4158"/>
    <cellStyle name="Normal 2 2 4" xfId="4159"/>
    <cellStyle name="Normal 2 2 4 2" xfId="4160"/>
    <cellStyle name="Normal 2 2 4 2 2" xfId="4161"/>
    <cellStyle name="Normal 2 2 4 3" xfId="4162"/>
    <cellStyle name="Normal 2 2 4 3 2" xfId="4163"/>
    <cellStyle name="Normal 2 2 4 4" xfId="4164"/>
    <cellStyle name="Normal 2 2 5" xfId="4165"/>
    <cellStyle name="Normal 2 2 5 2" xfId="4166"/>
    <cellStyle name="Normal 2 2 5 2 2" xfId="4167"/>
    <cellStyle name="Normal 2 2 5 2 2 2" xfId="4168"/>
    <cellStyle name="Normal 2 2 5 2 3" xfId="4169"/>
    <cellStyle name="Normal 2 2 5 3" xfId="4170"/>
    <cellStyle name="Normal 2 2 5 3 2" xfId="4171"/>
    <cellStyle name="Normal 2 2 5 3 2 2" xfId="4172"/>
    <cellStyle name="Normal 2 2 5 3 3" xfId="4173"/>
    <cellStyle name="Normal 2 2 5 4" xfId="4174"/>
    <cellStyle name="Normal 2 2 5 4 2" xfId="4175"/>
    <cellStyle name="Normal 2 2 5 5" xfId="4176"/>
    <cellStyle name="Normal 2 2 5_Draft SFR tables 300113 V8" xfId="4177"/>
    <cellStyle name="Normal 2 2 6" xfId="4178"/>
    <cellStyle name="Normal 2 2 6 2" xfId="4179"/>
    <cellStyle name="Normal 2 2 6 2 2" xfId="4180"/>
    <cellStyle name="Normal 2 2 6 2 2 2" xfId="4181"/>
    <cellStyle name="Normal 2 2 6 2 3" xfId="4182"/>
    <cellStyle name="Normal 2 2 6 2 3 2" xfId="4183"/>
    <cellStyle name="Normal 2 2 6 2 4" xfId="4184"/>
    <cellStyle name="Normal 2 2 6 3" xfId="4185"/>
    <cellStyle name="Normal 2 2 6 3 2" xfId="4186"/>
    <cellStyle name="Normal 2 2 6 4" xfId="4187"/>
    <cellStyle name="Normal 2 2 6 4 2" xfId="4188"/>
    <cellStyle name="Normal 2 2 6 5" xfId="4189"/>
    <cellStyle name="Normal 2 2 6 5 2" xfId="4190"/>
    <cellStyle name="Normal 2 2 6 5 2 2" xfId="4191"/>
    <cellStyle name="Normal 2 2 6 5 3" xfId="4192"/>
    <cellStyle name="Normal 2 2 7" xfId="4193"/>
    <cellStyle name="Normal 2 2 7 2" xfId="4194"/>
    <cellStyle name="Normal 2 2 7 2 2" xfId="4195"/>
    <cellStyle name="Normal 2 2 7 3" xfId="4196"/>
    <cellStyle name="Normal 2 2 7 3 2" xfId="4197"/>
    <cellStyle name="Normal 2 2 8" xfId="4198"/>
    <cellStyle name="Normal 2 2 8 2" xfId="4199"/>
    <cellStyle name="Normal 2 2 8 2 2" xfId="4200"/>
    <cellStyle name="Normal 2 2 8 3" xfId="4201"/>
    <cellStyle name="Normal 2 2 8 3 2" xfId="4202"/>
    <cellStyle name="Normal 2 2 9" xfId="4203"/>
    <cellStyle name="Normal 2 2 9 2" xfId="4204"/>
    <cellStyle name="Normal 2 2 9 2 2" xfId="4205"/>
    <cellStyle name="Normal 2 2 9 3" xfId="4206"/>
    <cellStyle name="Normal 2 2 9 3 2" xfId="4207"/>
    <cellStyle name="Normal 2 2_123" xfId="4208"/>
    <cellStyle name="Normal 2 20" xfId="4209"/>
    <cellStyle name="Normal 2 20 2" xfId="4210"/>
    <cellStyle name="Normal 2 21" xfId="4211"/>
    <cellStyle name="Normal 2 21 2" xfId="4212"/>
    <cellStyle name="Normal 2 22" xfId="4213"/>
    <cellStyle name="Normal 2 22 2" xfId="4214"/>
    <cellStyle name="Normal 2 23" xfId="4215"/>
    <cellStyle name="Normal 2 23 2" xfId="4216"/>
    <cellStyle name="Normal 2 24" xfId="4217"/>
    <cellStyle name="Normal 2 24 2" xfId="4218"/>
    <cellStyle name="Normal 2 25" xfId="4219"/>
    <cellStyle name="Normal 2 25 2" xfId="4220"/>
    <cellStyle name="Normal 2 26" xfId="4221"/>
    <cellStyle name="Normal 2 26 2" xfId="4222"/>
    <cellStyle name="Normal 2 27" xfId="4223"/>
    <cellStyle name="Normal 2 27 2" xfId="4224"/>
    <cellStyle name="Normal 2 28" xfId="4225"/>
    <cellStyle name="Normal 2 28 2" xfId="4226"/>
    <cellStyle name="Normal 2 29" xfId="4227"/>
    <cellStyle name="Normal 2 29 2" xfId="4228"/>
    <cellStyle name="Normal 2 3" xfId="4229"/>
    <cellStyle name="Normal 2 3 10" xfId="4230"/>
    <cellStyle name="Normal 2 3 10 2" xfId="4231"/>
    <cellStyle name="Normal 2 3 11" xfId="4232"/>
    <cellStyle name="Normal 2 3 11 2" xfId="4233"/>
    <cellStyle name="Normal 2 3 12" xfId="4234"/>
    <cellStyle name="Normal 2 3 12 2" xfId="4235"/>
    <cellStyle name="Normal 2 3 12 2 2" xfId="4236"/>
    <cellStyle name="Normal 2 3 12 3" xfId="4237"/>
    <cellStyle name="Normal 2 3 13" xfId="4238"/>
    <cellStyle name="Normal 2 3 13 2" xfId="4239"/>
    <cellStyle name="Normal 2 3 14" xfId="4240"/>
    <cellStyle name="Normal 2 3 14 2" xfId="4241"/>
    <cellStyle name="Normal 2 3 15" xfId="4242"/>
    <cellStyle name="Normal 2 3 2" xfId="4243"/>
    <cellStyle name="Normal 2 3 2 2" xfId="4244"/>
    <cellStyle name="Normal 2 3 2 2 2" xfId="4245"/>
    <cellStyle name="Normal 2 3 2 3" xfId="4246"/>
    <cellStyle name="Normal 2 3 2 3 2" xfId="4247"/>
    <cellStyle name="Normal 2 3 2 4" xfId="4248"/>
    <cellStyle name="Normal 2 3 3" xfId="4249"/>
    <cellStyle name="Normal 2 3 3 2" xfId="4250"/>
    <cellStyle name="Normal 2 3 3 2 2" xfId="4251"/>
    <cellStyle name="Normal 2 3 3 2 2 2" xfId="4252"/>
    <cellStyle name="Normal 2 3 3 2 3" xfId="4253"/>
    <cellStyle name="Normal 2 3 3 3" xfId="4254"/>
    <cellStyle name="Normal 2 3 3 3 2" xfId="4255"/>
    <cellStyle name="Normal 2 3 3 3 2 2" xfId="4256"/>
    <cellStyle name="Normal 2 3 3 3 3" xfId="4257"/>
    <cellStyle name="Normal 2 3 3 4" xfId="4258"/>
    <cellStyle name="Normal 2 3 3 4 2" xfId="4259"/>
    <cellStyle name="Normal 2 3 3 5" xfId="4260"/>
    <cellStyle name="Normal 2 3 3_Draft SFR tables 300113 V8" xfId="4261"/>
    <cellStyle name="Normal 2 3 4" xfId="4262"/>
    <cellStyle name="Normal 2 3 4 2" xfId="4263"/>
    <cellStyle name="Normal 2 3 4 2 2" xfId="4264"/>
    <cellStyle name="Normal 2 3 4 2 2 2" xfId="4265"/>
    <cellStyle name="Normal 2 3 4 2 3" xfId="4266"/>
    <cellStyle name="Normal 2 3 4 3" xfId="4267"/>
    <cellStyle name="Normal 2 3 4 3 2" xfId="4268"/>
    <cellStyle name="Normal 2 3 4 4" xfId="4269"/>
    <cellStyle name="Normal 2 3 4 4 2" xfId="4270"/>
    <cellStyle name="Normal 2 3 4 5" xfId="4271"/>
    <cellStyle name="Normal 2 3 5" xfId="4272"/>
    <cellStyle name="Normal 2 3 5 2" xfId="4273"/>
    <cellStyle name="Normal 2 3 6" xfId="4274"/>
    <cellStyle name="Normal 2 3 6 2" xfId="4275"/>
    <cellStyle name="Normal 2 3 7" xfId="4276"/>
    <cellStyle name="Normal 2 3 7 2" xfId="4277"/>
    <cellStyle name="Normal 2 3 8" xfId="4278"/>
    <cellStyle name="Normal 2 3 8 2" xfId="4279"/>
    <cellStyle name="Normal 2 3 9" xfId="4280"/>
    <cellStyle name="Normal 2 3 9 2" xfId="4281"/>
    <cellStyle name="Normal 2 3_123" xfId="4282"/>
    <cellStyle name="Normal 2 30" xfId="4283"/>
    <cellStyle name="Normal 2 30 2" xfId="4284"/>
    <cellStyle name="Normal 2 31" xfId="4285"/>
    <cellStyle name="Normal 2 31 2" xfId="4286"/>
    <cellStyle name="Normal 2 32" xfId="4287"/>
    <cellStyle name="Normal 2 32 2" xfId="4288"/>
    <cellStyle name="Normal 2 33" xfId="4289"/>
    <cellStyle name="Normal 2 33 2" xfId="4290"/>
    <cellStyle name="Normal 2 34" xfId="4291"/>
    <cellStyle name="Normal 2 34 2" xfId="4292"/>
    <cellStyle name="Normal 2 35" xfId="4293"/>
    <cellStyle name="Normal 2 35 2" xfId="4294"/>
    <cellStyle name="Normal 2 36" xfId="4295"/>
    <cellStyle name="Normal 2 36 2" xfId="4296"/>
    <cellStyle name="Normal 2 37" xfId="4297"/>
    <cellStyle name="Normal 2 37 2" xfId="4298"/>
    <cellStyle name="Normal 2 38" xfId="4299"/>
    <cellStyle name="Normal 2 38 2" xfId="4300"/>
    <cellStyle name="Normal 2 39" xfId="4301"/>
    <cellStyle name="Normal 2 39 2" xfId="4302"/>
    <cellStyle name="Normal 2 39 2 2" xfId="4303"/>
    <cellStyle name="Normal 2 39 3" xfId="4304"/>
    <cellStyle name="Normal 2 4" xfId="4305"/>
    <cellStyle name="Normal 2 4 10" xfId="4306"/>
    <cellStyle name="Normal 2 4 10 2" xfId="4307"/>
    <cellStyle name="Normal 2 4 11" xfId="4308"/>
    <cellStyle name="Normal 2 4 11 2" xfId="4309"/>
    <cellStyle name="Normal 2 4 11 2 2" xfId="4310"/>
    <cellStyle name="Normal 2 4 11 3" xfId="4311"/>
    <cellStyle name="Normal 2 4 12" xfId="4312"/>
    <cellStyle name="Normal 2 4 13" xfId="4313"/>
    <cellStyle name="Normal 2 4 13 2" xfId="4314"/>
    <cellStyle name="Normal 2 4 2" xfId="4315"/>
    <cellStyle name="Normal 2 4 2 2" xfId="4316"/>
    <cellStyle name="Normal 2 4 2 2 2" xfId="4317"/>
    <cellStyle name="Normal 2 4 2 2 2 2" xfId="4318"/>
    <cellStyle name="Normal 2 4 2 2 3" xfId="4319"/>
    <cellStyle name="Normal 2 4 2 3" xfId="4320"/>
    <cellStyle name="Normal 2 4 2 3 2" xfId="4321"/>
    <cellStyle name="Normal 2 4 2 3 2 2" xfId="4322"/>
    <cellStyle name="Normal 2 4 2 3 3" xfId="4323"/>
    <cellStyle name="Normal 2 4 2 4" xfId="4324"/>
    <cellStyle name="Normal 2 4 2_Draft SFR tables 300113 V8" xfId="4325"/>
    <cellStyle name="Normal 2 4 3" xfId="4326"/>
    <cellStyle name="Normal 2 4 3 2" xfId="4327"/>
    <cellStyle name="Normal 2 4 3 2 2" xfId="4328"/>
    <cellStyle name="Normal 2 4 3 3" xfId="4329"/>
    <cellStyle name="Normal 2 4 3 3 2" xfId="4330"/>
    <cellStyle name="Normal 2 4 3 4" xfId="4331"/>
    <cellStyle name="Normal 2 4 3 4 2" xfId="4332"/>
    <cellStyle name="Normal 2 4 3 5" xfId="4333"/>
    <cellStyle name="Normal 2 4 4" xfId="4334"/>
    <cellStyle name="Normal 2 4 4 2" xfId="4335"/>
    <cellStyle name="Normal 2 4 5" xfId="4336"/>
    <cellStyle name="Normal 2 4 5 2" xfId="4337"/>
    <cellStyle name="Normal 2 4 5 2 2" xfId="4338"/>
    <cellStyle name="Normal 2 4 5 3" xfId="4339"/>
    <cellStyle name="Normal 2 4 5 3 2" xfId="4340"/>
    <cellStyle name="Normal 2 4 5 4" xfId="4341"/>
    <cellStyle name="Normal 2 4 6" xfId="4342"/>
    <cellStyle name="Normal 2 4 6 2" xfId="4343"/>
    <cellStyle name="Normal 2 4 7" xfId="4344"/>
    <cellStyle name="Normal 2 4 7 2" xfId="4345"/>
    <cellStyle name="Normal 2 4 8" xfId="4346"/>
    <cellStyle name="Normal 2 4 8 2" xfId="4347"/>
    <cellStyle name="Normal 2 4 9" xfId="4348"/>
    <cellStyle name="Normal 2 4 9 2" xfId="4349"/>
    <cellStyle name="Normal 2 4_123" xfId="4350"/>
    <cellStyle name="Normal 2 40" xfId="4351"/>
    <cellStyle name="Normal 2 40 2" xfId="4352"/>
    <cellStyle name="Normal 2 40 2 2" xfId="4353"/>
    <cellStyle name="Normal 2 40 3" xfId="4354"/>
    <cellStyle name="Normal 2 41" xfId="4355"/>
    <cellStyle name="Normal 2 41 2" xfId="4356"/>
    <cellStyle name="Normal 2 41 2 2" xfId="4357"/>
    <cellStyle name="Normal 2 41 3" xfId="4358"/>
    <cellStyle name="Normal 2 42" xfId="4359"/>
    <cellStyle name="Normal 2 42 2" xfId="4360"/>
    <cellStyle name="Normal 2 42 2 2" xfId="4361"/>
    <cellStyle name="Normal 2 42 3" xfId="4362"/>
    <cellStyle name="Normal 2 42 3 2" xfId="4363"/>
    <cellStyle name="Normal 2 42 4" xfId="4364"/>
    <cellStyle name="Normal 2 43" xfId="4365"/>
    <cellStyle name="Normal 2 43 2" xfId="4366"/>
    <cellStyle name="Normal 2 43 2 2" xfId="4367"/>
    <cellStyle name="Normal 2 43 3" xfId="4368"/>
    <cellStyle name="Normal 2 43 3 2" xfId="4369"/>
    <cellStyle name="Normal 2 43 4" xfId="4370"/>
    <cellStyle name="Normal 2 44" xfId="4371"/>
    <cellStyle name="Normal 2 44 2" xfId="4372"/>
    <cellStyle name="Normal 2 44 2 2" xfId="4373"/>
    <cellStyle name="Normal 2 44 3" xfId="4374"/>
    <cellStyle name="Normal 2 44 3 2" xfId="4375"/>
    <cellStyle name="Normal 2 44 4" xfId="4376"/>
    <cellStyle name="Normal 2 45" xfId="4377"/>
    <cellStyle name="Normal 2 45 2" xfId="4378"/>
    <cellStyle name="Normal 2 45 2 2" xfId="4379"/>
    <cellStyle name="Normal 2 45 3" xfId="4380"/>
    <cellStyle name="Normal 2 45 3 2" xfId="4381"/>
    <cellStyle name="Normal 2 45 4" xfId="4382"/>
    <cellStyle name="Normal 2 46" xfId="4383"/>
    <cellStyle name="Normal 2 46 2" xfId="4384"/>
    <cellStyle name="Normal 2 46 2 2" xfId="4385"/>
    <cellStyle name="Normal 2 46 3" xfId="4386"/>
    <cellStyle name="Normal 2 47" xfId="4387"/>
    <cellStyle name="Normal 2 47 2" xfId="4388"/>
    <cellStyle name="Normal 2 47 2 2" xfId="4389"/>
    <cellStyle name="Normal 2 47 3" xfId="4390"/>
    <cellStyle name="Normal 2 48" xfId="4391"/>
    <cellStyle name="Normal 2 48 2" xfId="4392"/>
    <cellStyle name="Normal 2 48 2 2" xfId="4393"/>
    <cellStyle name="Normal 2 48 3" xfId="4394"/>
    <cellStyle name="Normal 2 49" xfId="4395"/>
    <cellStyle name="Normal 2 49 2" xfId="4396"/>
    <cellStyle name="Normal 2 49 2 2" xfId="4397"/>
    <cellStyle name="Normal 2 49 3" xfId="4398"/>
    <cellStyle name="Normal 2 5" xfId="4399"/>
    <cellStyle name="Normal 2 5 10" xfId="4400"/>
    <cellStyle name="Normal 2 5 10 2" xfId="4401"/>
    <cellStyle name="Normal 2 5 10 2 2" xfId="4402"/>
    <cellStyle name="Normal 2 5 10 3" xfId="4403"/>
    <cellStyle name="Normal 2 5 11" xfId="4404"/>
    <cellStyle name="Normal 2 5 11 2" xfId="4405"/>
    <cellStyle name="Normal 2 5 11 2 2" xfId="4406"/>
    <cellStyle name="Normal 2 5 11 3" xfId="4407"/>
    <cellStyle name="Normal 2 5 12" xfId="4408"/>
    <cellStyle name="Normal 2 5 2" xfId="4409"/>
    <cellStyle name="Normal 2 5 2 2" xfId="4410"/>
    <cellStyle name="Normal 2 5 2 2 2" xfId="4411"/>
    <cellStyle name="Normal 2 5 2 2 2 2" xfId="4412"/>
    <cellStyle name="Normal 2 5 2 2 3" xfId="4413"/>
    <cellStyle name="Normal 2 5 2 3" xfId="4414"/>
    <cellStyle name="Normal 2 5 2 3 2" xfId="4415"/>
    <cellStyle name="Normal 2 5 2 3 2 2" xfId="4416"/>
    <cellStyle name="Normal 2 5 2 3 3" xfId="4417"/>
    <cellStyle name="Normal 2 5 2 4" xfId="4418"/>
    <cellStyle name="Normal 2 5 2 4 2" xfId="4419"/>
    <cellStyle name="Normal 2 5 2 5" xfId="4420"/>
    <cellStyle name="Normal 2 5 2_Draft SFR tables 300113 V8" xfId="4421"/>
    <cellStyle name="Normal 2 5 3" xfId="4422"/>
    <cellStyle name="Normal 2 5 3 2" xfId="4423"/>
    <cellStyle name="Normal 2 5 3 2 2" xfId="4424"/>
    <cellStyle name="Normal 2 5 3 3" xfId="4425"/>
    <cellStyle name="Normal 2 5 3 3 2" xfId="4426"/>
    <cellStyle name="Normal 2 5 3 4" xfId="4427"/>
    <cellStyle name="Normal 2 5 3 4 2" xfId="4428"/>
    <cellStyle name="Normal 2 5 3 5" xfId="4429"/>
    <cellStyle name="Normal 2 5 4" xfId="4430"/>
    <cellStyle name="Normal 2 5 4 2" xfId="4431"/>
    <cellStyle name="Normal 2 5 5" xfId="4432"/>
    <cellStyle name="Normal 2 5 5 2" xfId="4433"/>
    <cellStyle name="Normal 2 5 6" xfId="4434"/>
    <cellStyle name="Normal 2 5 6 2" xfId="4435"/>
    <cellStyle name="Normal 2 5 7" xfId="4436"/>
    <cellStyle name="Normal 2 5 7 2" xfId="4437"/>
    <cellStyle name="Normal 2 5 8" xfId="4438"/>
    <cellStyle name="Normal 2 5 8 2" xfId="4439"/>
    <cellStyle name="Normal 2 5 9" xfId="4440"/>
    <cellStyle name="Normal 2 5 9 2" xfId="4441"/>
    <cellStyle name="Normal 2 5_123" xfId="4442"/>
    <cellStyle name="Normal 2 50" xfId="4443"/>
    <cellStyle name="Normal 2 50 2" xfId="4444"/>
    <cellStyle name="Normal 2 50 2 2" xfId="4445"/>
    <cellStyle name="Normal 2 50 3" xfId="4446"/>
    <cellStyle name="Normal 2 51" xfId="4447"/>
    <cellStyle name="Normal 2 51 2" xfId="4448"/>
    <cellStyle name="Normal 2 51 2 2" xfId="4449"/>
    <cellStyle name="Normal 2 51 3" xfId="4450"/>
    <cellStyle name="Normal 2 52" xfId="4451"/>
    <cellStyle name="Normal 2 52 2" xfId="4452"/>
    <cellStyle name="Normal 2 52 2 2" xfId="4453"/>
    <cellStyle name="Normal 2 52 3" xfId="4454"/>
    <cellStyle name="Normal 2 53" xfId="4455"/>
    <cellStyle name="Normal 2 53 2" xfId="4456"/>
    <cellStyle name="Normal 2 53 2 2" xfId="4457"/>
    <cellStyle name="Normal 2 53 3" xfId="4458"/>
    <cellStyle name="Normal 2 54" xfId="4459"/>
    <cellStyle name="Normal 2 54 2" xfId="4460"/>
    <cellStyle name="Normal 2 55" xfId="4461"/>
    <cellStyle name="Normal 2 55 2" xfId="4462"/>
    <cellStyle name="Normal 2 56" xfId="4463"/>
    <cellStyle name="Normal 2 56 2" xfId="4464"/>
    <cellStyle name="Normal 2 57" xfId="4465"/>
    <cellStyle name="Normal 2 57 2" xfId="4466"/>
    <cellStyle name="Normal 2 57 2 2" xfId="4467"/>
    <cellStyle name="Normal 2 57 3" xfId="4468"/>
    <cellStyle name="Normal 2 58" xfId="4469"/>
    <cellStyle name="Normal 2 58 2" xfId="4470"/>
    <cellStyle name="Normal 2 59" xfId="4471"/>
    <cellStyle name="Normal 2 59 2" xfId="4472"/>
    <cellStyle name="Normal 2 6" xfId="4473"/>
    <cellStyle name="Normal 2 6 2" xfId="4474"/>
    <cellStyle name="Normal 2 6 2 2" xfId="4475"/>
    <cellStyle name="Normal 2 6 2 2 2" xfId="4476"/>
    <cellStyle name="Normal 2 6 2 2 2 2" xfId="4477"/>
    <cellStyle name="Normal 2 6 2 2 3" xfId="4478"/>
    <cellStyle name="Normal 2 6 2 2 3 2" xfId="4479"/>
    <cellStyle name="Normal 2 6 2 2 4" xfId="4480"/>
    <cellStyle name="Normal 2 6 2 3" xfId="4481"/>
    <cellStyle name="Normal 2 6 2 3 2" xfId="4482"/>
    <cellStyle name="Normal 2 6 2 4" xfId="4483"/>
    <cellStyle name="Normal 2 6 2 4 2" xfId="4484"/>
    <cellStyle name="Normal 2 6 2 5" xfId="4485"/>
    <cellStyle name="Normal 2 6 3" xfId="4486"/>
    <cellStyle name="Normal 2 6 3 2" xfId="4487"/>
    <cellStyle name="Normal 2 6 4" xfId="4488"/>
    <cellStyle name="Normal 2 6 4 2" xfId="4489"/>
    <cellStyle name="Normal 2 6 4 2 2" xfId="4490"/>
    <cellStyle name="Normal 2 6 4 3" xfId="4491"/>
    <cellStyle name="Normal 2 6 4 3 2" xfId="4492"/>
    <cellStyle name="Normal 2 6 4 4" xfId="4493"/>
    <cellStyle name="Normal 2 6 5" xfId="4494"/>
    <cellStyle name="Normal 2 6 5 2" xfId="4495"/>
    <cellStyle name="Normal 2 6 6" xfId="4496"/>
    <cellStyle name="Normal 2 6 6 2" xfId="4497"/>
    <cellStyle name="Normal 2 6 7" xfId="4498"/>
    <cellStyle name="Normal 2 6 7 2" xfId="4499"/>
    <cellStyle name="Normal 2 6 8" xfId="4500"/>
    <cellStyle name="Normal 2 6_Analysis File Template" xfId="4501"/>
    <cellStyle name="Normal 2 60" xfId="4502"/>
    <cellStyle name="Normal 2 60 2" xfId="4503"/>
    <cellStyle name="Normal 2 61" xfId="4504"/>
    <cellStyle name="Normal 2 61 2" xfId="4505"/>
    <cellStyle name="Normal 2 62" xfId="4506"/>
    <cellStyle name="Normal 2 62 2" xfId="4507"/>
    <cellStyle name="Normal 2 63" xfId="4508"/>
    <cellStyle name="Normal 2 63 2" xfId="4509"/>
    <cellStyle name="Normal 2 64" xfId="4510"/>
    <cellStyle name="Normal 2 64 2" xfId="4511"/>
    <cellStyle name="Normal 2 65" xfId="4512"/>
    <cellStyle name="Normal 2 65 2" xfId="4513"/>
    <cellStyle name="Normal 2 66" xfId="4514"/>
    <cellStyle name="Normal 2 66 2" xfId="4515"/>
    <cellStyle name="Normal 2 7" xfId="4516"/>
    <cellStyle name="Normal 2 7 2" xfId="4517"/>
    <cellStyle name="Normal 2 7 2 2" xfId="4518"/>
    <cellStyle name="Normal 2 7 2 2 2" xfId="4519"/>
    <cellStyle name="Normal 2 7 2 2 2 2" xfId="4520"/>
    <cellStyle name="Normal 2 7 2 2 3" xfId="4521"/>
    <cellStyle name="Normal 2 7 2 2 3 2" xfId="4522"/>
    <cellStyle name="Normal 2 7 2 2 4" xfId="4523"/>
    <cellStyle name="Normal 2 7 2 3" xfId="4524"/>
    <cellStyle name="Normal 2 7 2 3 2" xfId="4525"/>
    <cellStyle name="Normal 2 7 2 4" xfId="4526"/>
    <cellStyle name="Normal 2 7 2 4 2" xfId="4527"/>
    <cellStyle name="Normal 2 7 2 5" xfId="4528"/>
    <cellStyle name="Normal 2 7 3" xfId="4529"/>
    <cellStyle name="Normal 2 7 3 2" xfId="4530"/>
    <cellStyle name="Normal 2 7 3 2 2" xfId="4531"/>
    <cellStyle name="Normal 2 7 3 3" xfId="4532"/>
    <cellStyle name="Normal 2 7 3 3 2" xfId="4533"/>
    <cellStyle name="Normal 2 7 3 4" xfId="4534"/>
    <cellStyle name="Normal 2 7 4" xfId="4535"/>
    <cellStyle name="Normal 2 7 4 2" xfId="4536"/>
    <cellStyle name="Normal 2 7 5" xfId="4537"/>
    <cellStyle name="Normal 2 7 5 2" xfId="4538"/>
    <cellStyle name="Normal 2 7 6" xfId="4539"/>
    <cellStyle name="Normal 2 7_Analysis File Template" xfId="4540"/>
    <cellStyle name="Normal 2 8" xfId="4541"/>
    <cellStyle name="Normal 2 8 2" xfId="4542"/>
    <cellStyle name="Normal 2 8 2 2" xfId="4543"/>
    <cellStyle name="Normal 2 8 2 2 2" xfId="4544"/>
    <cellStyle name="Normal 2 8 2 3" xfId="4545"/>
    <cellStyle name="Normal 2 8 2 3 2" xfId="4546"/>
    <cellStyle name="Normal 2 8 2 4" xfId="4547"/>
    <cellStyle name="Normal 2 8 3" xfId="4548"/>
    <cellStyle name="Normal 2 8 3 2" xfId="4549"/>
    <cellStyle name="Normal 2 8 4" xfId="4550"/>
    <cellStyle name="Normal 2 8 4 2" xfId="4551"/>
    <cellStyle name="Normal 2 8 5" xfId="4552"/>
    <cellStyle name="Normal 2 9" xfId="4553"/>
    <cellStyle name="Normal 2 9 2" xfId="4554"/>
    <cellStyle name="Normal 2 9 2 2" xfId="4555"/>
    <cellStyle name="Normal 2 9 3" xfId="4556"/>
    <cellStyle name="Normal 2 9 3 2" xfId="4557"/>
    <cellStyle name="Normal 2 9 4" xfId="4558"/>
    <cellStyle name="Normal 2 9 4 2" xfId="4559"/>
    <cellStyle name="Normal 2 9 5" xfId="4560"/>
    <cellStyle name="Normal 2 9_Draft SFR tables 300113 V8" xfId="4561"/>
    <cellStyle name="Normal 2_All_SFR_Tables" xfId="4562"/>
    <cellStyle name="Normal 20" xfId="4563"/>
    <cellStyle name="Normal 20 2" xfId="4564"/>
    <cellStyle name="Normal 20 2 2" xfId="4565"/>
    <cellStyle name="Normal 20 2 2 2" xfId="4566"/>
    <cellStyle name="Normal 20 2 3" xfId="4567"/>
    <cellStyle name="Normal 20 3" xfId="4568"/>
    <cellStyle name="Normal 20 3 2" xfId="4569"/>
    <cellStyle name="Normal 20 4" xfId="4570"/>
    <cellStyle name="Normal 200" xfId="4571"/>
    <cellStyle name="Normal 200 2" xfId="4572"/>
    <cellStyle name="Normal 201" xfId="4573"/>
    <cellStyle name="Normal 201 2" xfId="4574"/>
    <cellStyle name="Normal 202" xfId="4575"/>
    <cellStyle name="Normal 202 2" xfId="4576"/>
    <cellStyle name="Normal 203" xfId="4577"/>
    <cellStyle name="Normal 203 2" xfId="4578"/>
    <cellStyle name="Normal 204" xfId="4579"/>
    <cellStyle name="Normal 204 2" xfId="4580"/>
    <cellStyle name="Normal 205" xfId="4581"/>
    <cellStyle name="Normal 205 2" xfId="4582"/>
    <cellStyle name="Normal 206" xfId="4583"/>
    <cellStyle name="Normal 206 2" xfId="4584"/>
    <cellStyle name="Normal 207" xfId="4585"/>
    <cellStyle name="Normal 207 2" xfId="4586"/>
    <cellStyle name="Normal 208" xfId="4587"/>
    <cellStyle name="Normal 208 2" xfId="4588"/>
    <cellStyle name="Normal 209" xfId="4589"/>
    <cellStyle name="Normal 209 2" xfId="4590"/>
    <cellStyle name="Normal 21" xfId="4591"/>
    <cellStyle name="Normal 21 2" xfId="4592"/>
    <cellStyle name="Normal 21 2 2" xfId="4593"/>
    <cellStyle name="Normal 21 2 2 2" xfId="4594"/>
    <cellStyle name="Normal 21 2 3" xfId="4595"/>
    <cellStyle name="Normal 21 3" xfId="4596"/>
    <cellStyle name="Normal 21 3 2" xfId="4597"/>
    <cellStyle name="Normal 21 4" xfId="4598"/>
    <cellStyle name="Normal 210" xfId="4599"/>
    <cellStyle name="Normal 210 2" xfId="4600"/>
    <cellStyle name="Normal 211" xfId="4601"/>
    <cellStyle name="Normal 211 2" xfId="4602"/>
    <cellStyle name="Normal 212" xfId="4603"/>
    <cellStyle name="Normal 212 2" xfId="4604"/>
    <cellStyle name="Normal 213" xfId="4605"/>
    <cellStyle name="Normal 213 2" xfId="4606"/>
    <cellStyle name="Normal 214" xfId="4607"/>
    <cellStyle name="Normal 214 2" xfId="4608"/>
    <cellStyle name="Normal 215" xfId="4609"/>
    <cellStyle name="Normal 215 2" xfId="4610"/>
    <cellStyle name="Normal 216" xfId="4611"/>
    <cellStyle name="Normal 216 2" xfId="4612"/>
    <cellStyle name="Normal 217" xfId="4613"/>
    <cellStyle name="Normal 217 2" xfId="4614"/>
    <cellStyle name="Normal 218" xfId="4615"/>
    <cellStyle name="Normal 218 2" xfId="4616"/>
    <cellStyle name="Normal 219" xfId="4617"/>
    <cellStyle name="Normal 219 2" xfId="4618"/>
    <cellStyle name="Normal 22" xfId="4619"/>
    <cellStyle name="Normal 22 2" xfId="4620"/>
    <cellStyle name="Normal 22 2 2" xfId="4621"/>
    <cellStyle name="Normal 22 2 2 2" xfId="4622"/>
    <cellStyle name="Normal 22 2 3" xfId="4623"/>
    <cellStyle name="Normal 22 3" xfId="4624"/>
    <cellStyle name="Normal 22 3 2" xfId="4625"/>
    <cellStyle name="Normal 22 4" xfId="4626"/>
    <cellStyle name="Normal 220" xfId="4627"/>
    <cellStyle name="Normal 220 2" xfId="4628"/>
    <cellStyle name="Normal 221" xfId="4629"/>
    <cellStyle name="Normal 221 2" xfId="4630"/>
    <cellStyle name="Normal 222" xfId="4631"/>
    <cellStyle name="Normal 222 2" xfId="4632"/>
    <cellStyle name="Normal 223" xfId="4633"/>
    <cellStyle name="Normal 223 2" xfId="4634"/>
    <cellStyle name="Normal 224" xfId="4635"/>
    <cellStyle name="Normal 224 2" xfId="4636"/>
    <cellStyle name="Normal 225" xfId="4637"/>
    <cellStyle name="Normal 225 2" xfId="4638"/>
    <cellStyle name="Normal 226" xfId="4639"/>
    <cellStyle name="Normal 226 2" xfId="4640"/>
    <cellStyle name="Normal 227" xfId="4641"/>
    <cellStyle name="Normal 227 2" xfId="4642"/>
    <cellStyle name="Normal 228" xfId="4643"/>
    <cellStyle name="Normal 228 2" xfId="4644"/>
    <cellStyle name="Normal 229" xfId="4645"/>
    <cellStyle name="Normal 229 2" xfId="4646"/>
    <cellStyle name="Normal 23" xfId="4647"/>
    <cellStyle name="Normal 23 2" xfId="4648"/>
    <cellStyle name="Normal 23 2 2" xfId="4649"/>
    <cellStyle name="Normal 23 2 2 2" xfId="4650"/>
    <cellStyle name="Normal 23 2 3" xfId="4651"/>
    <cellStyle name="Normal 23 3" xfId="4652"/>
    <cellStyle name="Normal 23 3 2" xfId="4653"/>
    <cellStyle name="Normal 23 4" xfId="4654"/>
    <cellStyle name="Normal 230" xfId="4655"/>
    <cellStyle name="Normal 230 2" xfId="4656"/>
    <cellStyle name="Normal 231" xfId="4657"/>
    <cellStyle name="Normal 231 2" xfId="4658"/>
    <cellStyle name="Normal 232" xfId="4659"/>
    <cellStyle name="Normal 232 2" xfId="4660"/>
    <cellStyle name="Normal 233" xfId="4661"/>
    <cellStyle name="Normal 233 2" xfId="4662"/>
    <cellStyle name="Normal 234" xfId="4663"/>
    <cellStyle name="Normal 234 2" xfId="4664"/>
    <cellStyle name="Normal 235" xfId="4665"/>
    <cellStyle name="Normal 235 2" xfId="4666"/>
    <cellStyle name="Normal 236" xfId="4667"/>
    <cellStyle name="Normal 236 2" xfId="4668"/>
    <cellStyle name="Normal 237" xfId="4669"/>
    <cellStyle name="Normal 237 2" xfId="4670"/>
    <cellStyle name="Normal 238" xfId="4671"/>
    <cellStyle name="Normal 238 2" xfId="4672"/>
    <cellStyle name="Normal 239" xfId="4673"/>
    <cellStyle name="Normal 239 2" xfId="4674"/>
    <cellStyle name="Normal 24" xfId="4675"/>
    <cellStyle name="Normal 24 2" xfId="4676"/>
    <cellStyle name="Normal 24 2 2" xfId="4677"/>
    <cellStyle name="Normal 24 2 2 2" xfId="4678"/>
    <cellStyle name="Normal 24 2 3" xfId="4679"/>
    <cellStyle name="Normal 24 3" xfId="4680"/>
    <cellStyle name="Normal 24 3 2" xfId="4681"/>
    <cellStyle name="Normal 24 4" xfId="4682"/>
    <cellStyle name="Normal 240" xfId="4683"/>
    <cellStyle name="Normal 240 2" xfId="4684"/>
    <cellStyle name="Normal 241" xfId="4685"/>
    <cellStyle name="Normal 241 2" xfId="4686"/>
    <cellStyle name="Normal 242" xfId="4687"/>
    <cellStyle name="Normal 242 2" xfId="4688"/>
    <cellStyle name="Normal 243" xfId="4689"/>
    <cellStyle name="Normal 243 2" xfId="4690"/>
    <cellStyle name="Normal 244" xfId="4691"/>
    <cellStyle name="Normal 244 2" xfId="4692"/>
    <cellStyle name="Normal 245" xfId="4693"/>
    <cellStyle name="Normal 245 2" xfId="4694"/>
    <cellStyle name="Normal 246" xfId="4695"/>
    <cellStyle name="Normal 246 2" xfId="4696"/>
    <cellStyle name="Normal 247" xfId="4697"/>
    <cellStyle name="Normal 247 2" xfId="4698"/>
    <cellStyle name="Normal 248" xfId="4699"/>
    <cellStyle name="Normal 248 2" xfId="4700"/>
    <cellStyle name="Normal 249" xfId="4701"/>
    <cellStyle name="Normal 249 2" xfId="4702"/>
    <cellStyle name="Normal 25" xfId="4703"/>
    <cellStyle name="Normal 25 2" xfId="4704"/>
    <cellStyle name="Normal 25 2 2" xfId="4705"/>
    <cellStyle name="Normal 25 2 2 2" xfId="4706"/>
    <cellStyle name="Normal 25 2 3" xfId="4707"/>
    <cellStyle name="Normal 25 3" xfId="4708"/>
    <cellStyle name="Normal 25 3 2" xfId="4709"/>
    <cellStyle name="Normal 25 4" xfId="4710"/>
    <cellStyle name="Normal 250" xfId="4711"/>
    <cellStyle name="Normal 250 2" xfId="4712"/>
    <cellStyle name="Normal 251" xfId="4713"/>
    <cellStyle name="Normal 251 2" xfId="4714"/>
    <cellStyle name="Normal 252" xfId="4715"/>
    <cellStyle name="Normal 252 2" xfId="4716"/>
    <cellStyle name="Normal 253" xfId="4717"/>
    <cellStyle name="Normal 253 2" xfId="4718"/>
    <cellStyle name="Normal 254" xfId="4719"/>
    <cellStyle name="Normal 254 2" xfId="4720"/>
    <cellStyle name="Normal 255" xfId="4721"/>
    <cellStyle name="Normal 255 2" xfId="4722"/>
    <cellStyle name="Normal 256" xfId="4723"/>
    <cellStyle name="Normal 256 2" xfId="4724"/>
    <cellStyle name="Normal 257" xfId="4725"/>
    <cellStyle name="Normal 257 2" xfId="4726"/>
    <cellStyle name="Normal 258" xfId="4727"/>
    <cellStyle name="Normal 258 2" xfId="4728"/>
    <cellStyle name="Normal 259" xfId="4729"/>
    <cellStyle name="Normal 259 2" xfId="4730"/>
    <cellStyle name="Normal 26" xfId="4731"/>
    <cellStyle name="Normal 26 2" xfId="4732"/>
    <cellStyle name="Normal 26 2 2" xfId="4733"/>
    <cellStyle name="Normal 26 2 2 2" xfId="4734"/>
    <cellStyle name="Normal 26 2 3" xfId="4735"/>
    <cellStyle name="Normal 26 3" xfId="4736"/>
    <cellStyle name="Normal 26 3 2" xfId="4737"/>
    <cellStyle name="Normal 26 4" xfId="4738"/>
    <cellStyle name="Normal 260" xfId="4739"/>
    <cellStyle name="Normal 260 2" xfId="4740"/>
    <cellStyle name="Normal 261" xfId="4741"/>
    <cellStyle name="Normal 261 2" xfId="4742"/>
    <cellStyle name="Normal 262" xfId="4743"/>
    <cellStyle name="Normal 262 2" xfId="4744"/>
    <cellStyle name="Normal 263" xfId="4745"/>
    <cellStyle name="Normal 263 2" xfId="4746"/>
    <cellStyle name="Normal 264" xfId="4747"/>
    <cellStyle name="Normal 264 2" xfId="4748"/>
    <cellStyle name="Normal 265" xfId="4749"/>
    <cellStyle name="Normal 265 2" xfId="4750"/>
    <cellStyle name="Normal 266" xfId="4751"/>
    <cellStyle name="Normal 266 2" xfId="4752"/>
    <cellStyle name="Normal 267" xfId="4753"/>
    <cellStyle name="Normal 267 2" xfId="4754"/>
    <cellStyle name="Normal 268" xfId="4755"/>
    <cellStyle name="Normal 268 2" xfId="4756"/>
    <cellStyle name="Normal 269" xfId="4757"/>
    <cellStyle name="Normal 269 2" xfId="4758"/>
    <cellStyle name="Normal 27" xfId="4759"/>
    <cellStyle name="Normal 27 2" xfId="4760"/>
    <cellStyle name="Normal 27 2 2" xfId="4761"/>
    <cellStyle name="Normal 27 2 2 2" xfId="4762"/>
    <cellStyle name="Normal 27 2 3" xfId="4763"/>
    <cellStyle name="Normal 27 3" xfId="4764"/>
    <cellStyle name="Normal 27 3 2" xfId="4765"/>
    <cellStyle name="Normal 27 4" xfId="4766"/>
    <cellStyle name="Normal 270" xfId="4767"/>
    <cellStyle name="Normal 270 2" xfId="4768"/>
    <cellStyle name="Normal 271" xfId="4769"/>
    <cellStyle name="Normal 271 2" xfId="4770"/>
    <cellStyle name="Normal 272" xfId="4771"/>
    <cellStyle name="Normal 272 2" xfId="4772"/>
    <cellStyle name="Normal 273" xfId="4773"/>
    <cellStyle name="Normal 273 2" xfId="4774"/>
    <cellStyle name="Normal 274" xfId="4775"/>
    <cellStyle name="Normal 274 2" xfId="4776"/>
    <cellStyle name="Normal 275" xfId="4777"/>
    <cellStyle name="Normal 275 2" xfId="4778"/>
    <cellStyle name="Normal 276" xfId="4779"/>
    <cellStyle name="Normal 276 2" xfId="4780"/>
    <cellStyle name="Normal 277" xfId="4781"/>
    <cellStyle name="Normal 277 2" xfId="4782"/>
    <cellStyle name="Normal 278" xfId="4783"/>
    <cellStyle name="Normal 278 2" xfId="4784"/>
    <cellStyle name="Normal 279" xfId="4785"/>
    <cellStyle name="Normal 279 2" xfId="4786"/>
    <cellStyle name="Normal 28" xfId="4787"/>
    <cellStyle name="Normal 28 2" xfId="4788"/>
    <cellStyle name="Normal 28 2 2" xfId="4789"/>
    <cellStyle name="Normal 28 2 2 2" xfId="4790"/>
    <cellStyle name="Normal 28 2 3" xfId="4791"/>
    <cellStyle name="Normal 28 3" xfId="4792"/>
    <cellStyle name="Normal 28 3 2" xfId="4793"/>
    <cellStyle name="Normal 28 4" xfId="4794"/>
    <cellStyle name="Normal 280" xfId="4795"/>
    <cellStyle name="Normal 280 2" xfId="4796"/>
    <cellStyle name="Normal 281" xfId="4797"/>
    <cellStyle name="Normal 281 2" xfId="4798"/>
    <cellStyle name="Normal 282" xfId="4799"/>
    <cellStyle name="Normal 282 2" xfId="4800"/>
    <cellStyle name="Normal 283" xfId="4801"/>
    <cellStyle name="Normal 283 2" xfId="4802"/>
    <cellStyle name="Normal 284" xfId="4803"/>
    <cellStyle name="Normal 284 2" xfId="4804"/>
    <cellStyle name="Normal 285" xfId="4805"/>
    <cellStyle name="Normal 285 2" xfId="4806"/>
    <cellStyle name="Normal 286" xfId="4807"/>
    <cellStyle name="Normal 286 2" xfId="4808"/>
    <cellStyle name="Normal 287" xfId="4809"/>
    <cellStyle name="Normal 287 2" xfId="4810"/>
    <cellStyle name="Normal 288" xfId="4811"/>
    <cellStyle name="Normal 288 2" xfId="4812"/>
    <cellStyle name="Normal 289" xfId="4813"/>
    <cellStyle name="Normal 289 2" xfId="4814"/>
    <cellStyle name="Normal 29" xfId="4815"/>
    <cellStyle name="Normal 29 2" xfId="4816"/>
    <cellStyle name="Normal 29 2 2" xfId="4817"/>
    <cellStyle name="Normal 29 2 2 2" xfId="4818"/>
    <cellStyle name="Normal 29 2 3" xfId="4819"/>
    <cellStyle name="Normal 29 2 3 2" xfId="4820"/>
    <cellStyle name="Normal 29 2 4" xfId="4821"/>
    <cellStyle name="Normal 29 3" xfId="4822"/>
    <cellStyle name="Normal 29 3 2" xfId="4823"/>
    <cellStyle name="Normal 29 4" xfId="4824"/>
    <cellStyle name="Normal 29 4 2" xfId="4825"/>
    <cellStyle name="Normal 29 4 3" xfId="4826"/>
    <cellStyle name="Normal 29 5" xfId="4827"/>
    <cellStyle name="Normal 290" xfId="4828"/>
    <cellStyle name="Normal 290 2" xfId="4829"/>
    <cellStyle name="Normal 291" xfId="4830"/>
    <cellStyle name="Normal 291 2" xfId="4831"/>
    <cellStyle name="Normal 292" xfId="4832"/>
    <cellStyle name="Normal 292 2" xfId="4833"/>
    <cellStyle name="Normal 293" xfId="4834"/>
    <cellStyle name="Normal 293 2" xfId="4835"/>
    <cellStyle name="Normal 294" xfId="4836"/>
    <cellStyle name="Normal 294 2" xfId="4837"/>
    <cellStyle name="Normal 295" xfId="4838"/>
    <cellStyle name="Normal 295 2" xfId="4839"/>
    <cellStyle name="Normal 296" xfId="4840"/>
    <cellStyle name="Normal 296 2" xfId="4841"/>
    <cellStyle name="Normal 297" xfId="4842"/>
    <cellStyle name="Normal 297 2" xfId="4843"/>
    <cellStyle name="Normal 298" xfId="4844"/>
    <cellStyle name="Normal 298 2" xfId="4845"/>
    <cellStyle name="Normal 299" xfId="4846"/>
    <cellStyle name="Normal 299 2" xfId="4847"/>
    <cellStyle name="Normal 3" xfId="4848"/>
    <cellStyle name="Normal 3 10" xfId="4849"/>
    <cellStyle name="Normal 3 10 2" xfId="4850"/>
    <cellStyle name="Normal 3 10 2 2" xfId="4851"/>
    <cellStyle name="Normal 3 10 3" xfId="4852"/>
    <cellStyle name="Normal 3 10 3 2" xfId="4853"/>
    <cellStyle name="Normal 3 10 4" xfId="4854"/>
    <cellStyle name="Normal 3 11" xfId="4855"/>
    <cellStyle name="Normal 3 11 2" xfId="4856"/>
    <cellStyle name="Normal 3 11 2 2" xfId="4857"/>
    <cellStyle name="Normal 3 11 3" xfId="4858"/>
    <cellStyle name="Normal 3 12" xfId="4859"/>
    <cellStyle name="Normal 3 12 2" xfId="4860"/>
    <cellStyle name="Normal 3 12 2 2" xfId="4861"/>
    <cellStyle name="Normal 3 12 3" xfId="4862"/>
    <cellStyle name="Normal 3 12 3 2" xfId="4863"/>
    <cellStyle name="Normal 3 12 3 3" xfId="4864"/>
    <cellStyle name="Normal 3 12 4" xfId="4865"/>
    <cellStyle name="Normal 3 13" xfId="4866"/>
    <cellStyle name="Normal 3 13 2" xfId="4867"/>
    <cellStyle name="Normal 3 14" xfId="4868"/>
    <cellStyle name="Normal 3 14 2" xfId="4869"/>
    <cellStyle name="Normal 3 14 2 2" xfId="4870"/>
    <cellStyle name="Normal 3 14 3" xfId="4871"/>
    <cellStyle name="Normal 3 14 3 2" xfId="4872"/>
    <cellStyle name="Normal 3 14 4" xfId="4873"/>
    <cellStyle name="Normal 3 15" xfId="4874"/>
    <cellStyle name="Normal 3 15 2" xfId="4875"/>
    <cellStyle name="Normal 3 16" xfId="4876"/>
    <cellStyle name="Normal 3 16 2" xfId="4877"/>
    <cellStyle name="Normal 3 17" xfId="4878"/>
    <cellStyle name="Normal 3 18" xfId="4879"/>
    <cellStyle name="Normal 3 19" xfId="4880"/>
    <cellStyle name="Normal 3 2" xfId="4881"/>
    <cellStyle name="Normal 3 2 10" xfId="4882"/>
    <cellStyle name="Normal 3 2 10 2" xfId="4883"/>
    <cellStyle name="Normal 3 2 11" xfId="4884"/>
    <cellStyle name="Normal 3 2 11 2" xfId="4885"/>
    <cellStyle name="Normal 3 2 12" xfId="4886"/>
    <cellStyle name="Normal 3 2 12 2" xfId="4887"/>
    <cellStyle name="Normal 3 2 13" xfId="4888"/>
    <cellStyle name="Normal 3 2 13 2" xfId="4889"/>
    <cellStyle name="Normal 3 2 13 2 2" xfId="4890"/>
    <cellStyle name="Normal 3 2 14" xfId="4891"/>
    <cellStyle name="Normal 3 2 14 2" xfId="4892"/>
    <cellStyle name="Normal 3 2 14 3" xfId="4893"/>
    <cellStyle name="Normal 3 2 14 4" xfId="4894"/>
    <cellStyle name="Normal 3 2 15" xfId="4895"/>
    <cellStyle name="Normal 3 2 16" xfId="4896"/>
    <cellStyle name="Normal 3 2 2" xfId="4897"/>
    <cellStyle name="Normal 3 2 2 2" xfId="4898"/>
    <cellStyle name="Normal 3 2 2 2 2" xfId="4899"/>
    <cellStyle name="Normal 3 2 2 2 2 2" xfId="4900"/>
    <cellStyle name="Normal 3 2 2 2 2 2 2" xfId="4901"/>
    <cellStyle name="Normal 3 2 2 2 2 3" xfId="4902"/>
    <cellStyle name="Normal 3 2 2 2 3" xfId="4903"/>
    <cellStyle name="Normal 3 2 2 2 3 2" xfId="4904"/>
    <cellStyle name="Normal 3 2 2 2 4" xfId="4905"/>
    <cellStyle name="Normal 3 2 2 3" xfId="4906"/>
    <cellStyle name="Normal 3 2 2 3 2" xfId="4907"/>
    <cellStyle name="Normal 3 2 2 3 2 2" xfId="4908"/>
    <cellStyle name="Normal 3 2 2 3 3" xfId="4909"/>
    <cellStyle name="Normal 3 2 2 4" xfId="4910"/>
    <cellStyle name="Normal 3 2 2 4 2" xfId="4911"/>
    <cellStyle name="Normal 3 2 2 5" xfId="4912"/>
    <cellStyle name="Normal 3 2 2_Draft SFR tables 300113 V8" xfId="4913"/>
    <cellStyle name="Normal 3 2 3" xfId="4914"/>
    <cellStyle name="Normal 3 2 3 2" xfId="4915"/>
    <cellStyle name="Normal 3 2 3 2 2" xfId="4916"/>
    <cellStyle name="Normal 3 2 3 3" xfId="4917"/>
    <cellStyle name="Normal 3 2 3 3 2" xfId="4918"/>
    <cellStyle name="Normal 3 2 3 4" xfId="4919"/>
    <cellStyle name="Normal 3 2 3 4 2" xfId="4920"/>
    <cellStyle name="Normal 3 2 3 5" xfId="4921"/>
    <cellStyle name="Normal 3 2 3 5 2" xfId="4922"/>
    <cellStyle name="Normal 3 2 3 6" xfId="4923"/>
    <cellStyle name="Normal 3 2 4" xfId="4924"/>
    <cellStyle name="Normal 3 2 4 2" xfId="4925"/>
    <cellStyle name="Normal 3 2 4 2 2" xfId="4926"/>
    <cellStyle name="Normal 3 2 4 3" xfId="4927"/>
    <cellStyle name="Normal 3 2 4 3 2" xfId="4928"/>
    <cellStyle name="Normal 3 2 4 4" xfId="4929"/>
    <cellStyle name="Normal 3 2 5" xfId="4930"/>
    <cellStyle name="Normal 3 2 5 2" xfId="4931"/>
    <cellStyle name="Normal 3 2 5 2 2" xfId="4932"/>
    <cellStyle name="Normal 3 2 5 3" xfId="4933"/>
    <cellStyle name="Normal 3 2 5 3 2" xfId="4934"/>
    <cellStyle name="Normal 3 2 5 4" xfId="4935"/>
    <cellStyle name="Normal 3 2 6" xfId="4936"/>
    <cellStyle name="Normal 3 2 6 2" xfId="4937"/>
    <cellStyle name="Normal 3 2 6 2 2" xfId="4938"/>
    <cellStyle name="Normal 3 2 6 3" xfId="4939"/>
    <cellStyle name="Normal 3 2 6 3 2" xfId="4940"/>
    <cellStyle name="Normal 3 2 6 4" xfId="4941"/>
    <cellStyle name="Normal 3 2 7" xfId="4942"/>
    <cellStyle name="Normal 3 2 7 2" xfId="4943"/>
    <cellStyle name="Normal 3 2 8" xfId="4944"/>
    <cellStyle name="Normal 3 2 8 2" xfId="4945"/>
    <cellStyle name="Normal 3 2 9" xfId="4946"/>
    <cellStyle name="Normal 3 2 9 2" xfId="4947"/>
    <cellStyle name="Normal 3 2_123" xfId="4948"/>
    <cellStyle name="Normal 3 20" xfId="4949"/>
    <cellStyle name="Normal 3 3" xfId="4950"/>
    <cellStyle name="Normal 3 3 10" xfId="4951"/>
    <cellStyle name="Normal 3 3 10 2" xfId="4952"/>
    <cellStyle name="Normal 3 3 11" xfId="4953"/>
    <cellStyle name="Normal 3 3 11 2" xfId="4954"/>
    <cellStyle name="Normal 3 3 12" xfId="4955"/>
    <cellStyle name="Normal 3 3 2" xfId="4956"/>
    <cellStyle name="Normal 3 3 2 2" xfId="4957"/>
    <cellStyle name="Normal 3 3 2 2 2" xfId="4958"/>
    <cellStyle name="Normal 3 3 2 2 2 2" xfId="4959"/>
    <cellStyle name="Normal 3 3 2 2 2 3" xfId="4960"/>
    <cellStyle name="Normal 3 3 2 2 2 3 2" xfId="4961"/>
    <cellStyle name="Normal 3 3 2 2 2 4" xfId="4962"/>
    <cellStyle name="Normal 3 3 2 2 3" xfId="4963"/>
    <cellStyle name="Normal 3 3 2 2 4" xfId="4964"/>
    <cellStyle name="Normal 3 3 2 2 4 2" xfId="4965"/>
    <cellStyle name="Normal 3 3 2 2 5" xfId="4966"/>
    <cellStyle name="Normal 3 3 2 3" xfId="4967"/>
    <cellStyle name="Normal 3 3 2 3 2" xfId="4968"/>
    <cellStyle name="Normal 3 3 2 3 2 2" xfId="4969"/>
    <cellStyle name="Normal 3 3 2 3 3" xfId="4970"/>
    <cellStyle name="Normal 3 3 2 4" xfId="4971"/>
    <cellStyle name="Normal 3 3 2 5" xfId="4972"/>
    <cellStyle name="Normal 3 3 2 5 2" xfId="4973"/>
    <cellStyle name="Normal 3 3 2 6" xfId="4974"/>
    <cellStyle name="Normal 3 3 2_Draft SFR tables 300113 V8" xfId="4975"/>
    <cellStyle name="Normal 3 3 3" xfId="4976"/>
    <cellStyle name="Normal 3 3 3 2" xfId="4977"/>
    <cellStyle name="Normal 3 3 3 2 2" xfId="4978"/>
    <cellStyle name="Normal 3 3 3 2 2 2" xfId="4979"/>
    <cellStyle name="Normal 3 3 3 2 3" xfId="4980"/>
    <cellStyle name="Normal 3 3 3 3" xfId="4981"/>
    <cellStyle name="Normal 3 3 4" xfId="4982"/>
    <cellStyle name="Normal 3 3 4 2" xfId="4983"/>
    <cellStyle name="Normal 3 3 5" xfId="4984"/>
    <cellStyle name="Normal 3 3 5 2" xfId="4985"/>
    <cellStyle name="Normal 3 3 6" xfId="4986"/>
    <cellStyle name="Normal 3 3 6 2" xfId="4987"/>
    <cellStyle name="Normal 3 3 7" xfId="4988"/>
    <cellStyle name="Normal 3 3 7 2" xfId="4989"/>
    <cellStyle name="Normal 3 3 8" xfId="4990"/>
    <cellStyle name="Normal 3 3 8 2" xfId="4991"/>
    <cellStyle name="Normal 3 3 9" xfId="4992"/>
    <cellStyle name="Normal 3 3 9 2" xfId="4993"/>
    <cellStyle name="Normal 3 3 9 2 2" xfId="4994"/>
    <cellStyle name="Normal 3 3 9 3" xfId="4995"/>
    <cellStyle name="Normal 3 3_123" xfId="4996"/>
    <cellStyle name="Normal 3 4" xfId="4997"/>
    <cellStyle name="Normal 3 4 10" xfId="4998"/>
    <cellStyle name="Normal 3 4 10 2" xfId="4999"/>
    <cellStyle name="Normal 3 4 10 2 2" xfId="5000"/>
    <cellStyle name="Normal 3 4 10 3" xfId="5001"/>
    <cellStyle name="Normal 3 4 11" xfId="5002"/>
    <cellStyle name="Normal 3 4 11 2" xfId="5003"/>
    <cellStyle name="Normal 3 4 11 2 2" xfId="5004"/>
    <cellStyle name="Normal 3 4 11 3" xfId="5005"/>
    <cellStyle name="Normal 3 4 12" xfId="5006"/>
    <cellStyle name="Normal 3 4 2" xfId="5007"/>
    <cellStyle name="Normal 3 4 2 2" xfId="5008"/>
    <cellStyle name="Normal 3 4 2 2 2" xfId="5009"/>
    <cellStyle name="Normal 3 4 2 2 2 2" xfId="5010"/>
    <cellStyle name="Normal 3 4 2 2 2 2 2" xfId="5011"/>
    <cellStyle name="Normal 3 4 2 2 2 3" xfId="5012"/>
    <cellStyle name="Normal 3 4 2 2 3" xfId="5013"/>
    <cellStyle name="Normal 3 4 2 2 3 2" xfId="5014"/>
    <cellStyle name="Normal 3 4 2 2 4" xfId="5015"/>
    <cellStyle name="Normal 3 4 2 3" xfId="5016"/>
    <cellStyle name="Normal 3 4 2 3 2" xfId="5017"/>
    <cellStyle name="Normal 3 4 2 3 2 2" xfId="5018"/>
    <cellStyle name="Normal 3 4 2 3 3" xfId="5019"/>
    <cellStyle name="Normal 3 4 2 4" xfId="5020"/>
    <cellStyle name="Normal 3 4 2 5" xfId="5021"/>
    <cellStyle name="Normal 3 4 2 5 2" xfId="5022"/>
    <cellStyle name="Normal 3 4 2 6" xfId="5023"/>
    <cellStyle name="Normal 3 4 2_Draft SFR tables 300113 V8" xfId="5024"/>
    <cellStyle name="Normal 3 4 3" xfId="5025"/>
    <cellStyle name="Normal 3 4 3 2" xfId="5026"/>
    <cellStyle name="Normal 3 4 3 2 2" xfId="5027"/>
    <cellStyle name="Normal 3 4 3 2 2 2" xfId="5028"/>
    <cellStyle name="Normal 3 4 3 2 3" xfId="5029"/>
    <cellStyle name="Normal 3 4 3 3" xfId="5030"/>
    <cellStyle name="Normal 3 4 3 4" xfId="5031"/>
    <cellStyle name="Normal 3 4 4" xfId="5032"/>
    <cellStyle name="Normal 3 4 4 2" xfId="5033"/>
    <cellStyle name="Normal 3 4 4 3" xfId="5034"/>
    <cellStyle name="Normal 3 4 5" xfId="5035"/>
    <cellStyle name="Normal 3 4 5 2" xfId="5036"/>
    <cellStyle name="Normal 3 4 5 3" xfId="5037"/>
    <cellStyle name="Normal 3 4 6" xfId="5038"/>
    <cellStyle name="Normal 3 4 7" xfId="5039"/>
    <cellStyle name="Normal 3 4 7 2" xfId="5040"/>
    <cellStyle name="Normal 3 4 8" xfId="5041"/>
    <cellStyle name="Normal 3 4 8 2" xfId="5042"/>
    <cellStyle name="Normal 3 4 9" xfId="5043"/>
    <cellStyle name="Normal 3 4 9 2" xfId="5044"/>
    <cellStyle name="Normal 3 4_123" xfId="5045"/>
    <cellStyle name="Normal 3 5" xfId="5046"/>
    <cellStyle name="Normal 3 5 2" xfId="5047"/>
    <cellStyle name="Normal 3 5 2 2" xfId="5048"/>
    <cellStyle name="Normal 3 5 2 2 2" xfId="5049"/>
    <cellStyle name="Normal 3 5 2 3" xfId="5050"/>
    <cellStyle name="Normal 3 5 2 3 2" xfId="5051"/>
    <cellStyle name="Normal 3 5 2 3 2 2" xfId="5052"/>
    <cellStyle name="Normal 3 5 2 3 3" xfId="5053"/>
    <cellStyle name="Normal 3 5 2 4" xfId="5054"/>
    <cellStyle name="Normal 3 5 2 4 2" xfId="5055"/>
    <cellStyle name="Normal 3 5 2 5" xfId="5056"/>
    <cellStyle name="Normal 3 5 3" xfId="5057"/>
    <cellStyle name="Normal 3 5 3 2" xfId="5058"/>
    <cellStyle name="Normal 3 5 3 3" xfId="5059"/>
    <cellStyle name="Normal 3 5 3 4" xfId="5060"/>
    <cellStyle name="Normal 3 5 3 4 2" xfId="5061"/>
    <cellStyle name="Normal 3 5 3 5" xfId="5062"/>
    <cellStyle name="Normal 3 5 4" xfId="5063"/>
    <cellStyle name="Normal 3 5 5" xfId="5064"/>
    <cellStyle name="Normal 3 5 5 2" xfId="5065"/>
    <cellStyle name="Normal 3 5 6" xfId="5066"/>
    <cellStyle name="Normal 3 5_Cover Sheet - Apprenticeships" xfId="5067"/>
    <cellStyle name="Normal 3 6" xfId="5068"/>
    <cellStyle name="Normal 3 6 2" xfId="5069"/>
    <cellStyle name="Normal 3 6 2 2" xfId="5070"/>
    <cellStyle name="Normal 3 6 2 3" xfId="5071"/>
    <cellStyle name="Normal 3 6 3" xfId="5072"/>
    <cellStyle name="Normal 3 6 3 2" xfId="5073"/>
    <cellStyle name="Normal 3 6 3 2 2" xfId="5074"/>
    <cellStyle name="Normal 3 6 3 3" xfId="5075"/>
    <cellStyle name="Normal 3 6 4" xfId="5076"/>
    <cellStyle name="Normal 3 6 4 2" xfId="5077"/>
    <cellStyle name="Normal 3 6 5" xfId="5078"/>
    <cellStyle name="Normal 3 7" xfId="5079"/>
    <cellStyle name="Normal 3 7 2" xfId="5080"/>
    <cellStyle name="Normal 3 7 2 2" xfId="5081"/>
    <cellStyle name="Normal 3 7 3" xfId="5082"/>
    <cellStyle name="Normal 3 7 3 2" xfId="5083"/>
    <cellStyle name="Normal 3 7 4" xfId="5084"/>
    <cellStyle name="Normal 3 7 4 2" xfId="5085"/>
    <cellStyle name="Normal 3 7 5" xfId="5086"/>
    <cellStyle name="Normal 3 8" xfId="5087"/>
    <cellStyle name="Normal 3 8 2" xfId="5088"/>
    <cellStyle name="Normal 3 8 2 2" xfId="5089"/>
    <cellStyle name="Normal 3 8 3" xfId="5090"/>
    <cellStyle name="Normal 3 8 3 2" xfId="5091"/>
    <cellStyle name="Normal 3 8 4" xfId="5092"/>
    <cellStyle name="Normal 3 9" xfId="5093"/>
    <cellStyle name="Normal 3 9 2" xfId="5094"/>
    <cellStyle name="Normal 3 9 2 2" xfId="5095"/>
    <cellStyle name="Normal 3 9 3" xfId="5096"/>
    <cellStyle name="Normal 3 9 3 2" xfId="5097"/>
    <cellStyle name="Normal 3 9 4" xfId="5098"/>
    <cellStyle name="Normal 3_123" xfId="5099"/>
    <cellStyle name="Normal 30" xfId="5100"/>
    <cellStyle name="Normal 30 2" xfId="5101"/>
    <cellStyle name="Normal 30 2 2" xfId="5102"/>
    <cellStyle name="Normal 30 2 2 2" xfId="5103"/>
    <cellStyle name="Normal 30 2 3" xfId="5104"/>
    <cellStyle name="Normal 30 2 3 2" xfId="5105"/>
    <cellStyle name="Normal 30 2 4" xfId="5106"/>
    <cellStyle name="Normal 30 3" xfId="5107"/>
    <cellStyle name="Normal 30 3 2" xfId="5108"/>
    <cellStyle name="Normal 30 4" xfId="5109"/>
    <cellStyle name="Normal 30 4 2" xfId="5110"/>
    <cellStyle name="Normal 30 4 3" xfId="5111"/>
    <cellStyle name="Normal 30 5" xfId="5112"/>
    <cellStyle name="Normal 300" xfId="5113"/>
    <cellStyle name="Normal 300 2" xfId="5114"/>
    <cellStyle name="Normal 301" xfId="5115"/>
    <cellStyle name="Normal 301 2" xfId="5116"/>
    <cellStyle name="Normal 302" xfId="5117"/>
    <cellStyle name="Normal 302 2" xfId="5118"/>
    <cellStyle name="Normal 303" xfId="5119"/>
    <cellStyle name="Normal 303 2" xfId="5120"/>
    <cellStyle name="Normal 304" xfId="5121"/>
    <cellStyle name="Normal 304 2" xfId="5122"/>
    <cellStyle name="Normal 305" xfId="5123"/>
    <cellStyle name="Normal 305 2" xfId="5124"/>
    <cellStyle name="Normal 306" xfId="5125"/>
    <cellStyle name="Normal 306 2" xfId="5126"/>
    <cellStyle name="Normal 307" xfId="5127"/>
    <cellStyle name="Normal 307 2" xfId="5128"/>
    <cellStyle name="Normal 308" xfId="5129"/>
    <cellStyle name="Normal 308 2" xfId="5130"/>
    <cellStyle name="Normal 309" xfId="5131"/>
    <cellStyle name="Normal 309 2" xfId="5132"/>
    <cellStyle name="Normal 31" xfId="5133"/>
    <cellStyle name="Normal 31 2" xfId="5134"/>
    <cellStyle name="Normal 31 2 2" xfId="5135"/>
    <cellStyle name="Normal 31 2 2 2" xfId="5136"/>
    <cellStyle name="Normal 31 2 3" xfId="5137"/>
    <cellStyle name="Normal 31 2 3 2" xfId="5138"/>
    <cellStyle name="Normal 31 2 4" xfId="5139"/>
    <cellStyle name="Normal 31 3" xfId="5140"/>
    <cellStyle name="Normal 31 3 2" xfId="5141"/>
    <cellStyle name="Normal 31 4" xfId="5142"/>
    <cellStyle name="Normal 31 4 2" xfId="5143"/>
    <cellStyle name="Normal 31 4 3" xfId="5144"/>
    <cellStyle name="Normal 31 5" xfId="5145"/>
    <cellStyle name="Normal 310" xfId="5146"/>
    <cellStyle name="Normal 310 2" xfId="5147"/>
    <cellStyle name="Normal 311" xfId="5148"/>
    <cellStyle name="Normal 311 2" xfId="5149"/>
    <cellStyle name="Normal 312" xfId="5150"/>
    <cellStyle name="Normal 312 2" xfId="5151"/>
    <cellStyle name="Normal 313" xfId="5152"/>
    <cellStyle name="Normal 313 2" xfId="5153"/>
    <cellStyle name="Normal 314" xfId="5154"/>
    <cellStyle name="Normal 314 2" xfId="5155"/>
    <cellStyle name="Normal 315" xfId="5156"/>
    <cellStyle name="Normal 315 2" xfId="5157"/>
    <cellStyle name="Normal 316" xfId="5158"/>
    <cellStyle name="Normal 316 2" xfId="5159"/>
    <cellStyle name="Normal 317" xfId="5160"/>
    <cellStyle name="Normal 317 2" xfId="5161"/>
    <cellStyle name="Normal 318" xfId="5162"/>
    <cellStyle name="Normal 318 2" xfId="5163"/>
    <cellStyle name="Normal 319" xfId="5164"/>
    <cellStyle name="Normal 319 2" xfId="5165"/>
    <cellStyle name="Normal 32" xfId="5166"/>
    <cellStyle name="Normal 32 2" xfId="5167"/>
    <cellStyle name="Normal 32 2 2" xfId="5168"/>
    <cellStyle name="Normal 32 2 2 2" xfId="5169"/>
    <cellStyle name="Normal 32 2 3" xfId="5170"/>
    <cellStyle name="Normal 32 2 3 2" xfId="5171"/>
    <cellStyle name="Normal 32 2 4" xfId="5172"/>
    <cellStyle name="Normal 32 3" xfId="5173"/>
    <cellStyle name="Normal 32 3 2" xfId="5174"/>
    <cellStyle name="Normal 32 4" xfId="5175"/>
    <cellStyle name="Normal 32 4 2" xfId="5176"/>
    <cellStyle name="Normal 32 5" xfId="5177"/>
    <cellStyle name="Normal 32 5 2" xfId="5178"/>
    <cellStyle name="Normal 32 6" xfId="5179"/>
    <cellStyle name="Normal 32 6 2" xfId="5180"/>
    <cellStyle name="Normal 32 6 3" xfId="5181"/>
    <cellStyle name="Normal 32 7" xfId="5182"/>
    <cellStyle name="Normal 320" xfId="5183"/>
    <cellStyle name="Normal 320 2" xfId="5184"/>
    <cellStyle name="Normal 321" xfId="5185"/>
    <cellStyle name="Normal 321 2" xfId="5186"/>
    <cellStyle name="Normal 322" xfId="5187"/>
    <cellStyle name="Normal 322 2" xfId="5188"/>
    <cellStyle name="Normal 323" xfId="5189"/>
    <cellStyle name="Normal 323 2" xfId="5190"/>
    <cellStyle name="Normal 324" xfId="5191"/>
    <cellStyle name="Normal 324 2" xfId="5192"/>
    <cellStyle name="Normal 325" xfId="5193"/>
    <cellStyle name="Normal 325 2" xfId="5194"/>
    <cellStyle name="Normal 326" xfId="5195"/>
    <cellStyle name="Normal 326 2" xfId="5196"/>
    <cellStyle name="Normal 327" xfId="5197"/>
    <cellStyle name="Normal 327 2" xfId="5198"/>
    <cellStyle name="Normal 328" xfId="5199"/>
    <cellStyle name="Normal 328 2" xfId="5200"/>
    <cellStyle name="Normal 329" xfId="5201"/>
    <cellStyle name="Normal 329 2" xfId="5202"/>
    <cellStyle name="Normal 33" xfId="5203"/>
    <cellStyle name="Normal 33 2" xfId="5204"/>
    <cellStyle name="Normal 33 2 2" xfId="5205"/>
    <cellStyle name="Normal 33 2 2 2" xfId="5206"/>
    <cellStyle name="Normal 33 2 3" xfId="5207"/>
    <cellStyle name="Normal 33 2 3 2" xfId="5208"/>
    <cellStyle name="Normal 33 2 4" xfId="5209"/>
    <cellStyle name="Normal 33 3" xfId="5210"/>
    <cellStyle name="Normal 33 3 2" xfId="5211"/>
    <cellStyle name="Normal 33 4" xfId="5212"/>
    <cellStyle name="Normal 33 4 2" xfId="5213"/>
    <cellStyle name="Normal 33 5" xfId="5214"/>
    <cellStyle name="Normal 33 5 2" xfId="5215"/>
    <cellStyle name="Normal 33 6" xfId="5216"/>
    <cellStyle name="Normal 33 6 2" xfId="5217"/>
    <cellStyle name="Normal 33 6 3" xfId="5218"/>
    <cellStyle name="Normal 33 7" xfId="5219"/>
    <cellStyle name="Normal 330" xfId="5220"/>
    <cellStyle name="Normal 330 2" xfId="5221"/>
    <cellStyle name="Normal 331" xfId="5222"/>
    <cellStyle name="Normal 331 2" xfId="5223"/>
    <cellStyle name="Normal 332" xfId="5224"/>
    <cellStyle name="Normal 332 2" xfId="5225"/>
    <cellStyle name="Normal 333" xfId="5226"/>
    <cellStyle name="Normal 333 2" xfId="5227"/>
    <cellStyle name="Normal 334" xfId="5228"/>
    <cellStyle name="Normal 334 2" xfId="5229"/>
    <cellStyle name="Normal 335" xfId="5230"/>
    <cellStyle name="Normal 335 2" xfId="5231"/>
    <cellStyle name="Normal 336" xfId="5232"/>
    <cellStyle name="Normal 336 2" xfId="5233"/>
    <cellStyle name="Normal 337" xfId="5234"/>
    <cellStyle name="Normal 337 2" xfId="5235"/>
    <cellStyle name="Normal 338" xfId="5236"/>
    <cellStyle name="Normal 338 2" xfId="5237"/>
    <cellStyle name="Normal 339" xfId="5238"/>
    <cellStyle name="Normal 339 2" xfId="5239"/>
    <cellStyle name="Normal 34" xfId="5240"/>
    <cellStyle name="Normal 34 2" xfId="5241"/>
    <cellStyle name="Normal 34 3" xfId="5242"/>
    <cellStyle name="Normal 34 3 2" xfId="5243"/>
    <cellStyle name="Normal 34 4" xfId="5244"/>
    <cellStyle name="Normal 34 4 2" xfId="5245"/>
    <cellStyle name="Normal 34 5" xfId="5246"/>
    <cellStyle name="Normal 340" xfId="5247"/>
    <cellStyle name="Normal 340 2" xfId="5248"/>
    <cellStyle name="Normal 341" xfId="5249"/>
    <cellStyle name="Normal 341 2" xfId="5250"/>
    <cellStyle name="Normal 342" xfId="5251"/>
    <cellStyle name="Normal 342 2" xfId="5252"/>
    <cellStyle name="Normal 343" xfId="5253"/>
    <cellStyle name="Normal 343 2" xfId="5254"/>
    <cellStyle name="Normal 344" xfId="5255"/>
    <cellStyle name="Normal 344 2" xfId="5256"/>
    <cellStyle name="Normal 345" xfId="5257"/>
    <cellStyle name="Normal 345 2" xfId="5258"/>
    <cellStyle name="Normal 346" xfId="5259"/>
    <cellStyle name="Normal 346 2" xfId="5260"/>
    <cellStyle name="Normal 347" xfId="5261"/>
    <cellStyle name="Normal 347 2" xfId="5262"/>
    <cellStyle name="Normal 348" xfId="5263"/>
    <cellStyle name="Normal 348 2" xfId="5264"/>
    <cellStyle name="Normal 349" xfId="5265"/>
    <cellStyle name="Normal 349 2" xfId="5266"/>
    <cellStyle name="Normal 35" xfId="5267"/>
    <cellStyle name="Normal 35 2" xfId="5268"/>
    <cellStyle name="Normal 35 2 2" xfId="5269"/>
    <cellStyle name="Normal 35 2 2 2" xfId="5270"/>
    <cellStyle name="Normal 35 2 3" xfId="5271"/>
    <cellStyle name="Normal 35 2 3 2" xfId="5272"/>
    <cellStyle name="Normal 35 2 4" xfId="5273"/>
    <cellStyle name="Normal 35 3" xfId="5274"/>
    <cellStyle name="Normal 35 3 2" xfId="5275"/>
    <cellStyle name="Normal 35 4" xfId="5276"/>
    <cellStyle name="Normal 35 4 2" xfId="5277"/>
    <cellStyle name="Normal 35 5" xfId="5278"/>
    <cellStyle name="Normal 35 5 2" xfId="5279"/>
    <cellStyle name="Normal 35 6" xfId="5280"/>
    <cellStyle name="Normal 35 6 2" xfId="5281"/>
    <cellStyle name="Normal 35 6 3" xfId="5282"/>
    <cellStyle name="Normal 35 7" xfId="5283"/>
    <cellStyle name="Normal 350" xfId="5284"/>
    <cellStyle name="Normal 350 2" xfId="5285"/>
    <cellStyle name="Normal 351" xfId="5286"/>
    <cellStyle name="Normal 351 2" xfId="5287"/>
    <cellStyle name="Normal 352" xfId="5288"/>
    <cellStyle name="Normal 352 2" xfId="5289"/>
    <cellStyle name="Normal 353" xfId="5290"/>
    <cellStyle name="Normal 353 2" xfId="5291"/>
    <cellStyle name="Normal 354" xfId="5292"/>
    <cellStyle name="Normal 354 2" xfId="5293"/>
    <cellStyle name="Normal 355" xfId="5294"/>
    <cellStyle name="Normal 355 2" xfId="5295"/>
    <cellStyle name="Normal 356" xfId="5296"/>
    <cellStyle name="Normal 356 2" xfId="5297"/>
    <cellStyle name="Normal 357" xfId="5298"/>
    <cellStyle name="Normal 357 2" xfId="5299"/>
    <cellStyle name="Normal 358" xfId="5300"/>
    <cellStyle name="Normal 358 2" xfId="5301"/>
    <cellStyle name="Normal 359" xfId="5302"/>
    <cellStyle name="Normal 359 2" xfId="5303"/>
    <cellStyle name="Normal 36" xfId="5304"/>
    <cellStyle name="Normal 36 2" xfId="5305"/>
    <cellStyle name="Normal 36 2 2" xfId="5306"/>
    <cellStyle name="Normal 36 3" xfId="5307"/>
    <cellStyle name="Normal 36 3 2" xfId="5308"/>
    <cellStyle name="Normal 36 4" xfId="5309"/>
    <cellStyle name="Normal 36 4 2" xfId="5310"/>
    <cellStyle name="Normal 36 5" xfId="5311"/>
    <cellStyle name="Normal 36 5 2" xfId="5312"/>
    <cellStyle name="Normal 36 6" xfId="5313"/>
    <cellStyle name="Normal 360" xfId="5314"/>
    <cellStyle name="Normal 360 2" xfId="5315"/>
    <cellStyle name="Normal 361" xfId="5316"/>
    <cellStyle name="Normal 361 2" xfId="5317"/>
    <cellStyle name="Normal 362" xfId="5318"/>
    <cellStyle name="Normal 362 2" xfId="5319"/>
    <cellStyle name="Normal 363" xfId="5320"/>
    <cellStyle name="Normal 363 2" xfId="5321"/>
    <cellStyle name="Normal 364" xfId="5322"/>
    <cellStyle name="Normal 364 2" xfId="5323"/>
    <cellStyle name="Normal 365" xfId="5324"/>
    <cellStyle name="Normal 365 2" xfId="5325"/>
    <cellStyle name="Normal 366" xfId="5326"/>
    <cellStyle name="Normal 366 2" xfId="5327"/>
    <cellStyle name="Normal 367" xfId="5328"/>
    <cellStyle name="Normal 367 2" xfId="5329"/>
    <cellStyle name="Normal 368" xfId="5330"/>
    <cellStyle name="Normal 368 2" xfId="5331"/>
    <cellStyle name="Normal 369" xfId="5332"/>
    <cellStyle name="Normal 369 2" xfId="5333"/>
    <cellStyle name="Normal 37" xfId="5334"/>
    <cellStyle name="Normal 37 2" xfId="5335"/>
    <cellStyle name="Normal 37 2 2" xfId="5336"/>
    <cellStyle name="Normal 37 2 2 2" xfId="5337"/>
    <cellStyle name="Normal 37 2 3" xfId="5338"/>
    <cellStyle name="Normal 37 2 3 2" xfId="5339"/>
    <cellStyle name="Normal 37 2 4" xfId="5340"/>
    <cellStyle name="Normal 37 3" xfId="5341"/>
    <cellStyle name="Normal 37 3 2" xfId="5342"/>
    <cellStyle name="Normal 37 4" xfId="5343"/>
    <cellStyle name="Normal 37 4 2" xfId="5344"/>
    <cellStyle name="Normal 37 5" xfId="5345"/>
    <cellStyle name="Normal 37 5 2" xfId="5346"/>
    <cellStyle name="Normal 37 6" xfId="5347"/>
    <cellStyle name="Normal 37 6 2" xfId="5348"/>
    <cellStyle name="Normal 37 6 3" xfId="5349"/>
    <cellStyle name="Normal 37 7" xfId="5350"/>
    <cellStyle name="Normal 370" xfId="5351"/>
    <cellStyle name="Normal 370 2" xfId="5352"/>
    <cellStyle name="Normal 371" xfId="5353"/>
    <cellStyle name="Normal 371 2" xfId="5354"/>
    <cellStyle name="Normal 372" xfId="5355"/>
    <cellStyle name="Normal 372 2" xfId="5356"/>
    <cellStyle name="Normal 373" xfId="5357"/>
    <cellStyle name="Normal 373 2" xfId="5358"/>
    <cellStyle name="Normal 374" xfId="5359"/>
    <cellStyle name="Normal 374 2" xfId="5360"/>
    <cellStyle name="Normal 375" xfId="5361"/>
    <cellStyle name="Normal 375 2" xfId="5362"/>
    <cellStyle name="Normal 376" xfId="5363"/>
    <cellStyle name="Normal 376 2" xfId="5364"/>
    <cellStyle name="Normal 377" xfId="5365"/>
    <cellStyle name="Normal 377 2" xfId="5366"/>
    <cellStyle name="Normal 378" xfId="5367"/>
    <cellStyle name="Normal 378 2" xfId="5368"/>
    <cellStyle name="Normal 379" xfId="5369"/>
    <cellStyle name="Normal 379 2" xfId="5370"/>
    <cellStyle name="Normal 38" xfId="5371"/>
    <cellStyle name="Normal 38 2" xfId="5372"/>
    <cellStyle name="Normal 38 2 2" xfId="5373"/>
    <cellStyle name="Normal 38 2 2 2" xfId="5374"/>
    <cellStyle name="Normal 38 2 3" xfId="5375"/>
    <cellStyle name="Normal 38 2 3 2" xfId="5376"/>
    <cellStyle name="Normal 38 2 4" xfId="5377"/>
    <cellStyle name="Normal 38 3" xfId="5378"/>
    <cellStyle name="Normal 38 3 2" xfId="5379"/>
    <cellStyle name="Normal 38 4" xfId="5380"/>
    <cellStyle name="Normal 38 4 2" xfId="5381"/>
    <cellStyle name="Normal 38 5" xfId="5382"/>
    <cellStyle name="Normal 38 5 2" xfId="5383"/>
    <cellStyle name="Normal 38 6" xfId="5384"/>
    <cellStyle name="Normal 38 6 2" xfId="5385"/>
    <cellStyle name="Normal 38 6 3" xfId="5386"/>
    <cellStyle name="Normal 38 7" xfId="5387"/>
    <cellStyle name="Normal 380" xfId="5388"/>
    <cellStyle name="Normal 380 2" xfId="5389"/>
    <cellStyle name="Normal 381" xfId="5390"/>
    <cellStyle name="Normal 381 2" xfId="5391"/>
    <cellStyle name="Normal 382" xfId="5392"/>
    <cellStyle name="Normal 382 2" xfId="5393"/>
    <cellStyle name="Normal 383" xfId="5394"/>
    <cellStyle name="Normal 383 2" xfId="5395"/>
    <cellStyle name="Normal 384" xfId="5396"/>
    <cellStyle name="Normal 384 2" xfId="5397"/>
    <cellStyle name="Normal 385" xfId="5398"/>
    <cellStyle name="Normal 385 2" xfId="5399"/>
    <cellStyle name="Normal 386" xfId="5400"/>
    <cellStyle name="Normal 386 2" xfId="5401"/>
    <cellStyle name="Normal 387" xfId="5402"/>
    <cellStyle name="Normal 387 2" xfId="5403"/>
    <cellStyle name="Normal 388" xfId="5404"/>
    <cellStyle name="Normal 388 2" xfId="5405"/>
    <cellStyle name="Normal 389" xfId="5406"/>
    <cellStyle name="Normal 389 2" xfId="5407"/>
    <cellStyle name="Normal 39" xfId="5408"/>
    <cellStyle name="Normal 39 2" xfId="5409"/>
    <cellStyle name="Normal 39 2 2" xfId="5410"/>
    <cellStyle name="Normal 39 2 2 2" xfId="5411"/>
    <cellStyle name="Normal 39 2 3" xfId="5412"/>
    <cellStyle name="Normal 39 2 3 2" xfId="5413"/>
    <cellStyle name="Normal 39 2 4" xfId="5414"/>
    <cellStyle name="Normal 39 3" xfId="5415"/>
    <cellStyle name="Normal 39 3 2" xfId="5416"/>
    <cellStyle name="Normal 39 4" xfId="5417"/>
    <cellStyle name="Normal 39 4 2" xfId="5418"/>
    <cellStyle name="Normal 39 5" xfId="5419"/>
    <cellStyle name="Normal 39 5 2" xfId="5420"/>
    <cellStyle name="Normal 39 5 3" xfId="5421"/>
    <cellStyle name="Normal 39 6" xfId="5422"/>
    <cellStyle name="Normal 390" xfId="5423"/>
    <cellStyle name="Normal 390 2" xfId="5424"/>
    <cellStyle name="Normal 391" xfId="5425"/>
    <cellStyle name="Normal 391 2" xfId="5426"/>
    <cellStyle name="Normal 392" xfId="5427"/>
    <cellStyle name="Normal 392 2" xfId="5428"/>
    <cellStyle name="Normal 393" xfId="5429"/>
    <cellStyle name="Normal 393 2" xfId="5430"/>
    <cellStyle name="Normal 394" xfId="5431"/>
    <cellStyle name="Normal 394 2" xfId="5432"/>
    <cellStyle name="Normal 395" xfId="5433"/>
    <cellStyle name="Normal 395 2" xfId="5434"/>
    <cellStyle name="Normal 396" xfId="5435"/>
    <cellStyle name="Normal 396 2" xfId="5436"/>
    <cellStyle name="Normal 397" xfId="5437"/>
    <cellStyle name="Normal 397 2" xfId="5438"/>
    <cellStyle name="Normal 398" xfId="5439"/>
    <cellStyle name="Normal 398 2" xfId="5440"/>
    <cellStyle name="Normal 399" xfId="5441"/>
    <cellStyle name="Normal 399 2" xfId="5442"/>
    <cellStyle name="Normal 4" xfId="5443"/>
    <cellStyle name="Normal 4 10" xfId="5444"/>
    <cellStyle name="Normal 4 10 2" xfId="5445"/>
    <cellStyle name="Normal 4 11" xfId="5446"/>
    <cellStyle name="Normal 4 11 2" xfId="5447"/>
    <cellStyle name="Normal 4 12" xfId="5448"/>
    <cellStyle name="Normal 4 12 2" xfId="5449"/>
    <cellStyle name="Normal 4 13" xfId="5450"/>
    <cellStyle name="Normal 4 13 2" xfId="5451"/>
    <cellStyle name="Normal 4 14" xfId="5452"/>
    <cellStyle name="Normal 4 2" xfId="5453"/>
    <cellStyle name="Normal 4 2 10" xfId="5454"/>
    <cellStyle name="Normal 4 2 11" xfId="5455"/>
    <cellStyle name="Normal 4 2 2" xfId="5456"/>
    <cellStyle name="Normal 4 2 2 2" xfId="5457"/>
    <cellStyle name="Normal 4 2 2 3" xfId="5458"/>
    <cellStyle name="Normal 4 2 2 4" xfId="5459"/>
    <cellStyle name="Normal 4 2 2 5" xfId="5460"/>
    <cellStyle name="Normal 4 2 2 6" xfId="5461"/>
    <cellStyle name="Normal 4 2 3" xfId="5462"/>
    <cellStyle name="Normal 4 2 3 2" xfId="5463"/>
    <cellStyle name="Normal 4 2 3 3" xfId="5464"/>
    <cellStyle name="Normal 4 2 3 4" xfId="5465"/>
    <cellStyle name="Normal 4 2 3 5" xfId="5466"/>
    <cellStyle name="Normal 4 2 4" xfId="5467"/>
    <cellStyle name="Normal 4 2 4 2" xfId="5468"/>
    <cellStyle name="Normal 4 2 4 3" xfId="5469"/>
    <cellStyle name="Normal 4 2 4 4" xfId="5470"/>
    <cellStyle name="Normal 4 2 4 5" xfId="5471"/>
    <cellStyle name="Normal 4 2 5" xfId="5472"/>
    <cellStyle name="Normal 4 2 5 2" xfId="5473"/>
    <cellStyle name="Normal 4 2 5 3" xfId="5474"/>
    <cellStyle name="Normal 4 2 5 4" xfId="5475"/>
    <cellStyle name="Normal 4 2 5 5" xfId="5476"/>
    <cellStyle name="Normal 4 2 6" xfId="5477"/>
    <cellStyle name="Normal 4 2 6 2" xfId="5478"/>
    <cellStyle name="Normal 4 2 6 3" xfId="5479"/>
    <cellStyle name="Normal 4 2 6 4" xfId="5480"/>
    <cellStyle name="Normal 4 2 6 5" xfId="5481"/>
    <cellStyle name="Normal 4 2 7" xfId="5482"/>
    <cellStyle name="Normal 4 2 7 2" xfId="5483"/>
    <cellStyle name="Normal 4 2 7 2 2" xfId="5484"/>
    <cellStyle name="Normal 4 2 7 3" xfId="5485"/>
    <cellStyle name="Normal 4 2 7 3 2" xfId="5486"/>
    <cellStyle name="Normal 4 2 7 4" xfId="5487"/>
    <cellStyle name="Normal 4 2 8" xfId="5488"/>
    <cellStyle name="Normal 4 2 8 2" xfId="5489"/>
    <cellStyle name="Normal 4 2 8 3" xfId="5490"/>
    <cellStyle name="Normal 4 2 9" xfId="5491"/>
    <cellStyle name="Normal 4 3" xfId="5492"/>
    <cellStyle name="Normal 4 3 2" xfId="5493"/>
    <cellStyle name="Normal 4 3 2 2" xfId="5494"/>
    <cellStyle name="Normal 4 3 2 2 2" xfId="5495"/>
    <cellStyle name="Normal 4 3 2 3" xfId="5496"/>
    <cellStyle name="Normal 4 3 2 4" xfId="5497"/>
    <cellStyle name="Normal 4 3 2 5" xfId="5498"/>
    <cellStyle name="Normal 4 3 2 6" xfId="5499"/>
    <cellStyle name="Normal 4 3 3" xfId="5500"/>
    <cellStyle name="Normal 4 3 4" xfId="5501"/>
    <cellStyle name="Normal 4 3 5" xfId="5502"/>
    <cellStyle name="Normal 4 4" xfId="5503"/>
    <cellStyle name="Normal 4 4 2" xfId="5504"/>
    <cellStyle name="Normal 4 4 3" xfId="5505"/>
    <cellStyle name="Normal 4 4 3 2" xfId="5506"/>
    <cellStyle name="Normal 4 4 3 3" xfId="5507"/>
    <cellStyle name="Normal 4 4 4" xfId="5508"/>
    <cellStyle name="Normal 4 4 4 2" xfId="5509"/>
    <cellStyle name="Normal 4 4 5" xfId="5510"/>
    <cellStyle name="Normal 4 5" xfId="5511"/>
    <cellStyle name="Normal 4 5 2" xfId="5512"/>
    <cellStyle name="Normal 4 5 3" xfId="5513"/>
    <cellStyle name="Normal 4 5 3 2" xfId="5514"/>
    <cellStyle name="Normal 4 5 3 3" xfId="5515"/>
    <cellStyle name="Normal 4 5 4" xfId="5516"/>
    <cellStyle name="Normal 4 6" xfId="5517"/>
    <cellStyle name="Normal 4 6 2" xfId="5518"/>
    <cellStyle name="Normal 4 6 2 2" xfId="5519"/>
    <cellStyle name="Normal 4 6 2 3" xfId="5520"/>
    <cellStyle name="Normal 4 6 3" xfId="5521"/>
    <cellStyle name="Normal 4 6 4" xfId="5522"/>
    <cellStyle name="Normal 4 6 5" xfId="5523"/>
    <cellStyle name="Normal 4 7" xfId="5524"/>
    <cellStyle name="Normal 4 7 2" xfId="5525"/>
    <cellStyle name="Normal 4 7 2 2" xfId="5526"/>
    <cellStyle name="Normal 4 7 3" xfId="5527"/>
    <cellStyle name="Normal 4 7 3 2" xfId="5528"/>
    <cellStyle name="Normal 4 7 3 3" xfId="5529"/>
    <cellStyle name="Normal 4 7 3 4" xfId="5530"/>
    <cellStyle name="Normal 4 7 4" xfId="5531"/>
    <cellStyle name="Normal 4 7 5" xfId="5532"/>
    <cellStyle name="Normal 4 7 6" xfId="5533"/>
    <cellStyle name="Normal 4 8" xfId="5534"/>
    <cellStyle name="Normal 4 8 2" xfId="5535"/>
    <cellStyle name="Normal 4 8 3" xfId="5536"/>
    <cellStyle name="Normal 4 8 4" xfId="5537"/>
    <cellStyle name="Normal 4 8 5" xfId="5538"/>
    <cellStyle name="Normal 4 9" xfId="5539"/>
    <cellStyle name="Normal 4 9 2" xfId="5540"/>
    <cellStyle name="Normal 4_123" xfId="5541"/>
    <cellStyle name="Normal 40" xfId="5542"/>
    <cellStyle name="Normal 40 2" xfId="5543"/>
    <cellStyle name="Normal 40 2 2" xfId="5544"/>
    <cellStyle name="Normal 40 2 2 2" xfId="5545"/>
    <cellStyle name="Normal 40 2 3" xfId="5546"/>
    <cellStyle name="Normal 40 2 3 2" xfId="5547"/>
    <cellStyle name="Normal 40 2 4" xfId="5548"/>
    <cellStyle name="Normal 40 3" xfId="5549"/>
    <cellStyle name="Normal 40 3 2" xfId="5550"/>
    <cellStyle name="Normal 40 4" xfId="5551"/>
    <cellStyle name="Normal 40 4 2" xfId="5552"/>
    <cellStyle name="Normal 40 5" xfId="5553"/>
    <cellStyle name="Normal 40 5 2" xfId="5554"/>
    <cellStyle name="Normal 40 5 3" xfId="5555"/>
    <cellStyle name="Normal 40 6" xfId="5556"/>
    <cellStyle name="Normal 400" xfId="5557"/>
    <cellStyle name="Normal 400 2" xfId="5558"/>
    <cellStyle name="Normal 401" xfId="5559"/>
    <cellStyle name="Normal 401 2" xfId="5560"/>
    <cellStyle name="Normal 402" xfId="5561"/>
    <cellStyle name="Normal 402 2" xfId="5562"/>
    <cellStyle name="Normal 403" xfId="5563"/>
    <cellStyle name="Normal 403 2" xfId="5564"/>
    <cellStyle name="Normal 404" xfId="5565"/>
    <cellStyle name="Normal 404 2" xfId="5566"/>
    <cellStyle name="Normal 405" xfId="5567"/>
    <cellStyle name="Normal 405 2" xfId="5568"/>
    <cellStyle name="Normal 405 2 2" xfId="5569"/>
    <cellStyle name="Normal 405 3" xfId="5570"/>
    <cellStyle name="Normal 405 3 2" xfId="5571"/>
    <cellStyle name="Normal 405 3 3" xfId="5572"/>
    <cellStyle name="Normal 405 4" xfId="5573"/>
    <cellStyle name="Normal 405 4 2" xfId="5574"/>
    <cellStyle name="Normal 405 4 3" xfId="5575"/>
    <cellStyle name="Normal 405 5" xfId="5576"/>
    <cellStyle name="Normal 406" xfId="5577"/>
    <cellStyle name="Normal 406 2" xfId="5578"/>
    <cellStyle name="Normal 406 2 2" xfId="5579"/>
    <cellStyle name="Normal 406 3" xfId="5580"/>
    <cellStyle name="Normal 406 3 2" xfId="5581"/>
    <cellStyle name="Normal 406 3 3" xfId="5582"/>
    <cellStyle name="Normal 406 4" xfId="5583"/>
    <cellStyle name="Normal 406 4 2" xfId="5584"/>
    <cellStyle name="Normal 406 4 3" xfId="5585"/>
    <cellStyle name="Normal 406 5" xfId="5586"/>
    <cellStyle name="Normal 407" xfId="5587"/>
    <cellStyle name="Normal 407 2" xfId="5588"/>
    <cellStyle name="Normal 407 2 2" xfId="5589"/>
    <cellStyle name="Normal 407 3" xfId="5590"/>
    <cellStyle name="Normal 407 3 2" xfId="5591"/>
    <cellStyle name="Normal 407 3 3" xfId="5592"/>
    <cellStyle name="Normal 407 4" xfId="5593"/>
    <cellStyle name="Normal 407 4 2" xfId="5594"/>
    <cellStyle name="Normal 407 4 3" xfId="5595"/>
    <cellStyle name="Normal 407 5" xfId="5596"/>
    <cellStyle name="Normal 408" xfId="5597"/>
    <cellStyle name="Normal 408 2" xfId="5598"/>
    <cellStyle name="Normal 408 2 2" xfId="5599"/>
    <cellStyle name="Normal 408 3" xfId="5600"/>
    <cellStyle name="Normal 408 3 2" xfId="5601"/>
    <cellStyle name="Normal 408 3 3" xfId="5602"/>
    <cellStyle name="Normal 408 4" xfId="5603"/>
    <cellStyle name="Normal 408 4 2" xfId="5604"/>
    <cellStyle name="Normal 408 4 3" xfId="5605"/>
    <cellStyle name="Normal 408 5" xfId="5606"/>
    <cellStyle name="Normal 409" xfId="5607"/>
    <cellStyle name="Normal 409 2" xfId="5608"/>
    <cellStyle name="Normal 41" xfId="5609"/>
    <cellStyle name="Normal 41 2" xfId="5610"/>
    <cellStyle name="Normal 41 2 2" xfId="5611"/>
    <cellStyle name="Normal 41 3" xfId="5612"/>
    <cellStyle name="Normal 41 3 2" xfId="5613"/>
    <cellStyle name="Normal 41 4" xfId="5614"/>
    <cellStyle name="Normal 41 4 2" xfId="5615"/>
    <cellStyle name="Normal 41 5" xfId="5616"/>
    <cellStyle name="Normal 410" xfId="5617"/>
    <cellStyle name="Normal 410 2" xfId="5618"/>
    <cellStyle name="Normal 411" xfId="5619"/>
    <cellStyle name="Normal 411 2" xfId="5620"/>
    <cellStyle name="Normal 412" xfId="5621"/>
    <cellStyle name="Normal 412 2" xfId="5622"/>
    <cellStyle name="Normal 413" xfId="5623"/>
    <cellStyle name="Normal 413 2" xfId="5624"/>
    <cellStyle name="Normal 414" xfId="5625"/>
    <cellStyle name="Normal 414 2" xfId="5626"/>
    <cellStyle name="Normal 415" xfId="5627"/>
    <cellStyle name="Normal 415 2" xfId="5628"/>
    <cellStyle name="Normal 416" xfId="5629"/>
    <cellStyle name="Normal 416 2" xfId="5630"/>
    <cellStyle name="Normal 417" xfId="5631"/>
    <cellStyle name="Normal 417 2" xfId="5632"/>
    <cellStyle name="Normal 418" xfId="5633"/>
    <cellStyle name="Normal 418 2" xfId="5634"/>
    <cellStyle name="Normal 419" xfId="5635"/>
    <cellStyle name="Normal 419 2" xfId="5636"/>
    <cellStyle name="Normal 42" xfId="5637"/>
    <cellStyle name="Normal 42 2" xfId="5638"/>
    <cellStyle name="Normal 42 2 2" xfId="5639"/>
    <cellStyle name="Normal 42 3" xfId="5640"/>
    <cellStyle name="Normal 42 3 2" xfId="5641"/>
    <cellStyle name="Normal 42 4" xfId="5642"/>
    <cellStyle name="Normal 42 4 2" xfId="5643"/>
    <cellStyle name="Normal 42 5" xfId="5644"/>
    <cellStyle name="Normal 420" xfId="5645"/>
    <cellStyle name="Normal 420 2" xfId="5646"/>
    <cellStyle name="Normal 421" xfId="5647"/>
    <cellStyle name="Normal 421 2" xfId="5648"/>
    <cellStyle name="Normal 422" xfId="5649"/>
    <cellStyle name="Normal 422 2" xfId="5650"/>
    <cellStyle name="Normal 423" xfId="5651"/>
    <cellStyle name="Normal 423 2" xfId="5652"/>
    <cellStyle name="Normal 424" xfId="5653"/>
    <cellStyle name="Normal 424 2" xfId="5654"/>
    <cellStyle name="Normal 425" xfId="5655"/>
    <cellStyle name="Normal 425 2" xfId="5656"/>
    <cellStyle name="Normal 426" xfId="5657"/>
    <cellStyle name="Normal 426 2" xfId="5658"/>
    <cellStyle name="Normal 427" xfId="5659"/>
    <cellStyle name="Normal 427 2" xfId="5660"/>
    <cellStyle name="Normal 428" xfId="5661"/>
    <cellStyle name="Normal 428 2" xfId="5662"/>
    <cellStyle name="Normal 429" xfId="5663"/>
    <cellStyle name="Normal 429 2" xfId="5664"/>
    <cellStyle name="Normal 43" xfId="5665"/>
    <cellStyle name="Normal 43 2" xfId="5666"/>
    <cellStyle name="Normal 43 2 2" xfId="5667"/>
    <cellStyle name="Normal 43 3" xfId="5668"/>
    <cellStyle name="Normal 43 3 2" xfId="5669"/>
    <cellStyle name="Normal 43 4" xfId="5670"/>
    <cellStyle name="Normal 43 4 2" xfId="5671"/>
    <cellStyle name="Normal 43 5" xfId="5672"/>
    <cellStyle name="Normal 430" xfId="5673"/>
    <cellStyle name="Normal 430 2" xfId="5674"/>
    <cellStyle name="Normal 431" xfId="5675"/>
    <cellStyle name="Normal 431 2" xfId="5676"/>
    <cellStyle name="Normal 432" xfId="5677"/>
    <cellStyle name="Normal 432 2" xfId="5678"/>
    <cellStyle name="Normal 433" xfId="5679"/>
    <cellStyle name="Normal 433 2" xfId="5680"/>
    <cellStyle name="Normal 434" xfId="5681"/>
    <cellStyle name="Normal 434 2" xfId="5682"/>
    <cellStyle name="Normal 435" xfId="5683"/>
    <cellStyle name="Normal 435 2" xfId="5684"/>
    <cellStyle name="Normal 436" xfId="5685"/>
    <cellStyle name="Normal 436 2" xfId="5686"/>
    <cellStyle name="Normal 437" xfId="5687"/>
    <cellStyle name="Normal 437 2" xfId="5688"/>
    <cellStyle name="Normal 438" xfId="5689"/>
    <cellStyle name="Normal 438 2" xfId="5690"/>
    <cellStyle name="Normal 439" xfId="5691"/>
    <cellStyle name="Normal 439 2" xfId="5692"/>
    <cellStyle name="Normal 44" xfId="5693"/>
    <cellStyle name="Normal 44 2" xfId="5694"/>
    <cellStyle name="Normal 44 2 2" xfId="5695"/>
    <cellStyle name="Normal 44 3" xfId="5696"/>
    <cellStyle name="Normal 44 3 2" xfId="5697"/>
    <cellStyle name="Normal 44 4" xfId="5698"/>
    <cellStyle name="Normal 44 4 2" xfId="5699"/>
    <cellStyle name="Normal 44 5" xfId="5700"/>
    <cellStyle name="Normal 440" xfId="5701"/>
    <cellStyle name="Normal 440 2" xfId="5702"/>
    <cellStyle name="Normal 441" xfId="5703"/>
    <cellStyle name="Normal 441 2" xfId="5704"/>
    <cellStyle name="Normal 442" xfId="5705"/>
    <cellStyle name="Normal 442 2" xfId="5706"/>
    <cellStyle name="Normal 443" xfId="5707"/>
    <cellStyle name="Normal 443 2" xfId="5708"/>
    <cellStyle name="Normal 444" xfId="5709"/>
    <cellStyle name="Normal 444 2" xfId="5710"/>
    <cellStyle name="Normal 445" xfId="5711"/>
    <cellStyle name="Normal 445 2" xfId="5712"/>
    <cellStyle name="Normal 446" xfId="5713"/>
    <cellStyle name="Normal 446 2" xfId="5714"/>
    <cellStyle name="Normal 446 2 2" xfId="5715"/>
    <cellStyle name="Normal 446 2 2 2" xfId="5716"/>
    <cellStyle name="Normal 446 2 3" xfId="5717"/>
    <cellStyle name="Normal 446 3" xfId="5718"/>
    <cellStyle name="Normal 446 3 2" xfId="5719"/>
    <cellStyle name="Normal 446 4" xfId="5720"/>
    <cellStyle name="Normal 447" xfId="5721"/>
    <cellStyle name="Normal 447 2" xfId="5722"/>
    <cellStyle name="Normal 447 2 2" xfId="5723"/>
    <cellStyle name="Normal 447 2 2 2" xfId="5724"/>
    <cellStyle name="Normal 447 2 3" xfId="5725"/>
    <cellStyle name="Normal 447 3" xfId="5726"/>
    <cellStyle name="Normal 447 3 2" xfId="5727"/>
    <cellStyle name="Normal 447 4" xfId="5728"/>
    <cellStyle name="Normal 448" xfId="5729"/>
    <cellStyle name="Normal 448 2" xfId="5730"/>
    <cellStyle name="Normal 448 2 2" xfId="5731"/>
    <cellStyle name="Normal 448 2 2 2" xfId="5732"/>
    <cellStyle name="Normal 448 2 3" xfId="5733"/>
    <cellStyle name="Normal 448 3" xfId="5734"/>
    <cellStyle name="Normal 449" xfId="5735"/>
    <cellStyle name="Normal 449 2" xfId="5736"/>
    <cellStyle name="Normal 449 2 2" xfId="5737"/>
    <cellStyle name="Normal 449 2 2 2" xfId="5738"/>
    <cellStyle name="Normal 449 2 3" xfId="5739"/>
    <cellStyle name="Normal 449 3" xfId="5740"/>
    <cellStyle name="Normal 45" xfId="5741"/>
    <cellStyle name="Normal 45 2" xfId="5742"/>
    <cellStyle name="Normal 45 2 2" xfId="5743"/>
    <cellStyle name="Normal 45 3" xfId="5744"/>
    <cellStyle name="Normal 45 3 2" xfId="5745"/>
    <cellStyle name="Normal 45 4" xfId="5746"/>
    <cellStyle name="Normal 45 4 2" xfId="5747"/>
    <cellStyle name="Normal 45 5" xfId="5748"/>
    <cellStyle name="Normal 450" xfId="5749"/>
    <cellStyle name="Normal 450 2" xfId="5750"/>
    <cellStyle name="Normal 450 2 2" xfId="5751"/>
    <cellStyle name="Normal 450 3" xfId="5752"/>
    <cellStyle name="Normal 450 3 2" xfId="5753"/>
    <cellStyle name="Normal 450 4" xfId="5754"/>
    <cellStyle name="Normal 451" xfId="5755"/>
    <cellStyle name="Normal 451 2" xfId="5756"/>
    <cellStyle name="Normal 451 2 2" xfId="5757"/>
    <cellStyle name="Normal 451 2 2 2" xfId="5758"/>
    <cellStyle name="Normal 451 2 3" xfId="5759"/>
    <cellStyle name="Normal 451 3" xfId="5760"/>
    <cellStyle name="Normal 452" xfId="5761"/>
    <cellStyle name="Normal 452 2" xfId="5762"/>
    <cellStyle name="Normal 452 2 2" xfId="5763"/>
    <cellStyle name="Normal 452 3" xfId="5764"/>
    <cellStyle name="Normal 452 3 2" xfId="5765"/>
    <cellStyle name="Normal 452 4" xfId="5766"/>
    <cellStyle name="Normal 453" xfId="5767"/>
    <cellStyle name="Normal 453 2" xfId="5768"/>
    <cellStyle name="Normal 453 2 2" xfId="5769"/>
    <cellStyle name="Normal 453 3" xfId="5770"/>
    <cellStyle name="Normal 453 3 2" xfId="5771"/>
    <cellStyle name="Normal 453 4" xfId="5772"/>
    <cellStyle name="Normal 454" xfId="5773"/>
    <cellStyle name="Normal 454 2" xfId="5774"/>
    <cellStyle name="Normal 454 2 2" xfId="5775"/>
    <cellStyle name="Normal 454 3" xfId="5776"/>
    <cellStyle name="Normal 455" xfId="5777"/>
    <cellStyle name="Normal 455 2" xfId="5778"/>
    <cellStyle name="Normal 455 2 2" xfId="5779"/>
    <cellStyle name="Normal 455 3" xfId="5780"/>
    <cellStyle name="Normal 456" xfId="5781"/>
    <cellStyle name="Normal 456 2" xfId="5782"/>
    <cellStyle name="Normal 456 2 2" xfId="5783"/>
    <cellStyle name="Normal 456 3" xfId="5784"/>
    <cellStyle name="Normal 457" xfId="5785"/>
    <cellStyle name="Normal 457 2" xfId="5786"/>
    <cellStyle name="Normal 457 2 2" xfId="5787"/>
    <cellStyle name="Normal 457 3" xfId="5788"/>
    <cellStyle name="Normal 458" xfId="5789"/>
    <cellStyle name="Normal 458 2" xfId="5790"/>
    <cellStyle name="Normal 459" xfId="5791"/>
    <cellStyle name="Normal 459 2" xfId="5792"/>
    <cellStyle name="Normal 46" xfId="5793"/>
    <cellStyle name="Normal 46 2" xfId="5794"/>
    <cellStyle name="Normal 46 2 2" xfId="5795"/>
    <cellStyle name="Normal 46 3" xfId="5796"/>
    <cellStyle name="Normal 46 3 2" xfId="5797"/>
    <cellStyle name="Normal 46 4" xfId="5798"/>
    <cellStyle name="Normal 46 4 2" xfId="5799"/>
    <cellStyle name="Normal 46 5" xfId="5800"/>
    <cellStyle name="Normal 460" xfId="5801"/>
    <cellStyle name="Normal 460 2" xfId="5802"/>
    <cellStyle name="Normal 461" xfId="5803"/>
    <cellStyle name="Normal 461 2" xfId="5804"/>
    <cellStyle name="Normal 462" xfId="5805"/>
    <cellStyle name="Normal 462 2" xfId="5806"/>
    <cellStyle name="Normal 463" xfId="5807"/>
    <cellStyle name="Normal 463 2" xfId="5808"/>
    <cellStyle name="Normal 464" xfId="5809"/>
    <cellStyle name="Normal 464 2" xfId="5810"/>
    <cellStyle name="Normal 465" xfId="5811"/>
    <cellStyle name="Normal 465 2" xfId="5812"/>
    <cellStyle name="Normal 466" xfId="5813"/>
    <cellStyle name="Normal 466 2" xfId="5814"/>
    <cellStyle name="Normal 467" xfId="5815"/>
    <cellStyle name="Normal 467 2" xfId="5816"/>
    <cellStyle name="Normal 468" xfId="5817"/>
    <cellStyle name="Normal 468 2" xfId="5818"/>
    <cellStyle name="Normal 469" xfId="5819"/>
    <cellStyle name="Normal 469 2" xfId="5820"/>
    <cellStyle name="Normal 47" xfId="5821"/>
    <cellStyle name="Normal 47 2" xfId="5822"/>
    <cellStyle name="Normal 47 2 2" xfId="5823"/>
    <cellStyle name="Normal 47 3" xfId="5824"/>
    <cellStyle name="Normal 47 3 2" xfId="5825"/>
    <cellStyle name="Normal 47 4" xfId="5826"/>
    <cellStyle name="Normal 47 4 2" xfId="5827"/>
    <cellStyle name="Normal 47 5" xfId="5828"/>
    <cellStyle name="Normal 470" xfId="5829"/>
    <cellStyle name="Normal 470 2" xfId="5830"/>
    <cellStyle name="Normal 470 2 2" xfId="5831"/>
    <cellStyle name="Normal 470 3" xfId="5832"/>
    <cellStyle name="Normal 470 3 2" xfId="5833"/>
    <cellStyle name="Normal 470 4" xfId="5834"/>
    <cellStyle name="Normal 470 4 2" xfId="5835"/>
    <cellStyle name="Normal 470 4 3" xfId="5836"/>
    <cellStyle name="Normal 470 5" xfId="5837"/>
    <cellStyle name="Normal 470 5 2" xfId="5838"/>
    <cellStyle name="Normal 470 5 3" xfId="5839"/>
    <cellStyle name="Normal 470 6" xfId="5840"/>
    <cellStyle name="Normal 471" xfId="5841"/>
    <cellStyle name="Normal 471 2" xfId="5842"/>
    <cellStyle name="Normal 471 2 2" xfId="5843"/>
    <cellStyle name="Normal 471 3" xfId="5844"/>
    <cellStyle name="Normal 471 3 2" xfId="5845"/>
    <cellStyle name="Normal 471 3 3" xfId="5846"/>
    <cellStyle name="Normal 471 4" xfId="5847"/>
    <cellStyle name="Normal 471 4 2" xfId="5848"/>
    <cellStyle name="Normal 471 4 3" xfId="5849"/>
    <cellStyle name="Normal 471 5" xfId="5850"/>
    <cellStyle name="Normal 472" xfId="5851"/>
    <cellStyle name="Normal 472 2" xfId="5852"/>
    <cellStyle name="Normal 472 2 2" xfId="5853"/>
    <cellStyle name="Normal 472 3" xfId="5854"/>
    <cellStyle name="Normal 472 3 2" xfId="5855"/>
    <cellStyle name="Normal 472 3 3" xfId="5856"/>
    <cellStyle name="Normal 472 4" xfId="5857"/>
    <cellStyle name="Normal 473" xfId="5858"/>
    <cellStyle name="Normal 473 2" xfId="5859"/>
    <cellStyle name="Normal 473 2 2" xfId="5860"/>
    <cellStyle name="Normal 473 3" xfId="5861"/>
    <cellStyle name="Normal 473 3 2" xfId="5862"/>
    <cellStyle name="Normal 473 3 3" xfId="5863"/>
    <cellStyle name="Normal 473 4" xfId="5864"/>
    <cellStyle name="Normal 474" xfId="5865"/>
    <cellStyle name="Normal 474 2" xfId="5866"/>
    <cellStyle name="Normal 475" xfId="5867"/>
    <cellStyle name="Normal 475 2" xfId="5868"/>
    <cellStyle name="Normal 476" xfId="5869"/>
    <cellStyle name="Normal 476 2" xfId="5870"/>
    <cellStyle name="Normal 477" xfId="5871"/>
    <cellStyle name="Normal 477 2" xfId="5872"/>
    <cellStyle name="Normal 478" xfId="5873"/>
    <cellStyle name="Normal 478 2" xfId="5874"/>
    <cellStyle name="Normal 479" xfId="5875"/>
    <cellStyle name="Normal 479 2" xfId="5876"/>
    <cellStyle name="Normal 48" xfId="5877"/>
    <cellStyle name="Normal 48 2" xfId="5878"/>
    <cellStyle name="Normal 48 2 2" xfId="5879"/>
    <cellStyle name="Normal 48 3" xfId="5880"/>
    <cellStyle name="Normal 48 3 2" xfId="5881"/>
    <cellStyle name="Normal 48 4" xfId="5882"/>
    <cellStyle name="Normal 48 4 2" xfId="5883"/>
    <cellStyle name="Normal 48 5" xfId="5884"/>
    <cellStyle name="Normal 480" xfId="5885"/>
    <cellStyle name="Normal 481" xfId="5886"/>
    <cellStyle name="Normal 482" xfId="5887"/>
    <cellStyle name="Normal 483" xfId="5888"/>
    <cellStyle name="Normal 484" xfId="5889"/>
    <cellStyle name="Normal 485" xfId="5890"/>
    <cellStyle name="Normal 486" xfId="5891"/>
    <cellStyle name="Normal 487" xfId="5892"/>
    <cellStyle name="Normal 488" xfId="5893"/>
    <cellStyle name="Normal 489" xfId="5894"/>
    <cellStyle name="Normal 49" xfId="5895"/>
    <cellStyle name="Normal 49 2" xfId="5896"/>
    <cellStyle name="Normal 49 2 2" xfId="5897"/>
    <cellStyle name="Normal 49 3" xfId="5898"/>
    <cellStyle name="Normal 49 3 2" xfId="5899"/>
    <cellStyle name="Normal 49 4" xfId="5900"/>
    <cellStyle name="Normal 49 4 2" xfId="5901"/>
    <cellStyle name="Normal 49 5" xfId="5902"/>
    <cellStyle name="Normal 490" xfId="5903"/>
    <cellStyle name="Normal 491" xfId="5904"/>
    <cellStyle name="Normal 492" xfId="5905"/>
    <cellStyle name="Normal 493" xfId="5906"/>
    <cellStyle name="Normal 494" xfId="5907"/>
    <cellStyle name="Normal 495" xfId="5908"/>
    <cellStyle name="Normal 496" xfId="5909"/>
    <cellStyle name="Normal 497" xfId="5910"/>
    <cellStyle name="Normal 498" xfId="5911"/>
    <cellStyle name="Normal 499" xfId="5912"/>
    <cellStyle name="Normal 5" xfId="5913"/>
    <cellStyle name="Normal 5 10" xfId="5914"/>
    <cellStyle name="Normal 5 10 2" xfId="5915"/>
    <cellStyle name="Normal 5 10 2 2" xfId="5916"/>
    <cellStyle name="Normal 5 10 3" xfId="5917"/>
    <cellStyle name="Normal 5 11" xfId="5918"/>
    <cellStyle name="Normal 5 11 2" xfId="5919"/>
    <cellStyle name="Normal 5 12" xfId="5920"/>
    <cellStyle name="Normal 5 12 2" xfId="5921"/>
    <cellStyle name="Normal 5 13" xfId="5922"/>
    <cellStyle name="Normal 5 13 2" xfId="5923"/>
    <cellStyle name="Normal 5 14" xfId="5924"/>
    <cellStyle name="Normal 5 14 2" xfId="5925"/>
    <cellStyle name="Normal 5 14 2 2" xfId="5926"/>
    <cellStyle name="Normal 5 14 3" xfId="5927"/>
    <cellStyle name="Normal 5 14 3 2" xfId="5928"/>
    <cellStyle name="Normal 5 14 3 3" xfId="5929"/>
    <cellStyle name="Normal 5 14 4" xfId="5930"/>
    <cellStyle name="Normal 5 15" xfId="5931"/>
    <cellStyle name="Normal 5 2" xfId="5932"/>
    <cellStyle name="Normal 5 2 2" xfId="5933"/>
    <cellStyle name="Normal 5 2 2 2" xfId="5934"/>
    <cellStyle name="Normal 5 2 2 2 2" xfId="5935"/>
    <cellStyle name="Normal 5 2 2 3" xfId="5936"/>
    <cellStyle name="Normal 5 2 2 4" xfId="5937"/>
    <cellStyle name="Normal 5 2 2 5" xfId="5938"/>
    <cellStyle name="Normal 5 2 2 6" xfId="5939"/>
    <cellStyle name="Normal 5 2 3" xfId="5940"/>
    <cellStyle name="Normal 5 2 3 2" xfId="5941"/>
    <cellStyle name="Normal 5 2 3 3" xfId="5942"/>
    <cellStyle name="Normal 5 2 3 4" xfId="5943"/>
    <cellStyle name="Normal 5 2 3 5" xfId="5944"/>
    <cellStyle name="Normal 5 2 4" xfId="5945"/>
    <cellStyle name="Normal 5 2 4 2" xfId="5946"/>
    <cellStyle name="Normal 5 2 4 3" xfId="5947"/>
    <cellStyle name="Normal 5 2 4 4" xfId="5948"/>
    <cellStyle name="Normal 5 2 4 5" xfId="5949"/>
    <cellStyle name="Normal 5 2 5" xfId="5950"/>
    <cellStyle name="Normal 5 2 5 2" xfId="5951"/>
    <cellStyle name="Normal 5 2 5 2 2" xfId="5952"/>
    <cellStyle name="Normal 5 2 5 3" xfId="5953"/>
    <cellStyle name="Normal 5 2 5 4" xfId="5954"/>
    <cellStyle name="Normal 5 2 5 5" xfId="5955"/>
    <cellStyle name="Normal 5 2 5 6" xfId="5956"/>
    <cellStyle name="Normal 5 2 6" xfId="5957"/>
    <cellStyle name="Normal 5 2 6 2" xfId="5958"/>
    <cellStyle name="Normal 5 2 6 3" xfId="5959"/>
    <cellStyle name="Normal 5 2 7" xfId="5960"/>
    <cellStyle name="Normal 5 2 8" xfId="5961"/>
    <cellStyle name="Normal 5 2 9" xfId="5962"/>
    <cellStyle name="Normal 5 3" xfId="5963"/>
    <cellStyle name="Normal 5 3 2" xfId="5964"/>
    <cellStyle name="Normal 5 3 2 2" xfId="5965"/>
    <cellStyle name="Normal 5 3 2 2 2" xfId="5966"/>
    <cellStyle name="Normal 5 3 2 2 3" xfId="5967"/>
    <cellStyle name="Normal 5 3 2 3" xfId="5968"/>
    <cellStyle name="Normal 5 3 2 3 2" xfId="5969"/>
    <cellStyle name="Normal 5 3 2 4" xfId="5970"/>
    <cellStyle name="Normal 5 3 2 5" xfId="5971"/>
    <cellStyle name="Normal 5 3 3" xfId="5972"/>
    <cellStyle name="Normal 5 3 3 2" xfId="5973"/>
    <cellStyle name="Normal 5 3 3 2 2" xfId="5974"/>
    <cellStyle name="Normal 5 3 3 2 3" xfId="5975"/>
    <cellStyle name="Normal 5 3 3 3" xfId="5976"/>
    <cellStyle name="Normal 5 3 3 3 2" xfId="5977"/>
    <cellStyle name="Normal 5 3 3 4" xfId="5978"/>
    <cellStyle name="Normal 5 3 3 5" xfId="5979"/>
    <cellStyle name="Normal 5 3 4" xfId="5980"/>
    <cellStyle name="Normal 5 3 4 2" xfId="5981"/>
    <cellStyle name="Normal 5 3 4 3" xfId="5982"/>
    <cellStyle name="Normal 5 3 5" xfId="5983"/>
    <cellStyle name="Normal 5 3 6" xfId="5984"/>
    <cellStyle name="Normal 5 3 7" xfId="5985"/>
    <cellStyle name="Normal 5 4" xfId="5986"/>
    <cellStyle name="Normal 5 4 2" xfId="5987"/>
    <cellStyle name="Normal 5 4 2 2" xfId="5988"/>
    <cellStyle name="Normal 5 4 2 3" xfId="5989"/>
    <cellStyle name="Normal 5 4 3" xfId="5990"/>
    <cellStyle name="Normal 5 4 3 2" xfId="5991"/>
    <cellStyle name="Normal 5 4 4" xfId="5992"/>
    <cellStyle name="Normal 5 4 5" xfId="5993"/>
    <cellStyle name="Normal 5 5" xfId="5994"/>
    <cellStyle name="Normal 5 6" xfId="5995"/>
    <cellStyle name="Normal 5 6 2" xfId="5996"/>
    <cellStyle name="Normal 5 6 3" xfId="5997"/>
    <cellStyle name="Normal 5 6 4" xfId="5998"/>
    <cellStyle name="Normal 5 6 5" xfId="5999"/>
    <cellStyle name="Normal 5 7" xfId="6000"/>
    <cellStyle name="Normal 5 7 2" xfId="6001"/>
    <cellStyle name="Normal 5 7 3" xfId="6002"/>
    <cellStyle name="Normal 5 7 4" xfId="6003"/>
    <cellStyle name="Normal 5 7 5" xfId="6004"/>
    <cellStyle name="Normal 5 8" xfId="6005"/>
    <cellStyle name="Normal 5 8 2" xfId="6006"/>
    <cellStyle name="Normal 5 9" xfId="6007"/>
    <cellStyle name="Normal 5 9 2" xfId="6008"/>
    <cellStyle name="Normal 5 9 2 2" xfId="6009"/>
    <cellStyle name="Normal 5 9 2 3" xfId="6010"/>
    <cellStyle name="Normal 5 9 3" xfId="6011"/>
    <cellStyle name="Normal 5_Draft SFR tables 300113 V8" xfId="6012"/>
    <cellStyle name="Normal 50" xfId="6013"/>
    <cellStyle name="Normal 50 2" xfId="6014"/>
    <cellStyle name="Normal 50 2 2" xfId="6015"/>
    <cellStyle name="Normal 50 2 2 2" xfId="6016"/>
    <cellStyle name="Normal 50 2 3" xfId="6017"/>
    <cellStyle name="Normal 50 3" xfId="6018"/>
    <cellStyle name="Normal 50 3 2" xfId="6019"/>
    <cellStyle name="Normal 50 4" xfId="6020"/>
    <cellStyle name="Normal 50 4 2" xfId="6021"/>
    <cellStyle name="Normal 50 5" xfId="6022"/>
    <cellStyle name="Normal 51" xfId="6023"/>
    <cellStyle name="Normal 51 2" xfId="6024"/>
    <cellStyle name="Normal 51 2 2" xfId="6025"/>
    <cellStyle name="Normal 51 2 2 2" xfId="6026"/>
    <cellStyle name="Normal 51 2 3" xfId="6027"/>
    <cellStyle name="Normal 51 3" xfId="6028"/>
    <cellStyle name="Normal 51 3 2" xfId="6029"/>
    <cellStyle name="Normal 51 4" xfId="6030"/>
    <cellStyle name="Normal 51 4 2" xfId="6031"/>
    <cellStyle name="Normal 51 5" xfId="6032"/>
    <cellStyle name="Normal 52" xfId="6033"/>
    <cellStyle name="Normal 52 2" xfId="6034"/>
    <cellStyle name="Normal 52 2 2" xfId="6035"/>
    <cellStyle name="Normal 52 2 2 2" xfId="6036"/>
    <cellStyle name="Normal 52 2 3" xfId="6037"/>
    <cellStyle name="Normal 52 3" xfId="6038"/>
    <cellStyle name="Normal 52 3 2" xfId="6039"/>
    <cellStyle name="Normal 52 4" xfId="6040"/>
    <cellStyle name="Normal 52 4 2" xfId="6041"/>
    <cellStyle name="Normal 52 5" xfId="6042"/>
    <cellStyle name="Normal 53" xfId="6043"/>
    <cellStyle name="Normal 53 2" xfId="6044"/>
    <cellStyle name="Normal 53 2 2" xfId="6045"/>
    <cellStyle name="Normal 53 2 2 2" xfId="6046"/>
    <cellStyle name="Normal 53 2 3" xfId="6047"/>
    <cellStyle name="Normal 53 3" xfId="6048"/>
    <cellStyle name="Normal 53 3 2" xfId="6049"/>
    <cellStyle name="Normal 53 4" xfId="6050"/>
    <cellStyle name="Normal 53 4 2" xfId="6051"/>
    <cellStyle name="Normal 53 5" xfId="6052"/>
    <cellStyle name="Normal 54" xfId="6053"/>
    <cellStyle name="Normal 54 2" xfId="6054"/>
    <cellStyle name="Normal 54 2 2" xfId="6055"/>
    <cellStyle name="Normal 54 2 2 2" xfId="6056"/>
    <cellStyle name="Normal 54 2 3" xfId="6057"/>
    <cellStyle name="Normal 54 3" xfId="6058"/>
    <cellStyle name="Normal 54 3 2" xfId="6059"/>
    <cellStyle name="Normal 54 4" xfId="6060"/>
    <cellStyle name="Normal 54 4 2" xfId="6061"/>
    <cellStyle name="Normal 54 5" xfId="6062"/>
    <cellStyle name="Normal 55" xfId="6063"/>
    <cellStyle name="Normal 55 2" xfId="6064"/>
    <cellStyle name="Normal 55 2 2" xfId="6065"/>
    <cellStyle name="Normal 55 2 2 2" xfId="6066"/>
    <cellStyle name="Normal 55 2 3" xfId="6067"/>
    <cellStyle name="Normal 55 3" xfId="6068"/>
    <cellStyle name="Normal 55 3 2" xfId="6069"/>
    <cellStyle name="Normal 55 4" xfId="6070"/>
    <cellStyle name="Normal 55 4 2" xfId="6071"/>
    <cellStyle name="Normal 55 5" xfId="6072"/>
    <cellStyle name="Normal 56" xfId="6073"/>
    <cellStyle name="Normal 56 2" xfId="6074"/>
    <cellStyle name="Normal 56 2 2" xfId="6075"/>
    <cellStyle name="Normal 56 2 2 2" xfId="6076"/>
    <cellStyle name="Normal 56 2 3" xfId="6077"/>
    <cellStyle name="Normal 56 3" xfId="6078"/>
    <cellStyle name="Normal 56 3 2" xfId="6079"/>
    <cellStyle name="Normal 56 4" xfId="6080"/>
    <cellStyle name="Normal 56 4 2" xfId="6081"/>
    <cellStyle name="Normal 56 5" xfId="6082"/>
    <cellStyle name="Normal 57" xfId="6083"/>
    <cellStyle name="Normal 57 2" xfId="6084"/>
    <cellStyle name="Normal 57 2 2" xfId="6085"/>
    <cellStyle name="Normal 57 2 2 2" xfId="6086"/>
    <cellStyle name="Normal 57 2 3" xfId="6087"/>
    <cellStyle name="Normal 57 3" xfId="6088"/>
    <cellStyle name="Normal 57 3 2" xfId="6089"/>
    <cellStyle name="Normal 57 4" xfId="6090"/>
    <cellStyle name="Normal 57 4 2" xfId="6091"/>
    <cellStyle name="Normal 57 5" xfId="6092"/>
    <cellStyle name="Normal 58" xfId="6093"/>
    <cellStyle name="Normal 58 2" xfId="6094"/>
    <cellStyle name="Normal 58 2 2" xfId="6095"/>
    <cellStyle name="Normal 58 2 2 2" xfId="6096"/>
    <cellStyle name="Normal 58 2 3" xfId="6097"/>
    <cellStyle name="Normal 58 3" xfId="6098"/>
    <cellStyle name="Normal 58 3 2" xfId="6099"/>
    <cellStyle name="Normal 58 4" xfId="6100"/>
    <cellStyle name="Normal 58 4 2" xfId="6101"/>
    <cellStyle name="Normal 58 5" xfId="6102"/>
    <cellStyle name="Normal 59" xfId="6103"/>
    <cellStyle name="Normal 59 2" xfId="6104"/>
    <cellStyle name="Normal 59 2 2" xfId="6105"/>
    <cellStyle name="Normal 59 2 2 2" xfId="6106"/>
    <cellStyle name="Normal 59 2 3" xfId="6107"/>
    <cellStyle name="Normal 59 3" xfId="6108"/>
    <cellStyle name="Normal 59 3 2" xfId="6109"/>
    <cellStyle name="Normal 59 4" xfId="6110"/>
    <cellStyle name="Normal 59 4 2" xfId="6111"/>
    <cellStyle name="Normal 59 5" xfId="6112"/>
    <cellStyle name="Normal 6" xfId="6113"/>
    <cellStyle name="Normal 6 2" xfId="6114"/>
    <cellStyle name="Normal 6 2 2" xfId="6115"/>
    <cellStyle name="Normal 6 2 2 2" xfId="6116"/>
    <cellStyle name="Normal 6 2 3" xfId="6117"/>
    <cellStyle name="Normal 6 3" xfId="6118"/>
    <cellStyle name="Normal 6 3 2" xfId="6119"/>
    <cellStyle name="Normal 6 4" xfId="6120"/>
    <cellStyle name="Normal 6 4 2" xfId="6121"/>
    <cellStyle name="Normal 6 5" xfId="6122"/>
    <cellStyle name="Normal 6 5 2" xfId="6123"/>
    <cellStyle name="Normal 6 5 2 2" xfId="6124"/>
    <cellStyle name="Normal 6 5 3" xfId="6125"/>
    <cellStyle name="Normal 6 5 3 2" xfId="6126"/>
    <cellStyle name="Normal 6 5 3 3" xfId="6127"/>
    <cellStyle name="Normal 6 5 4" xfId="6128"/>
    <cellStyle name="Normal 6 6" xfId="6129"/>
    <cellStyle name="Normal 6 7" xfId="6130"/>
    <cellStyle name="Normal 6 7 2" xfId="6131"/>
    <cellStyle name="Normal 60" xfId="6132"/>
    <cellStyle name="Normal 60 2" xfId="6133"/>
    <cellStyle name="Normal 60 2 2" xfId="6134"/>
    <cellStyle name="Normal 60 2 2 2" xfId="6135"/>
    <cellStyle name="Normal 60 2 3" xfId="6136"/>
    <cellStyle name="Normal 60 3" xfId="6137"/>
    <cellStyle name="Normal 60 3 2" xfId="6138"/>
    <cellStyle name="Normal 60 4" xfId="6139"/>
    <cellStyle name="Normal 60 4 2" xfId="6140"/>
    <cellStyle name="Normal 60 5" xfId="6141"/>
    <cellStyle name="Normal 61" xfId="6142"/>
    <cellStyle name="Normal 61 2" xfId="6143"/>
    <cellStyle name="Normal 61 2 2" xfId="6144"/>
    <cellStyle name="Normal 61 2 2 2" xfId="6145"/>
    <cellStyle name="Normal 61 2 3" xfId="6146"/>
    <cellStyle name="Normal 61 3" xfId="6147"/>
    <cellStyle name="Normal 61 3 2" xfId="6148"/>
    <cellStyle name="Normal 61 4" xfId="6149"/>
    <cellStyle name="Normal 61 4 2" xfId="6150"/>
    <cellStyle name="Normal 61 5" xfId="6151"/>
    <cellStyle name="Normal 62" xfId="6152"/>
    <cellStyle name="Normal 62 2" xfId="6153"/>
    <cellStyle name="Normal 62 2 2" xfId="6154"/>
    <cellStyle name="Normal 62 2 2 2" xfId="6155"/>
    <cellStyle name="Normal 62 2 3" xfId="6156"/>
    <cellStyle name="Normal 62 3" xfId="6157"/>
    <cellStyle name="Normal 62 3 2" xfId="6158"/>
    <cellStyle name="Normal 62 4" xfId="6159"/>
    <cellStyle name="Normal 62 4 2" xfId="6160"/>
    <cellStyle name="Normal 62 5" xfId="6161"/>
    <cellStyle name="Normal 63" xfId="6162"/>
    <cellStyle name="Normal 63 2" xfId="6163"/>
    <cellStyle name="Normal 63 2 2" xfId="6164"/>
    <cellStyle name="Normal 63 3" xfId="6165"/>
    <cellStyle name="Normal 63 3 2" xfId="6166"/>
    <cellStyle name="Normal 63 4" xfId="6167"/>
    <cellStyle name="Normal 63 4 2" xfId="6168"/>
    <cellStyle name="Normal 63 5" xfId="6169"/>
    <cellStyle name="Normal 64" xfId="6170"/>
    <cellStyle name="Normal 64 2" xfId="6171"/>
    <cellStyle name="Normal 64 2 2" xfId="6172"/>
    <cellStyle name="Normal 64 3" xfId="6173"/>
    <cellStyle name="Normal 64 3 2" xfId="6174"/>
    <cellStyle name="Normal 64 4" xfId="6175"/>
    <cellStyle name="Normal 64 4 2" xfId="6176"/>
    <cellStyle name="Normal 64 5" xfId="6177"/>
    <cellStyle name="Normal 65" xfId="6178"/>
    <cellStyle name="Normal 65 2" xfId="6179"/>
    <cellStyle name="Normal 65 2 2" xfId="6180"/>
    <cellStyle name="Normal 65 3" xfId="6181"/>
    <cellStyle name="Normal 65 3 2" xfId="6182"/>
    <cellStyle name="Normal 65 4" xfId="6183"/>
    <cellStyle name="Normal 65 4 2" xfId="6184"/>
    <cellStyle name="Normal 65 5" xfId="6185"/>
    <cellStyle name="Normal 66" xfId="6186"/>
    <cellStyle name="Normal 66 2" xfId="6187"/>
    <cellStyle name="Normal 66 2 2" xfId="6188"/>
    <cellStyle name="Normal 66 3" xfId="6189"/>
    <cellStyle name="Normal 66 3 2" xfId="6190"/>
    <cellStyle name="Normal 66 4" xfId="6191"/>
    <cellStyle name="Normal 66 4 2" xfId="6192"/>
    <cellStyle name="Normal 66 5" xfId="6193"/>
    <cellStyle name="Normal 67" xfId="6194"/>
    <cellStyle name="Normal 67 2" xfId="6195"/>
    <cellStyle name="Normal 67 2 2" xfId="6196"/>
    <cellStyle name="Normal 67 2 2 2" xfId="6197"/>
    <cellStyle name="Normal 67 2 3" xfId="6198"/>
    <cellStyle name="Normal 67 3" xfId="6199"/>
    <cellStyle name="Normal 67 3 2" xfId="6200"/>
    <cellStyle name="Normal 67 4" xfId="6201"/>
    <cellStyle name="Normal 67 4 2" xfId="6202"/>
    <cellStyle name="Normal 67 5" xfId="6203"/>
    <cellStyle name="Normal 68" xfId="6204"/>
    <cellStyle name="Normal 68 2" xfId="6205"/>
    <cellStyle name="Normal 68 2 2" xfId="6206"/>
    <cellStyle name="Normal 68 2 2 2" xfId="6207"/>
    <cellStyle name="Normal 68 2 3" xfId="6208"/>
    <cellStyle name="Normal 68 3" xfId="6209"/>
    <cellStyle name="Normal 68 3 2" xfId="6210"/>
    <cellStyle name="Normal 68 4" xfId="6211"/>
    <cellStyle name="Normal 68 4 2" xfId="6212"/>
    <cellStyle name="Normal 68 5" xfId="6213"/>
    <cellStyle name="Normal 69" xfId="6214"/>
    <cellStyle name="Normal 69 2" xfId="6215"/>
    <cellStyle name="Normal 69 2 2" xfId="6216"/>
    <cellStyle name="Normal 69 2 2 2" xfId="6217"/>
    <cellStyle name="Normal 69 2 3" xfId="6218"/>
    <cellStyle name="Normal 69 3" xfId="6219"/>
    <cellStyle name="Normal 69 3 2" xfId="6220"/>
    <cellStyle name="Normal 69 4" xfId="6221"/>
    <cellStyle name="Normal 69 4 2" xfId="6222"/>
    <cellStyle name="Normal 69 5" xfId="6223"/>
    <cellStyle name="Normal 7" xfId="6224"/>
    <cellStyle name="Normal 7 10" xfId="6225"/>
    <cellStyle name="Normal 7 10 2" xfId="6226"/>
    <cellStyle name="Normal 7 10 2 2" xfId="6227"/>
    <cellStyle name="Normal 7 10 3" xfId="6228"/>
    <cellStyle name="Normal 7 11" xfId="6229"/>
    <cellStyle name="Normal 7 11 2" xfId="6230"/>
    <cellStyle name="Normal 7 11 2 2" xfId="6231"/>
    <cellStyle name="Normal 7 11 3" xfId="6232"/>
    <cellStyle name="Normal 7 12" xfId="6233"/>
    <cellStyle name="Normal 7 12 2" xfId="6234"/>
    <cellStyle name="Normal 7 13" xfId="6235"/>
    <cellStyle name="Normal 7 2" xfId="6236"/>
    <cellStyle name="Normal 7 2 2" xfId="6237"/>
    <cellStyle name="Normal 7 2 2 2" xfId="6238"/>
    <cellStyle name="Normal 7 2 2 2 2" xfId="6239"/>
    <cellStyle name="Normal 7 2 2 3" xfId="6240"/>
    <cellStyle name="Normal 7 2 2 3 2" xfId="6241"/>
    <cellStyle name="Normal 7 2 2 4" xfId="6242"/>
    <cellStyle name="Normal 7 2 3" xfId="6243"/>
    <cellStyle name="Normal 7 2 3 2" xfId="6244"/>
    <cellStyle name="Normal 7 2 3 2 2" xfId="6245"/>
    <cellStyle name="Normal 7 2 3 3" xfId="6246"/>
    <cellStyle name="Normal 7 2 3 3 2" xfId="6247"/>
    <cellStyle name="Normal 7 2 3 4" xfId="6248"/>
    <cellStyle name="Normal 7 2 4" xfId="6249"/>
    <cellStyle name="Normal 7 2 4 2" xfId="6250"/>
    <cellStyle name="Normal 7 2 5" xfId="6251"/>
    <cellStyle name="Normal 7 2 5 2" xfId="6252"/>
    <cellStyle name="Normal 7 2 6" xfId="6253"/>
    <cellStyle name="Normal 7 3" xfId="6254"/>
    <cellStyle name="Normal 7 3 2" xfId="6255"/>
    <cellStyle name="Normal 7 3 2 2" xfId="6256"/>
    <cellStyle name="Normal 7 3 3" xfId="6257"/>
    <cellStyle name="Normal 7 4" xfId="6258"/>
    <cellStyle name="Normal 7 4 2" xfId="6259"/>
    <cellStyle name="Normal 7 4 2 2" xfId="6260"/>
    <cellStyle name="Normal 7 4 3" xfId="6261"/>
    <cellStyle name="Normal 7 4 3 2" xfId="6262"/>
    <cellStyle name="Normal 7 4 4" xfId="6263"/>
    <cellStyle name="Normal 7 4 4 2" xfId="6264"/>
    <cellStyle name="Normal 7 4 5" xfId="6265"/>
    <cellStyle name="Normal 7 4_Traineeship Mock MI Tables V11" xfId="6266"/>
    <cellStyle name="Normal 7 5" xfId="6267"/>
    <cellStyle name="Normal 7 5 2" xfId="6268"/>
    <cellStyle name="Normal 7 5 2 2" xfId="6269"/>
    <cellStyle name="Normal 7 5 3" xfId="6270"/>
    <cellStyle name="Normal 7 5 3 2" xfId="6271"/>
    <cellStyle name="Normal 7 5 4" xfId="6272"/>
    <cellStyle name="Normal 7 5 4 2" xfId="6273"/>
    <cellStyle name="Normal 7 5 5" xfId="6274"/>
    <cellStyle name="Normal 7 5 5 2" xfId="6275"/>
    <cellStyle name="Normal 7 5 6" xfId="6276"/>
    <cellStyle name="Normal 7 6" xfId="6277"/>
    <cellStyle name="Normal 7 6 2" xfId="6278"/>
    <cellStyle name="Normal 7 6 2 2" xfId="6279"/>
    <cellStyle name="Normal 7 6 3" xfId="6280"/>
    <cellStyle name="Normal 7 7" xfId="6281"/>
    <cellStyle name="Normal 7 7 2" xfId="6282"/>
    <cellStyle name="Normal 7 8" xfId="6283"/>
    <cellStyle name="Normal 7 8 2" xfId="6284"/>
    <cellStyle name="Normal 7 8 2 2" xfId="6285"/>
    <cellStyle name="Normal 7 8 3" xfId="6286"/>
    <cellStyle name="Normal 7 9" xfId="6287"/>
    <cellStyle name="Normal 7 9 2" xfId="6288"/>
    <cellStyle name="Normal 7 9 3" xfId="6289"/>
    <cellStyle name="Normal 7_Analysis File Template" xfId="6290"/>
    <cellStyle name="Normal 70" xfId="6291"/>
    <cellStyle name="Normal 70 2" xfId="6292"/>
    <cellStyle name="Normal 70 2 2" xfId="6293"/>
    <cellStyle name="Normal 70 2 2 2" xfId="6294"/>
    <cellStyle name="Normal 70 2 3" xfId="6295"/>
    <cellStyle name="Normal 70 3" xfId="6296"/>
    <cellStyle name="Normal 70 3 2" xfId="6297"/>
    <cellStyle name="Normal 70 4" xfId="6298"/>
    <cellStyle name="Normal 70 4 2" xfId="6299"/>
    <cellStyle name="Normal 70 5" xfId="6300"/>
    <cellStyle name="Normal 71" xfId="6301"/>
    <cellStyle name="Normal 71 2" xfId="6302"/>
    <cellStyle name="Normal 71 2 2" xfId="6303"/>
    <cellStyle name="Normal 71 2 2 2" xfId="6304"/>
    <cellStyle name="Normal 71 2 3" xfId="6305"/>
    <cellStyle name="Normal 71 3" xfId="6306"/>
    <cellStyle name="Normal 71 3 2" xfId="6307"/>
    <cellStyle name="Normal 71 4" xfId="6308"/>
    <cellStyle name="Normal 71 4 2" xfId="6309"/>
    <cellStyle name="Normal 71 5" xfId="6310"/>
    <cellStyle name="Normal 72" xfId="6311"/>
    <cellStyle name="Normal 72 2" xfId="6312"/>
    <cellStyle name="Normal 72 2 2" xfId="6313"/>
    <cellStyle name="Normal 72 2 2 2" xfId="6314"/>
    <cellStyle name="Normal 72 2 3" xfId="6315"/>
    <cellStyle name="Normal 72 3" xfId="6316"/>
    <cellStyle name="Normal 72 3 2" xfId="6317"/>
    <cellStyle name="Normal 72 4" xfId="6318"/>
    <cellStyle name="Normal 72 4 2" xfId="6319"/>
    <cellStyle name="Normal 72 5" xfId="6320"/>
    <cellStyle name="Normal 73" xfId="6321"/>
    <cellStyle name="Normal 73 2" xfId="6322"/>
    <cellStyle name="Normal 73 2 2" xfId="6323"/>
    <cellStyle name="Normal 73 2 2 2" xfId="6324"/>
    <cellStyle name="Normal 73 2 3" xfId="6325"/>
    <cellStyle name="Normal 73 3" xfId="6326"/>
    <cellStyle name="Normal 73 3 2" xfId="6327"/>
    <cellStyle name="Normal 73 4" xfId="6328"/>
    <cellStyle name="Normal 73 4 2" xfId="6329"/>
    <cellStyle name="Normal 73 5" xfId="6330"/>
    <cellStyle name="Normal 74" xfId="6331"/>
    <cellStyle name="Normal 74 2" xfId="6332"/>
    <cellStyle name="Normal 74 2 2" xfId="6333"/>
    <cellStyle name="Normal 74 2 2 2" xfId="6334"/>
    <cellStyle name="Normal 74 2 3" xfId="6335"/>
    <cellStyle name="Normal 74 3" xfId="6336"/>
    <cellStyle name="Normal 74 3 2" xfId="6337"/>
    <cellStyle name="Normal 74 3 2 2" xfId="6338"/>
    <cellStyle name="Normal 74 3 3" xfId="6339"/>
    <cellStyle name="Normal 74 3 3 2" xfId="6340"/>
    <cellStyle name="Normal 74 3 3 3" xfId="6341"/>
    <cellStyle name="Normal 74 3 4" xfId="6342"/>
    <cellStyle name="Normal 74 4" xfId="6343"/>
    <cellStyle name="Normal 74 4 2" xfId="6344"/>
    <cellStyle name="Normal 74 4 2 2" xfId="6345"/>
    <cellStyle name="Normal 74 4 3" xfId="6346"/>
    <cellStyle name="Normal 74 5" xfId="6347"/>
    <cellStyle name="Normal 74 5 2" xfId="6348"/>
    <cellStyle name="Normal 74 6" xfId="6349"/>
    <cellStyle name="Normal 75" xfId="6350"/>
    <cellStyle name="Normal 75 2" xfId="6351"/>
    <cellStyle name="Normal 75 2 2" xfId="6352"/>
    <cellStyle name="Normal 75 2 2 2" xfId="6353"/>
    <cellStyle name="Normal 75 2 3" xfId="6354"/>
    <cellStyle name="Normal 75 3" xfId="6355"/>
    <cellStyle name="Normal 75 3 2" xfId="6356"/>
    <cellStyle name="Normal 75 3 2 2" xfId="6357"/>
    <cellStyle name="Normal 75 3 3" xfId="6358"/>
    <cellStyle name="Normal 75 3 3 2" xfId="6359"/>
    <cellStyle name="Normal 75 3 3 3" xfId="6360"/>
    <cellStyle name="Normal 75 3 4" xfId="6361"/>
    <cellStyle name="Normal 75 4" xfId="6362"/>
    <cellStyle name="Normal 75 4 2" xfId="6363"/>
    <cellStyle name="Normal 75 4 2 2" xfId="6364"/>
    <cellStyle name="Normal 75 4 3" xfId="6365"/>
    <cellStyle name="Normal 75 5" xfId="6366"/>
    <cellStyle name="Normal 75 5 2" xfId="6367"/>
    <cellStyle name="Normal 75 6" xfId="6368"/>
    <cellStyle name="Normal 76" xfId="6369"/>
    <cellStyle name="Normal 76 2" xfId="6370"/>
    <cellStyle name="Normal 76 2 2" xfId="6371"/>
    <cellStyle name="Normal 76 2 2 2" xfId="6372"/>
    <cellStyle name="Normal 76 2 3" xfId="6373"/>
    <cellStyle name="Normal 76 3" xfId="6374"/>
    <cellStyle name="Normal 76 3 2" xfId="6375"/>
    <cellStyle name="Normal 76 3 2 2" xfId="6376"/>
    <cellStyle name="Normal 76 3 3" xfId="6377"/>
    <cellStyle name="Normal 76 3 3 2" xfId="6378"/>
    <cellStyle name="Normal 76 3 3 3" xfId="6379"/>
    <cellStyle name="Normal 76 3 4" xfId="6380"/>
    <cellStyle name="Normal 76 4" xfId="6381"/>
    <cellStyle name="Normal 76 4 2" xfId="6382"/>
    <cellStyle name="Normal 76 5" xfId="6383"/>
    <cellStyle name="Normal 77" xfId="6384"/>
    <cellStyle name="Normal 77 2" xfId="6385"/>
    <cellStyle name="Normal 77 2 2" xfId="6386"/>
    <cellStyle name="Normal 77 2 2 2" xfId="6387"/>
    <cellStyle name="Normal 77 2 3" xfId="6388"/>
    <cellStyle name="Normal 77 3" xfId="6389"/>
    <cellStyle name="Normal 77 3 2" xfId="6390"/>
    <cellStyle name="Normal 77 3 2 2" xfId="6391"/>
    <cellStyle name="Normal 77 3 3" xfId="6392"/>
    <cellStyle name="Normal 77 3 3 2" xfId="6393"/>
    <cellStyle name="Normal 77 3 3 3" xfId="6394"/>
    <cellStyle name="Normal 77 3 4" xfId="6395"/>
    <cellStyle name="Normal 77 4" xfId="6396"/>
    <cellStyle name="Normal 77 4 2" xfId="6397"/>
    <cellStyle name="Normal 77 5" xfId="6398"/>
    <cellStyle name="Normal 78" xfId="6399"/>
    <cellStyle name="Normal 78 2" xfId="6400"/>
    <cellStyle name="Normal 78 2 2" xfId="6401"/>
    <cellStyle name="Normal 78 2 2 2" xfId="6402"/>
    <cellStyle name="Normal 78 2 3" xfId="6403"/>
    <cellStyle name="Normal 78 3" xfId="6404"/>
    <cellStyle name="Normal 78 3 2" xfId="6405"/>
    <cellStyle name="Normal 78 3 2 2" xfId="6406"/>
    <cellStyle name="Normal 78 3 3" xfId="6407"/>
    <cellStyle name="Normal 78 3 3 2" xfId="6408"/>
    <cellStyle name="Normal 78 3 3 3" xfId="6409"/>
    <cellStyle name="Normal 78 3 4" xfId="6410"/>
    <cellStyle name="Normal 78 4" xfId="6411"/>
    <cellStyle name="Normal 78 4 2" xfId="6412"/>
    <cellStyle name="Normal 78 5" xfId="6413"/>
    <cellStyle name="Normal 79" xfId="6414"/>
    <cellStyle name="Normal 79 2" xfId="6415"/>
    <cellStyle name="Normal 79 2 2" xfId="6416"/>
    <cellStyle name="Normal 79 2 2 2" xfId="6417"/>
    <cellStyle name="Normal 79 2 3" xfId="6418"/>
    <cellStyle name="Normal 79 3" xfId="6419"/>
    <cellStyle name="Normal 79 3 2" xfId="6420"/>
    <cellStyle name="Normal 79 3 2 2" xfId="6421"/>
    <cellStyle name="Normal 79 3 3" xfId="6422"/>
    <cellStyle name="Normal 79 3 3 2" xfId="6423"/>
    <cellStyle name="Normal 79 3 3 3" xfId="6424"/>
    <cellStyle name="Normal 79 3 4" xfId="6425"/>
    <cellStyle name="Normal 79 4" xfId="6426"/>
    <cellStyle name="Normal 79 4 2" xfId="6427"/>
    <cellStyle name="Normal 79 5" xfId="6428"/>
    <cellStyle name="Normal 8" xfId="6429"/>
    <cellStyle name="Normal 8 2" xfId="6430"/>
    <cellStyle name="Normal 8 2 2" xfId="6431"/>
    <cellStyle name="Normal 8 2 2 2" xfId="6432"/>
    <cellStyle name="Normal 8 2 2 2 2" xfId="6433"/>
    <cellStyle name="Normal 8 2 2 3" xfId="6434"/>
    <cellStyle name="Normal 8 2 3" xfId="6435"/>
    <cellStyle name="Normal 8 2 3 2" xfId="6436"/>
    <cellStyle name="Normal 8 2 4" xfId="6437"/>
    <cellStyle name="Normal 8 3" xfId="6438"/>
    <cellStyle name="Normal 8 3 2" xfId="6439"/>
    <cellStyle name="Normal 8 3 2 2" xfId="6440"/>
    <cellStyle name="Normal 8 3 3" xfId="6441"/>
    <cellStyle name="Normal 8 4" xfId="6442"/>
    <cellStyle name="Normal 8 5" xfId="6443"/>
    <cellStyle name="Normal 8 5 2" xfId="6444"/>
    <cellStyle name="Normal 8 6" xfId="6445"/>
    <cellStyle name="Normal 8_Draft SFR tables 300113 V8" xfId="6446"/>
    <cellStyle name="Normal 80" xfId="6447"/>
    <cellStyle name="Normal 80 2" xfId="6448"/>
    <cellStyle name="Normal 80 2 2" xfId="6449"/>
    <cellStyle name="Normal 80 2 2 2" xfId="6450"/>
    <cellStyle name="Normal 80 2 3" xfId="6451"/>
    <cellStyle name="Normal 80 3" xfId="6452"/>
    <cellStyle name="Normal 80 3 2" xfId="6453"/>
    <cellStyle name="Normal 80 3 2 2" xfId="6454"/>
    <cellStyle name="Normal 80 3 3" xfId="6455"/>
    <cellStyle name="Normal 80 3 3 2" xfId="6456"/>
    <cellStyle name="Normal 80 3 3 3" xfId="6457"/>
    <cellStyle name="Normal 80 3 4" xfId="6458"/>
    <cellStyle name="Normal 80 4" xfId="6459"/>
    <cellStyle name="Normal 80 4 2" xfId="6460"/>
    <cellStyle name="Normal 80 5" xfId="6461"/>
    <cellStyle name="Normal 81" xfId="6462"/>
    <cellStyle name="Normal 81 2" xfId="6463"/>
    <cellStyle name="Normal 81 2 2" xfId="6464"/>
    <cellStyle name="Normal 81 2 2 2" xfId="6465"/>
    <cellStyle name="Normal 81 2 3" xfId="6466"/>
    <cellStyle name="Normal 81 3" xfId="6467"/>
    <cellStyle name="Normal 81 3 2" xfId="6468"/>
    <cellStyle name="Normal 81 3 2 2" xfId="6469"/>
    <cellStyle name="Normal 81 3 3" xfId="6470"/>
    <cellStyle name="Normal 81 3 3 2" xfId="6471"/>
    <cellStyle name="Normal 81 3 3 3" xfId="6472"/>
    <cellStyle name="Normal 81 3 4" xfId="6473"/>
    <cellStyle name="Normal 81 4" xfId="6474"/>
    <cellStyle name="Normal 81 4 2" xfId="6475"/>
    <cellStyle name="Normal 81 5" xfId="6476"/>
    <cellStyle name="Normal 82" xfId="6477"/>
    <cellStyle name="Normal 82 2" xfId="6478"/>
    <cellStyle name="Normal 82 2 2" xfId="6479"/>
    <cellStyle name="Normal 82 2 2 2" xfId="6480"/>
    <cellStyle name="Normal 82 2 3" xfId="6481"/>
    <cellStyle name="Normal 82 2 3 2" xfId="6482"/>
    <cellStyle name="Normal 82 2 3 3" xfId="6483"/>
    <cellStyle name="Normal 82 2 4" xfId="6484"/>
    <cellStyle name="Normal 82 3" xfId="6485"/>
    <cellStyle name="Normal 82 3 2" xfId="6486"/>
    <cellStyle name="Normal 82 3 2 2" xfId="6487"/>
    <cellStyle name="Normal 82 3 3" xfId="6488"/>
    <cellStyle name="Normal 82 4" xfId="6489"/>
    <cellStyle name="Normal 82 4 2" xfId="6490"/>
    <cellStyle name="Normal 82 5" xfId="6491"/>
    <cellStyle name="Normal 83" xfId="6492"/>
    <cellStyle name="Normal 83 2" xfId="6493"/>
    <cellStyle name="Normal 83 2 2" xfId="6494"/>
    <cellStyle name="Normal 83 2 2 2" xfId="6495"/>
    <cellStyle name="Normal 83 2 3" xfId="6496"/>
    <cellStyle name="Normal 83 2 3 2" xfId="6497"/>
    <cellStyle name="Normal 83 2 3 3" xfId="6498"/>
    <cellStyle name="Normal 83 2 4" xfId="6499"/>
    <cellStyle name="Normal 83 3" xfId="6500"/>
    <cellStyle name="Normal 83 3 2" xfId="6501"/>
    <cellStyle name="Normal 83 3 2 2" xfId="6502"/>
    <cellStyle name="Normal 83 3 3" xfId="6503"/>
    <cellStyle name="Normal 83 4" xfId="6504"/>
    <cellStyle name="Normal 83 4 2" xfId="6505"/>
    <cellStyle name="Normal 83 5" xfId="6506"/>
    <cellStyle name="Normal 84" xfId="6507"/>
    <cellStyle name="Normal 84 2" xfId="6508"/>
    <cellStyle name="Normal 84 2 2" xfId="6509"/>
    <cellStyle name="Normal 84 2 2 2" xfId="6510"/>
    <cellStyle name="Normal 84 2 3" xfId="6511"/>
    <cellStyle name="Normal 84 2 3 2" xfId="6512"/>
    <cellStyle name="Normal 84 2 3 3" xfId="6513"/>
    <cellStyle name="Normal 84 2 4" xfId="6514"/>
    <cellStyle name="Normal 84 3" xfId="6515"/>
    <cellStyle name="Normal 84 3 2" xfId="6516"/>
    <cellStyle name="Normal 84 3 2 2" xfId="6517"/>
    <cellStyle name="Normal 84 3 3" xfId="6518"/>
    <cellStyle name="Normal 84 4" xfId="6519"/>
    <cellStyle name="Normal 84 4 2" xfId="6520"/>
    <cellStyle name="Normal 84 5" xfId="6521"/>
    <cellStyle name="Normal 85" xfId="6522"/>
    <cellStyle name="Normal 85 2" xfId="6523"/>
    <cellStyle name="Normal 85 2 2" xfId="6524"/>
    <cellStyle name="Normal 85 2 2 2" xfId="6525"/>
    <cellStyle name="Normal 85 2 3" xfId="6526"/>
    <cellStyle name="Normal 85 2 3 2" xfId="6527"/>
    <cellStyle name="Normal 85 2 3 3" xfId="6528"/>
    <cellStyle name="Normal 85 2 4" xfId="6529"/>
    <cellStyle name="Normal 85 3" xfId="6530"/>
    <cellStyle name="Normal 85 3 2" xfId="6531"/>
    <cellStyle name="Normal 85 3 2 2" xfId="6532"/>
    <cellStyle name="Normal 85 3 3" xfId="6533"/>
    <cellStyle name="Normal 85 4" xfId="6534"/>
    <cellStyle name="Normal 85 4 2" xfId="6535"/>
    <cellStyle name="Normal 85 5" xfId="6536"/>
    <cellStyle name="Normal 86" xfId="6537"/>
    <cellStyle name="Normal 86 2" xfId="6538"/>
    <cellStyle name="Normal 86 2 2" xfId="6539"/>
    <cellStyle name="Normal 86 2 2 2" xfId="6540"/>
    <cellStyle name="Normal 86 2 3" xfId="6541"/>
    <cellStyle name="Normal 86 2 3 2" xfId="6542"/>
    <cellStyle name="Normal 86 2 3 3" xfId="6543"/>
    <cellStyle name="Normal 86 2 4" xfId="6544"/>
    <cellStyle name="Normal 86 3" xfId="6545"/>
    <cellStyle name="Normal 86 3 2" xfId="6546"/>
    <cellStyle name="Normal 86 3 2 2" xfId="6547"/>
    <cellStyle name="Normal 86 3 3" xfId="6548"/>
    <cellStyle name="Normal 86 4" xfId="6549"/>
    <cellStyle name="Normal 86 4 2" xfId="6550"/>
    <cellStyle name="Normal 86 5" xfId="6551"/>
    <cellStyle name="Normal 87" xfId="6552"/>
    <cellStyle name="Normal 87 2" xfId="6553"/>
    <cellStyle name="Normal 87 2 2" xfId="6554"/>
    <cellStyle name="Normal 87 2 2 2" xfId="6555"/>
    <cellStyle name="Normal 87 2 3" xfId="6556"/>
    <cellStyle name="Normal 87 2 3 2" xfId="6557"/>
    <cellStyle name="Normal 87 2 3 3" xfId="6558"/>
    <cellStyle name="Normal 87 2 4" xfId="6559"/>
    <cellStyle name="Normal 87 3" xfId="6560"/>
    <cellStyle name="Normal 87 3 2" xfId="6561"/>
    <cellStyle name="Normal 87 3 2 2" xfId="6562"/>
    <cellStyle name="Normal 87 3 3" xfId="6563"/>
    <cellStyle name="Normal 87 4" xfId="6564"/>
    <cellStyle name="Normal 87 4 2" xfId="6565"/>
    <cellStyle name="Normal 87 5" xfId="6566"/>
    <cellStyle name="Normal 88" xfId="6567"/>
    <cellStyle name="Normal 88 2" xfId="6568"/>
    <cellStyle name="Normal 88 2 2" xfId="6569"/>
    <cellStyle name="Normal 88 2 2 2" xfId="6570"/>
    <cellStyle name="Normal 88 2 3" xfId="6571"/>
    <cellStyle name="Normal 88 2 3 2" xfId="6572"/>
    <cellStyle name="Normal 88 2 3 3" xfId="6573"/>
    <cellStyle name="Normal 88 2 4" xfId="6574"/>
    <cellStyle name="Normal 88 3" xfId="6575"/>
    <cellStyle name="Normal 88 3 2" xfId="6576"/>
    <cellStyle name="Normal 88 3 2 2" xfId="6577"/>
    <cellStyle name="Normal 88 3 3" xfId="6578"/>
    <cellStyle name="Normal 88 4" xfId="6579"/>
    <cellStyle name="Normal 88 4 2" xfId="6580"/>
    <cellStyle name="Normal 88 5" xfId="6581"/>
    <cellStyle name="Normal 89" xfId="6582"/>
    <cellStyle name="Normal 89 2" xfId="6583"/>
    <cellStyle name="Normal 89 2 2" xfId="6584"/>
    <cellStyle name="Normal 89 2 2 2" xfId="6585"/>
    <cellStyle name="Normal 89 2 3" xfId="6586"/>
    <cellStyle name="Normal 89 2 3 2" xfId="6587"/>
    <cellStyle name="Normal 89 2 3 3" xfId="6588"/>
    <cellStyle name="Normal 89 2 4" xfId="6589"/>
    <cellStyle name="Normal 89 3" xfId="6590"/>
    <cellStyle name="Normal 89 3 2" xfId="6591"/>
    <cellStyle name="Normal 89 3 2 2" xfId="6592"/>
    <cellStyle name="Normal 89 3 3" xfId="6593"/>
    <cellStyle name="Normal 89 4" xfId="6594"/>
    <cellStyle name="Normal 89 4 2" xfId="6595"/>
    <cellStyle name="Normal 89 5" xfId="6596"/>
    <cellStyle name="Normal 9" xfId="6597"/>
    <cellStyle name="Normal 9 2" xfId="6598"/>
    <cellStyle name="Normal 9 2 2" xfId="6599"/>
    <cellStyle name="Normal 9 2 2 2" xfId="6600"/>
    <cellStyle name="Normal 9 2 2 2 2" xfId="6601"/>
    <cellStyle name="Normal 9 2 2 3" xfId="6602"/>
    <cellStyle name="Normal 9 2 2 3 2" xfId="6603"/>
    <cellStyle name="Normal 9 2 2 4" xfId="6604"/>
    <cellStyle name="Normal 9 2 3" xfId="6605"/>
    <cellStyle name="Normal 9 2 3 2" xfId="6606"/>
    <cellStyle name="Normal 9 2 4" xfId="6607"/>
    <cellStyle name="Normal 9 2 4 2" xfId="6608"/>
    <cellStyle name="Normal 9 2 5" xfId="6609"/>
    <cellStyle name="Normal 9 2 5 2" xfId="6610"/>
    <cellStyle name="Normal 9 2 6" xfId="6611"/>
    <cellStyle name="Normal 9 3" xfId="6612"/>
    <cellStyle name="Normal 9 3 2" xfId="6613"/>
    <cellStyle name="Normal 9 3 2 2" xfId="6614"/>
    <cellStyle name="Normal 9 3 3" xfId="6615"/>
    <cellStyle name="Normal 9 3 3 2" xfId="6616"/>
    <cellStyle name="Normal 9 3 4" xfId="6617"/>
    <cellStyle name="Normal 9 3 4 2" xfId="6618"/>
    <cellStyle name="Normal 9 3 5" xfId="6619"/>
    <cellStyle name="Normal 9 3 5 2" xfId="6620"/>
    <cellStyle name="Normal 9 3 6" xfId="6621"/>
    <cellStyle name="Normal 9 4" xfId="6622"/>
    <cellStyle name="Normal 9 4 2" xfId="6623"/>
    <cellStyle name="Normal 9 4 2 2" xfId="6624"/>
    <cellStyle name="Normal 9 4 3" xfId="6625"/>
    <cellStyle name="Normal 9 5" xfId="6626"/>
    <cellStyle name="Normal 9 5 2" xfId="6627"/>
    <cellStyle name="Normal 9 5 2 2" xfId="6628"/>
    <cellStyle name="Normal 9 5 3" xfId="6629"/>
    <cellStyle name="Normal 9 6" xfId="6630"/>
    <cellStyle name="Normal 9 6 2" xfId="6631"/>
    <cellStyle name="Normal 9 7" xfId="6632"/>
    <cellStyle name="Normal 9_Analysis File Template" xfId="6633"/>
    <cellStyle name="Normal 90" xfId="6634"/>
    <cellStyle name="Normal 90 2" xfId="6635"/>
    <cellStyle name="Normal 90 2 2" xfId="6636"/>
    <cellStyle name="Normal 90 2 2 2" xfId="6637"/>
    <cellStyle name="Normal 90 2 3" xfId="6638"/>
    <cellStyle name="Normal 90 2 3 2" xfId="6639"/>
    <cellStyle name="Normal 90 2 3 3" xfId="6640"/>
    <cellStyle name="Normal 90 2 4" xfId="6641"/>
    <cellStyle name="Normal 90 3" xfId="6642"/>
    <cellStyle name="Normal 90 3 2" xfId="6643"/>
    <cellStyle name="Normal 90 3 2 2" xfId="6644"/>
    <cellStyle name="Normal 90 3 3" xfId="6645"/>
    <cellStyle name="Normal 90 4" xfId="6646"/>
    <cellStyle name="Normal 90 4 2" xfId="6647"/>
    <cellStyle name="Normal 90 5" xfId="6648"/>
    <cellStyle name="Normal 91" xfId="6649"/>
    <cellStyle name="Normal 91 2" xfId="6650"/>
    <cellStyle name="Normal 91 2 2" xfId="6651"/>
    <cellStyle name="Normal 91 2 2 2" xfId="6652"/>
    <cellStyle name="Normal 91 2 3" xfId="6653"/>
    <cellStyle name="Normal 91 2 3 2" xfId="6654"/>
    <cellStyle name="Normal 91 2 3 3" xfId="6655"/>
    <cellStyle name="Normal 91 2 4" xfId="6656"/>
    <cellStyle name="Normal 91 3" xfId="6657"/>
    <cellStyle name="Normal 91 3 2" xfId="6658"/>
    <cellStyle name="Normal 91 3 2 2" xfId="6659"/>
    <cellStyle name="Normal 91 3 3" xfId="6660"/>
    <cellStyle name="Normal 91 4" xfId="6661"/>
    <cellStyle name="Normal 91 4 2" xfId="6662"/>
    <cellStyle name="Normal 91 5" xfId="6663"/>
    <cellStyle name="Normal 92" xfId="6664"/>
    <cellStyle name="Normal 92 2" xfId="6665"/>
    <cellStyle name="Normal 92 2 2" xfId="6666"/>
    <cellStyle name="Normal 92 2 2 2" xfId="6667"/>
    <cellStyle name="Normal 92 2 3" xfId="6668"/>
    <cellStyle name="Normal 92 2 3 2" xfId="6669"/>
    <cellStyle name="Normal 92 2 3 3" xfId="6670"/>
    <cellStyle name="Normal 92 2 4" xfId="6671"/>
    <cellStyle name="Normal 92 3" xfId="6672"/>
    <cellStyle name="Normal 92 3 2" xfId="6673"/>
    <cellStyle name="Normal 92 3 2 2" xfId="6674"/>
    <cellStyle name="Normal 92 3 3" xfId="6675"/>
    <cellStyle name="Normal 92 4" xfId="6676"/>
    <cellStyle name="Normal 92 4 2" xfId="6677"/>
    <cellStyle name="Normal 92 4 2 2" xfId="6678"/>
    <cellStyle name="Normal 92 4 3" xfId="6679"/>
    <cellStyle name="Normal 92 5" xfId="6680"/>
    <cellStyle name="Normal 93" xfId="6681"/>
    <cellStyle name="Normal 93 2" xfId="6682"/>
    <cellStyle name="Normal 93 2 2" xfId="6683"/>
    <cellStyle name="Normal 93 2 2 2" xfId="6684"/>
    <cellStyle name="Normal 93 2 3" xfId="6685"/>
    <cellStyle name="Normal 93 2 3 2" xfId="6686"/>
    <cellStyle name="Normal 93 2 3 3" xfId="6687"/>
    <cellStyle name="Normal 93 2 4" xfId="6688"/>
    <cellStyle name="Normal 93 3" xfId="6689"/>
    <cellStyle name="Normal 93 3 2" xfId="6690"/>
    <cellStyle name="Normal 93 3 2 2" xfId="6691"/>
    <cellStyle name="Normal 93 3 3" xfId="6692"/>
    <cellStyle name="Normal 93 4" xfId="6693"/>
    <cellStyle name="Normal 93 4 2" xfId="6694"/>
    <cellStyle name="Normal 93 4 2 2" xfId="6695"/>
    <cellStyle name="Normal 93 4 3" xfId="6696"/>
    <cellStyle name="Normal 93 5" xfId="6697"/>
    <cellStyle name="Normal 94" xfId="6698"/>
    <cellStyle name="Normal 94 2" xfId="6699"/>
    <cellStyle name="Normal 94 2 2" xfId="6700"/>
    <cellStyle name="Normal 94 2 2 2" xfId="6701"/>
    <cellStyle name="Normal 94 2 3" xfId="6702"/>
    <cellStyle name="Normal 94 3" xfId="6703"/>
    <cellStyle name="Normal 94 3 2" xfId="6704"/>
    <cellStyle name="Normal 94 4" xfId="6705"/>
    <cellStyle name="Normal 94 4 2" xfId="6706"/>
    <cellStyle name="Normal 94 5" xfId="6707"/>
    <cellStyle name="Normal 95" xfId="6708"/>
    <cellStyle name="Normal 95 2" xfId="6709"/>
    <cellStyle name="Normal 95 2 2" xfId="6710"/>
    <cellStyle name="Normal 95 2 2 2" xfId="6711"/>
    <cellStyle name="Normal 95 2 3" xfId="6712"/>
    <cellStyle name="Normal 95 3" xfId="6713"/>
    <cellStyle name="Normal 95 3 2" xfId="6714"/>
    <cellStyle name="Normal 95 4" xfId="6715"/>
    <cellStyle name="Normal 95 4 2" xfId="6716"/>
    <cellStyle name="Normal 95 5" xfId="6717"/>
    <cellStyle name="Normal 96" xfId="6718"/>
    <cellStyle name="Normal 96 2" xfId="6719"/>
    <cellStyle name="Normal 96 2 2" xfId="6720"/>
    <cellStyle name="Normal 96 2 2 2" xfId="6721"/>
    <cellStyle name="Normal 96 2 3" xfId="6722"/>
    <cellStyle name="Normal 96 3" xfId="6723"/>
    <cellStyle name="Normal 96 3 2" xfId="6724"/>
    <cellStyle name="Normal 96 4" xfId="6725"/>
    <cellStyle name="Normal 96 4 2" xfId="6726"/>
    <cellStyle name="Normal 96 5" xfId="6727"/>
    <cellStyle name="Normal 97" xfId="6728"/>
    <cellStyle name="Normal 97 2" xfId="6729"/>
    <cellStyle name="Normal 97 2 2" xfId="6730"/>
    <cellStyle name="Normal 97 2 2 2" xfId="6731"/>
    <cellStyle name="Normal 97 2 3" xfId="6732"/>
    <cellStyle name="Normal 97 3" xfId="6733"/>
    <cellStyle name="Normal 97 3 2" xfId="6734"/>
    <cellStyle name="Normal 97 4" xfId="6735"/>
    <cellStyle name="Normal 97 4 2" xfId="6736"/>
    <cellStyle name="Normal 97 5" xfId="6737"/>
    <cellStyle name="Normal 98" xfId="6738"/>
    <cellStyle name="Normal 98 2" xfId="6739"/>
    <cellStyle name="Normal 98 2 2" xfId="6740"/>
    <cellStyle name="Normal 98 2 2 2" xfId="6741"/>
    <cellStyle name="Normal 98 2 3" xfId="6742"/>
    <cellStyle name="Normal 98 3" xfId="6743"/>
    <cellStyle name="Normal 98 3 2" xfId="6744"/>
    <cellStyle name="Normal 98 4" xfId="6745"/>
    <cellStyle name="Normal 98 4 2" xfId="6746"/>
    <cellStyle name="Normal 98 5" xfId="6747"/>
    <cellStyle name="Normal 99" xfId="6748"/>
    <cellStyle name="Normal 99 2" xfId="6749"/>
    <cellStyle name="Normal 99 2 2" xfId="6750"/>
    <cellStyle name="Normal 99 2 2 2" xfId="6751"/>
    <cellStyle name="Normal 99 2 2 3" xfId="6752"/>
    <cellStyle name="Normal 99 2 3" xfId="6753"/>
    <cellStyle name="Normal 99 2 3 2" xfId="6754"/>
    <cellStyle name="Normal 99 2 4" xfId="6755"/>
    <cellStyle name="Normal 99 3" xfId="6756"/>
    <cellStyle name="Normal 99 3 2" xfId="6757"/>
    <cellStyle name="Normal 99 3 2 2" xfId="6758"/>
    <cellStyle name="Normal 99 3 3" xfId="6759"/>
    <cellStyle name="Normal 99 4" xfId="6760"/>
    <cellStyle name="NormalStyleText" xfId="6761"/>
    <cellStyle name="NormalStyleText 2" xfId="6762"/>
    <cellStyle name="Note 10" xfId="6763"/>
    <cellStyle name="Note 10 10" xfId="6764"/>
    <cellStyle name="Note 10 11" xfId="6765"/>
    <cellStyle name="Note 10 12" xfId="6766"/>
    <cellStyle name="Note 10 2" xfId="6767"/>
    <cellStyle name="Note 10 2 2" xfId="6768"/>
    <cellStyle name="Note 10 2 3" xfId="6769"/>
    <cellStyle name="Note 10 3" xfId="6770"/>
    <cellStyle name="Note 10 3 2" xfId="6771"/>
    <cellStyle name="Note 10 3 3" xfId="6772"/>
    <cellStyle name="Note 10 3 4" xfId="6773"/>
    <cellStyle name="Note 10 4" xfId="6774"/>
    <cellStyle name="Note 10 4 2" xfId="6775"/>
    <cellStyle name="Note 10 5" xfId="6776"/>
    <cellStyle name="Note 10 5 2" xfId="6777"/>
    <cellStyle name="Note 10 6" xfId="6778"/>
    <cellStyle name="Note 10 6 2" xfId="6779"/>
    <cellStyle name="Note 10 7" xfId="6780"/>
    <cellStyle name="Note 10 7 2" xfId="6781"/>
    <cellStyle name="Note 10 8" xfId="6782"/>
    <cellStyle name="Note 10 8 2" xfId="6783"/>
    <cellStyle name="Note 10 9" xfId="6784"/>
    <cellStyle name="Note 10 9 2" xfId="6785"/>
    <cellStyle name="Note 11" xfId="6786"/>
    <cellStyle name="Note 11 10" xfId="6787"/>
    <cellStyle name="Note 11 2" xfId="6788"/>
    <cellStyle name="Note 11 2 2" xfId="6789"/>
    <cellStyle name="Note 11 3" xfId="6790"/>
    <cellStyle name="Note 11 3 2" xfId="6791"/>
    <cellStyle name="Note 11 4" xfId="6792"/>
    <cellStyle name="Note 11 4 2" xfId="6793"/>
    <cellStyle name="Note 11 5" xfId="6794"/>
    <cellStyle name="Note 11 5 2" xfId="6795"/>
    <cellStyle name="Note 11 6" xfId="6796"/>
    <cellStyle name="Note 11 6 2" xfId="6797"/>
    <cellStyle name="Note 11 7" xfId="6798"/>
    <cellStyle name="Note 11 7 2" xfId="6799"/>
    <cellStyle name="Note 11 8" xfId="6800"/>
    <cellStyle name="Note 11 8 2" xfId="6801"/>
    <cellStyle name="Note 11 9" xfId="6802"/>
    <cellStyle name="Note 12" xfId="6803"/>
    <cellStyle name="Note 12 2" xfId="6804"/>
    <cellStyle name="Note 13" xfId="6805"/>
    <cellStyle name="Note 2" xfId="6806"/>
    <cellStyle name="Note 2 10" xfId="6807"/>
    <cellStyle name="Note 2 10 2" xfId="6808"/>
    <cellStyle name="Note 2 10 2 2" xfId="6809"/>
    <cellStyle name="Note 2 10 2 2 2" xfId="6810"/>
    <cellStyle name="Note 2 10 2 3" xfId="6811"/>
    <cellStyle name="Note 2 10 2 3 2" xfId="6812"/>
    <cellStyle name="Note 2 10 2 4" xfId="6813"/>
    <cellStyle name="Note 2 10 3" xfId="6814"/>
    <cellStyle name="Note 2 10 3 2" xfId="6815"/>
    <cellStyle name="Note 2 10 3 3" xfId="6816"/>
    <cellStyle name="Note 2 10 4" xfId="6817"/>
    <cellStyle name="Note 2 10 4 2" xfId="6818"/>
    <cellStyle name="Note 2 10 4 3" xfId="6819"/>
    <cellStyle name="Note 2 10 5" xfId="6820"/>
    <cellStyle name="Note 2 10 5 2" xfId="6821"/>
    <cellStyle name="Note 2 10 6" xfId="6822"/>
    <cellStyle name="Note 2 10 6 2" xfId="6823"/>
    <cellStyle name="Note 2 10 7" xfId="6824"/>
    <cellStyle name="Note 2 10 8" xfId="6825"/>
    <cellStyle name="Note 2 11" xfId="6826"/>
    <cellStyle name="Note 2 11 2" xfId="6827"/>
    <cellStyle name="Note 2 11 2 2" xfId="6828"/>
    <cellStyle name="Note 2 11 3" xfId="6829"/>
    <cellStyle name="Note 2 11 4" xfId="6830"/>
    <cellStyle name="Note 2 11 5" xfId="6831"/>
    <cellStyle name="Note 2 11 6" xfId="6832"/>
    <cellStyle name="Note 2 12" xfId="6833"/>
    <cellStyle name="Note 2 12 2" xfId="6834"/>
    <cellStyle name="Note 2 12 2 2" xfId="6835"/>
    <cellStyle name="Note 2 12 3" xfId="6836"/>
    <cellStyle name="Note 2 12 3 2" xfId="6837"/>
    <cellStyle name="Note 2 12 4" xfId="6838"/>
    <cellStyle name="Note 2 12 4 2" xfId="6839"/>
    <cellStyle name="Note 2 12 4 2 2" xfId="6840"/>
    <cellStyle name="Note 2 12 4 3" xfId="6841"/>
    <cellStyle name="Note 2 12 5" xfId="6842"/>
    <cellStyle name="Note 2 13" xfId="6843"/>
    <cellStyle name="Note 2 13 2" xfId="6844"/>
    <cellStyle name="Note 2 13 2 2" xfId="6845"/>
    <cellStyle name="Note 2 13 3" xfId="6846"/>
    <cellStyle name="Note 2 13 3 2" xfId="6847"/>
    <cellStyle name="Note 2 13 4" xfId="6848"/>
    <cellStyle name="Note 2 13 4 2" xfId="6849"/>
    <cellStyle name="Note 2 13 4 2 2" xfId="6850"/>
    <cellStyle name="Note 2 13 4 3" xfId="6851"/>
    <cellStyle name="Note 2 13 5" xfId="6852"/>
    <cellStyle name="Note 2 14" xfId="6853"/>
    <cellStyle name="Note 2 14 2" xfId="6854"/>
    <cellStyle name="Note 2 14 2 2" xfId="6855"/>
    <cellStyle name="Note 2 14 3" xfId="6856"/>
    <cellStyle name="Note 2 14 3 2" xfId="6857"/>
    <cellStyle name="Note 2 14 4" xfId="6858"/>
    <cellStyle name="Note 2 15" xfId="6859"/>
    <cellStyle name="Note 2 15 2" xfId="6860"/>
    <cellStyle name="Note 2 16" xfId="6861"/>
    <cellStyle name="Note 2 16 2" xfId="6862"/>
    <cellStyle name="Note 2 16 2 2" xfId="6863"/>
    <cellStyle name="Note 2 16 3" xfId="6864"/>
    <cellStyle name="Note 2 16 3 2" xfId="6865"/>
    <cellStyle name="Note 2 16 4" xfId="6866"/>
    <cellStyle name="Note 2 16 4 2" xfId="6867"/>
    <cellStyle name="Note 2 16 5" xfId="6868"/>
    <cellStyle name="Note 2 16 5 2" xfId="6869"/>
    <cellStyle name="Note 2 16 6" xfId="6870"/>
    <cellStyle name="Note 2 16 6 2" xfId="6871"/>
    <cellStyle name="Note 2 16 7" xfId="6872"/>
    <cellStyle name="Note 2 16 7 2" xfId="6873"/>
    <cellStyle name="Note 2 16 8" xfId="6874"/>
    <cellStyle name="Note 2 16 9" xfId="6875"/>
    <cellStyle name="Note 2 17" xfId="6876"/>
    <cellStyle name="Note 2 18" xfId="6877"/>
    <cellStyle name="Note 2 2" xfId="6878"/>
    <cellStyle name="Note 2 2 2" xfId="6879"/>
    <cellStyle name="Note 2 2 2 2" xfId="6880"/>
    <cellStyle name="Note 2 2 2 2 2" xfId="6881"/>
    <cellStyle name="Note 2 2 2 2 2 2" xfId="6882"/>
    <cellStyle name="Note 2 2 2 2 3" xfId="6883"/>
    <cellStyle name="Note 2 2 2 2 3 2" xfId="6884"/>
    <cellStyle name="Note 2 2 2 2 4" xfId="6885"/>
    <cellStyle name="Note 2 2 2 3" xfId="6886"/>
    <cellStyle name="Note 2 2 2 3 2" xfId="6887"/>
    <cellStyle name="Note 2 2 2 3 3" xfId="6888"/>
    <cellStyle name="Note 2 2 2 4" xfId="6889"/>
    <cellStyle name="Note 2 2 2 4 2" xfId="6890"/>
    <cellStyle name="Note 2 2 2 5" xfId="6891"/>
    <cellStyle name="Note 2 2 2 6" xfId="6892"/>
    <cellStyle name="Note 2 2 3" xfId="6893"/>
    <cellStyle name="Note 2 2 3 2" xfId="6894"/>
    <cellStyle name="Note 2 2 3 2 2" xfId="6895"/>
    <cellStyle name="Note 2 2 3 3" xfId="6896"/>
    <cellStyle name="Note 2 2 3 3 2" xfId="6897"/>
    <cellStyle name="Note 2 2 3 4" xfId="6898"/>
    <cellStyle name="Note 2 2 4" xfId="6899"/>
    <cellStyle name="Note 2 2 4 2" xfId="6900"/>
    <cellStyle name="Note 2 2 4 2 2" xfId="6901"/>
    <cellStyle name="Note 2 2 4 3" xfId="6902"/>
    <cellStyle name="Note 2 2 4 3 2" xfId="6903"/>
    <cellStyle name="Note 2 2 4 4" xfId="6904"/>
    <cellStyle name="Note 2 2 5" xfId="6905"/>
    <cellStyle name="Note 2 2 5 2" xfId="6906"/>
    <cellStyle name="Note 2 2 5 3" xfId="6907"/>
    <cellStyle name="Note 2 2 6" xfId="6908"/>
    <cellStyle name="Note 2 2 6 2" xfId="6909"/>
    <cellStyle name="Note 2 2 7" xfId="6910"/>
    <cellStyle name="Note 2 2 8" xfId="6911"/>
    <cellStyle name="Note 2 2_Analysis File Template" xfId="6912"/>
    <cellStyle name="Note 2 3" xfId="6913"/>
    <cellStyle name="Note 2 3 2" xfId="6914"/>
    <cellStyle name="Note 2 3 2 2" xfId="6915"/>
    <cellStyle name="Note 2 3 2 2 2" xfId="6916"/>
    <cellStyle name="Note 2 3 2 2 2 2" xfId="6917"/>
    <cellStyle name="Note 2 3 2 2 3" xfId="6918"/>
    <cellStyle name="Note 2 3 2 2 3 2" xfId="6919"/>
    <cellStyle name="Note 2 3 2 2 4" xfId="6920"/>
    <cellStyle name="Note 2 3 2 3" xfId="6921"/>
    <cellStyle name="Note 2 3 2 3 2" xfId="6922"/>
    <cellStyle name="Note 2 3 2 3 3" xfId="6923"/>
    <cellStyle name="Note 2 3 2 4" xfId="6924"/>
    <cellStyle name="Note 2 3 2 4 2" xfId="6925"/>
    <cellStyle name="Note 2 3 2 5" xfId="6926"/>
    <cellStyle name="Note 2 3 2 6" xfId="6927"/>
    <cellStyle name="Note 2 3 3" xfId="6928"/>
    <cellStyle name="Note 2 3 3 2" xfId="6929"/>
    <cellStyle name="Note 2 3 3 2 2" xfId="6930"/>
    <cellStyle name="Note 2 3 3 3" xfId="6931"/>
    <cellStyle name="Note 2 3 3 3 2" xfId="6932"/>
    <cellStyle name="Note 2 3 3 4" xfId="6933"/>
    <cellStyle name="Note 2 3 4" xfId="6934"/>
    <cellStyle name="Note 2 3 4 2" xfId="6935"/>
    <cellStyle name="Note 2 3 4 3" xfId="6936"/>
    <cellStyle name="Note 2 3 5" xfId="6937"/>
    <cellStyle name="Note 2 3 5 2" xfId="6938"/>
    <cellStyle name="Note 2 3 5 3" xfId="6939"/>
    <cellStyle name="Note 2 3 6" xfId="6940"/>
    <cellStyle name="Note 2 3 6 2" xfId="6941"/>
    <cellStyle name="Note 2 3 7" xfId="6942"/>
    <cellStyle name="Note 2 3 8" xfId="6943"/>
    <cellStyle name="Note 2 3_Analysis File Template" xfId="6944"/>
    <cellStyle name="Note 2 4" xfId="6945"/>
    <cellStyle name="Note 2 4 2" xfId="6946"/>
    <cellStyle name="Note 2 4 2 2" xfId="6947"/>
    <cellStyle name="Note 2 4 2 2 2" xfId="6948"/>
    <cellStyle name="Note 2 4 2 2 3" xfId="6949"/>
    <cellStyle name="Note 2 4 2 3" xfId="6950"/>
    <cellStyle name="Note 2 4 2 3 2" xfId="6951"/>
    <cellStyle name="Note 2 4 2 4" xfId="6952"/>
    <cellStyle name="Note 2 4 2 5" xfId="6953"/>
    <cellStyle name="Note 2 4 3" xfId="6954"/>
    <cellStyle name="Note 2 4 3 2" xfId="6955"/>
    <cellStyle name="Note 2 4 3 3" xfId="6956"/>
    <cellStyle name="Note 2 4 4" xfId="6957"/>
    <cellStyle name="Note 2 4 4 2" xfId="6958"/>
    <cellStyle name="Note 2 4 5" xfId="6959"/>
    <cellStyle name="Note 2 4 6" xfId="6960"/>
    <cellStyle name="Note 2 5" xfId="6961"/>
    <cellStyle name="Note 2 5 2" xfId="6962"/>
    <cellStyle name="Note 2 5 2 2" xfId="6963"/>
    <cellStyle name="Note 2 5 2 2 2" xfId="6964"/>
    <cellStyle name="Note 2 5 2 2 3" xfId="6965"/>
    <cellStyle name="Note 2 5 2 3" xfId="6966"/>
    <cellStyle name="Note 2 5 2 3 2" xfId="6967"/>
    <cellStyle name="Note 2 5 2 3 3" xfId="6968"/>
    <cellStyle name="Note 2 5 2 4" xfId="6969"/>
    <cellStyle name="Note 2 5 2 4 2" xfId="6970"/>
    <cellStyle name="Note 2 5 2 5" xfId="6971"/>
    <cellStyle name="Note 2 5 2 5 2" xfId="6972"/>
    <cellStyle name="Note 2 5 2 6" xfId="6973"/>
    <cellStyle name="Note 2 5 2 7" xfId="6974"/>
    <cellStyle name="Note 2 5 3" xfId="6975"/>
    <cellStyle name="Note 2 5 3 2" xfId="6976"/>
    <cellStyle name="Note 2 5 3 3" xfId="6977"/>
    <cellStyle name="Note 2 5 4" xfId="6978"/>
    <cellStyle name="Note 2 5 4 2" xfId="6979"/>
    <cellStyle name="Note 2 5 4 3" xfId="6980"/>
    <cellStyle name="Note 2 5 5" xfId="6981"/>
    <cellStyle name="Note 2 5 5 2" xfId="6982"/>
    <cellStyle name="Note 2 5 6" xfId="6983"/>
    <cellStyle name="Note 2 5 6 2" xfId="6984"/>
    <cellStyle name="Note 2 5 7" xfId="6985"/>
    <cellStyle name="Note 2 5 7 2" xfId="6986"/>
    <cellStyle name="Note 2 5 8" xfId="6987"/>
    <cellStyle name="Note 2 5 9" xfId="6988"/>
    <cellStyle name="Note 2 6" xfId="6989"/>
    <cellStyle name="Note 2 6 2" xfId="6990"/>
    <cellStyle name="Note 2 6 2 2" xfId="6991"/>
    <cellStyle name="Note 2 6 2 2 2" xfId="6992"/>
    <cellStyle name="Note 2 6 2 2 3" xfId="6993"/>
    <cellStyle name="Note 2 6 2 3" xfId="6994"/>
    <cellStyle name="Note 2 6 2 3 2" xfId="6995"/>
    <cellStyle name="Note 2 6 2 4" xfId="6996"/>
    <cellStyle name="Note 2 6 2 5" xfId="6997"/>
    <cellStyle name="Note 2 6 3" xfId="6998"/>
    <cellStyle name="Note 2 6 3 2" xfId="6999"/>
    <cellStyle name="Note 2 6 3 3" xfId="7000"/>
    <cellStyle name="Note 2 6 4" xfId="7001"/>
    <cellStyle name="Note 2 6 4 2" xfId="7002"/>
    <cellStyle name="Note 2 6 4 3" xfId="7003"/>
    <cellStyle name="Note 2 6 5" xfId="7004"/>
    <cellStyle name="Note 2 6 5 2" xfId="7005"/>
    <cellStyle name="Note 2 6 6" xfId="7006"/>
    <cellStyle name="Note 2 6 6 2" xfId="7007"/>
    <cellStyle name="Note 2 6 7" xfId="7008"/>
    <cellStyle name="Note 2 6 8" xfId="7009"/>
    <cellStyle name="Note 2 7" xfId="7010"/>
    <cellStyle name="Note 2 7 2" xfId="7011"/>
    <cellStyle name="Note 2 7 2 2" xfId="7012"/>
    <cellStyle name="Note 2 7 2 2 2" xfId="7013"/>
    <cellStyle name="Note 2 7 2 2 3" xfId="7014"/>
    <cellStyle name="Note 2 7 2 3" xfId="7015"/>
    <cellStyle name="Note 2 7 2 3 2" xfId="7016"/>
    <cellStyle name="Note 2 7 2 4" xfId="7017"/>
    <cellStyle name="Note 2 7 2 5" xfId="7018"/>
    <cellStyle name="Note 2 7 3" xfId="7019"/>
    <cellStyle name="Note 2 7 3 2" xfId="7020"/>
    <cellStyle name="Note 2 7 3 3" xfId="7021"/>
    <cellStyle name="Note 2 7 4" xfId="7022"/>
    <cellStyle name="Note 2 7 4 2" xfId="7023"/>
    <cellStyle name="Note 2 7 4 3" xfId="7024"/>
    <cellStyle name="Note 2 7 5" xfId="7025"/>
    <cellStyle name="Note 2 7 5 2" xfId="7026"/>
    <cellStyle name="Note 2 7 6" xfId="7027"/>
    <cellStyle name="Note 2 7 6 2" xfId="7028"/>
    <cellStyle name="Note 2 7 7" xfId="7029"/>
    <cellStyle name="Note 2 7 8" xfId="7030"/>
    <cellStyle name="Note 2 8" xfId="7031"/>
    <cellStyle name="Note 2 8 2" xfId="7032"/>
    <cellStyle name="Note 2 8 2 2" xfId="7033"/>
    <cellStyle name="Note 2 8 2 2 2" xfId="7034"/>
    <cellStyle name="Note 2 8 2 2 3" xfId="7035"/>
    <cellStyle name="Note 2 8 2 3" xfId="7036"/>
    <cellStyle name="Note 2 8 2 3 2" xfId="7037"/>
    <cellStyle name="Note 2 8 2 4" xfId="7038"/>
    <cellStyle name="Note 2 8 2 5" xfId="7039"/>
    <cellStyle name="Note 2 8 3" xfId="7040"/>
    <cellStyle name="Note 2 8 3 2" xfId="7041"/>
    <cellStyle name="Note 2 8 3 3" xfId="7042"/>
    <cellStyle name="Note 2 8 4" xfId="7043"/>
    <cellStyle name="Note 2 8 4 2" xfId="7044"/>
    <cellStyle name="Note 2 8 4 3" xfId="7045"/>
    <cellStyle name="Note 2 8 5" xfId="7046"/>
    <cellStyle name="Note 2 8 5 2" xfId="7047"/>
    <cellStyle name="Note 2 8 6" xfId="7048"/>
    <cellStyle name="Note 2 8 6 2" xfId="7049"/>
    <cellStyle name="Note 2 8 7" xfId="7050"/>
    <cellStyle name="Note 2 8 8" xfId="7051"/>
    <cellStyle name="Note 2 9" xfId="7052"/>
    <cellStyle name="Note 2 9 2" xfId="7053"/>
    <cellStyle name="Note 2 9 2 2" xfId="7054"/>
    <cellStyle name="Note 2 9 2 2 2" xfId="7055"/>
    <cellStyle name="Note 2 9 2 2 3" xfId="7056"/>
    <cellStyle name="Note 2 9 2 3" xfId="7057"/>
    <cellStyle name="Note 2 9 2 3 2" xfId="7058"/>
    <cellStyle name="Note 2 9 2 4" xfId="7059"/>
    <cellStyle name="Note 2 9 2 5" xfId="7060"/>
    <cellStyle name="Note 2 9 3" xfId="7061"/>
    <cellStyle name="Note 2 9 3 2" xfId="7062"/>
    <cellStyle name="Note 2 9 3 3" xfId="7063"/>
    <cellStyle name="Note 2 9 4" xfId="7064"/>
    <cellStyle name="Note 2 9 4 2" xfId="7065"/>
    <cellStyle name="Note 2 9 4 3" xfId="7066"/>
    <cellStyle name="Note 2 9 5" xfId="7067"/>
    <cellStyle name="Note 2 9 5 2" xfId="7068"/>
    <cellStyle name="Note 2 9 6" xfId="7069"/>
    <cellStyle name="Note 2 9 6 2" xfId="7070"/>
    <cellStyle name="Note 2 9 7" xfId="7071"/>
    <cellStyle name="Note 2 9 8" xfId="7072"/>
    <cellStyle name="Note 2_Analysis File Template" xfId="7073"/>
    <cellStyle name="Note 3" xfId="7074"/>
    <cellStyle name="Note 3 10" xfId="7075"/>
    <cellStyle name="Note 3 11" xfId="7076"/>
    <cellStyle name="Note 3 12" xfId="7077"/>
    <cellStyle name="Note 3 13" xfId="7078"/>
    <cellStyle name="Note 3 14" xfId="7079"/>
    <cellStyle name="Note 3 15" xfId="7080"/>
    <cellStyle name="Note 3 2" xfId="7081"/>
    <cellStyle name="Note 3 2 2" xfId="7082"/>
    <cellStyle name="Note 3 2 2 2" xfId="7083"/>
    <cellStyle name="Note 3 2 2 2 2" xfId="7084"/>
    <cellStyle name="Note 3 2 2 3" xfId="7085"/>
    <cellStyle name="Note 3 2 2 3 2" xfId="7086"/>
    <cellStyle name="Note 3 2 2 3 3" xfId="7087"/>
    <cellStyle name="Note 3 2 2 4" xfId="7088"/>
    <cellStyle name="Note 3 2 2 5" xfId="7089"/>
    <cellStyle name="Note 3 2 2 6" xfId="7090"/>
    <cellStyle name="Note 3 2 3" xfId="7091"/>
    <cellStyle name="Note 3 2 3 2" xfId="7092"/>
    <cellStyle name="Note 3 2 3 3" xfId="7093"/>
    <cellStyle name="Note 3 2 4" xfId="7094"/>
    <cellStyle name="Note 3 2 4 2" xfId="7095"/>
    <cellStyle name="Note 3 2 4 3" xfId="7096"/>
    <cellStyle name="Note 3 2 5" xfId="7097"/>
    <cellStyle name="Note 3 2 5 2" xfId="7098"/>
    <cellStyle name="Note 3 2 6" xfId="7099"/>
    <cellStyle name="Note 3 2 7" xfId="7100"/>
    <cellStyle name="Note 3 3" xfId="7101"/>
    <cellStyle name="Note 3 3 2" xfId="7102"/>
    <cellStyle name="Note 3 3 2 2" xfId="7103"/>
    <cellStyle name="Note 3 3 2 3" xfId="7104"/>
    <cellStyle name="Note 3 3 2 4" xfId="7105"/>
    <cellStyle name="Note 3 3 2 5" xfId="7106"/>
    <cellStyle name="Note 3 3 3" xfId="7107"/>
    <cellStyle name="Note 3 3 3 2" xfId="7108"/>
    <cellStyle name="Note 3 3 3 3" xfId="7109"/>
    <cellStyle name="Note 3 3 4" xfId="7110"/>
    <cellStyle name="Note 3 3 5" xfId="7111"/>
    <cellStyle name="Note 3 3 6" xfId="7112"/>
    <cellStyle name="Note 3 4" xfId="7113"/>
    <cellStyle name="Note 3 4 2" xfId="7114"/>
    <cellStyle name="Note 3 4 2 2" xfId="7115"/>
    <cellStyle name="Note 3 4 2 3" xfId="7116"/>
    <cellStyle name="Note 3 4 3" xfId="7117"/>
    <cellStyle name="Note 3 4 3 2" xfId="7118"/>
    <cellStyle name="Note 3 4 3 3" xfId="7119"/>
    <cellStyle name="Note 3 4 4" xfId="7120"/>
    <cellStyle name="Note 3 4 4 2" xfId="7121"/>
    <cellStyle name="Note 3 4 4 2 2" xfId="7122"/>
    <cellStyle name="Note 3 4 4 3" xfId="7123"/>
    <cellStyle name="Note 3 4 5" xfId="7124"/>
    <cellStyle name="Note 3 4 6" xfId="7125"/>
    <cellStyle name="Note 3 5" xfId="7126"/>
    <cellStyle name="Note 3 5 2" xfId="7127"/>
    <cellStyle name="Note 3 5 2 2" xfId="7128"/>
    <cellStyle name="Note 3 5 2 3" xfId="7129"/>
    <cellStyle name="Note 3 5 3" xfId="7130"/>
    <cellStyle name="Note 3 5 3 2" xfId="7131"/>
    <cellStyle name="Note 3 5 3 3" xfId="7132"/>
    <cellStyle name="Note 3 5 4" xfId="7133"/>
    <cellStyle name="Note 3 5 4 2" xfId="7134"/>
    <cellStyle name="Note 3 5 5" xfId="7135"/>
    <cellStyle name="Note 3 5 6" xfId="7136"/>
    <cellStyle name="Note 3 6" xfId="7137"/>
    <cellStyle name="Note 3 6 2" xfId="7138"/>
    <cellStyle name="Note 3 6 3" xfId="7139"/>
    <cellStyle name="Note 3 6 4" xfId="7140"/>
    <cellStyle name="Note 3 7" xfId="7141"/>
    <cellStyle name="Note 3 7 2" xfId="7142"/>
    <cellStyle name="Note 3 8" xfId="7143"/>
    <cellStyle name="Note 3 8 2" xfId="7144"/>
    <cellStyle name="Note 3 9" xfId="7145"/>
    <cellStyle name="Note 3 9 2" xfId="7146"/>
    <cellStyle name="Note 3_Analysis File Template" xfId="7147"/>
    <cellStyle name="Note 4" xfId="7148"/>
    <cellStyle name="Note 4 10" xfId="7149"/>
    <cellStyle name="Note 4 11" xfId="7150"/>
    <cellStyle name="Note 4 12" xfId="7151"/>
    <cellStyle name="Note 4 13" xfId="7152"/>
    <cellStyle name="Note 4 14" xfId="7153"/>
    <cellStyle name="Note 4 15" xfId="7154"/>
    <cellStyle name="Note 4 2" xfId="7155"/>
    <cellStyle name="Note 4 2 2" xfId="7156"/>
    <cellStyle name="Note 4 2 2 2" xfId="7157"/>
    <cellStyle name="Note 4 2 2 3" xfId="7158"/>
    <cellStyle name="Note 4 2 2 4" xfId="7159"/>
    <cellStyle name="Note 4 2 2 5" xfId="7160"/>
    <cellStyle name="Note 4 2 3" xfId="7161"/>
    <cellStyle name="Note 4 2 4" xfId="7162"/>
    <cellStyle name="Note 4 2 5" xfId="7163"/>
    <cellStyle name="Note 4 2 6" xfId="7164"/>
    <cellStyle name="Note 4 3" xfId="7165"/>
    <cellStyle name="Note 4 3 2" xfId="7166"/>
    <cellStyle name="Note 4 3 2 2" xfId="7167"/>
    <cellStyle name="Note 4 3 2 3" xfId="7168"/>
    <cellStyle name="Note 4 3 3" xfId="7169"/>
    <cellStyle name="Note 4 3 3 2" xfId="7170"/>
    <cellStyle name="Note 4 3 3 3" xfId="7171"/>
    <cellStyle name="Note 4 3 4" xfId="7172"/>
    <cellStyle name="Note 4 3 4 2" xfId="7173"/>
    <cellStyle name="Note 4 3 4 2 2" xfId="7174"/>
    <cellStyle name="Note 4 3 4 3" xfId="7175"/>
    <cellStyle name="Note 4 3 5" xfId="7176"/>
    <cellStyle name="Note 4 3 6" xfId="7177"/>
    <cellStyle name="Note 4 4" xfId="7178"/>
    <cellStyle name="Note 4 4 2" xfId="7179"/>
    <cellStyle name="Note 4 4 3" xfId="7180"/>
    <cellStyle name="Note 4 4 4" xfId="7181"/>
    <cellStyle name="Note 4 4 5" xfId="7182"/>
    <cellStyle name="Note 4 4 6" xfId="7183"/>
    <cellStyle name="Note 4 5" xfId="7184"/>
    <cellStyle name="Note 4 5 2" xfId="7185"/>
    <cellStyle name="Note 4 6" xfId="7186"/>
    <cellStyle name="Note 4 6 2" xfId="7187"/>
    <cellStyle name="Note 4 7" xfId="7188"/>
    <cellStyle name="Note 4 7 2" xfId="7189"/>
    <cellStyle name="Note 4 8" xfId="7190"/>
    <cellStyle name="Note 4 8 2" xfId="7191"/>
    <cellStyle name="Note 4 9" xfId="7192"/>
    <cellStyle name="Note 4 9 2" xfId="7193"/>
    <cellStyle name="Note 4_CHECKLIST" xfId="7194"/>
    <cellStyle name="Note 5" xfId="7195"/>
    <cellStyle name="Note 5 10" xfId="7196"/>
    <cellStyle name="Note 5 11" xfId="7197"/>
    <cellStyle name="Note 5 12" xfId="7198"/>
    <cellStyle name="Note 5 13" xfId="7199"/>
    <cellStyle name="Note 5 14" xfId="7200"/>
    <cellStyle name="Note 5 15" xfId="7201"/>
    <cellStyle name="Note 5 2" xfId="7202"/>
    <cellStyle name="Note 5 2 2" xfId="7203"/>
    <cellStyle name="Note 5 2 2 2" xfId="7204"/>
    <cellStyle name="Note 5 2 2 3" xfId="7205"/>
    <cellStyle name="Note 5 2 3" xfId="7206"/>
    <cellStyle name="Note 5 2 3 2" xfId="7207"/>
    <cellStyle name="Note 5 2 3 3" xfId="7208"/>
    <cellStyle name="Note 5 2 4" xfId="7209"/>
    <cellStyle name="Note 5 2 5" xfId="7210"/>
    <cellStyle name="Note 5 2 6" xfId="7211"/>
    <cellStyle name="Note 5 3" xfId="7212"/>
    <cellStyle name="Note 5 3 2" xfId="7213"/>
    <cellStyle name="Note 5 3 3" xfId="7214"/>
    <cellStyle name="Note 5 3 4" xfId="7215"/>
    <cellStyle name="Note 5 4" xfId="7216"/>
    <cellStyle name="Note 5 4 2" xfId="7217"/>
    <cellStyle name="Note 5 4 3" xfId="7218"/>
    <cellStyle name="Note 5 4 4" xfId="7219"/>
    <cellStyle name="Note 5 5" xfId="7220"/>
    <cellStyle name="Note 5 5 2" xfId="7221"/>
    <cellStyle name="Note 5 6" xfId="7222"/>
    <cellStyle name="Note 5 6 2" xfId="7223"/>
    <cellStyle name="Note 5 7" xfId="7224"/>
    <cellStyle name="Note 5 7 2" xfId="7225"/>
    <cellStyle name="Note 5 8" xfId="7226"/>
    <cellStyle name="Note 5 8 2" xfId="7227"/>
    <cellStyle name="Note 5 9" xfId="7228"/>
    <cellStyle name="Note 5 9 2" xfId="7229"/>
    <cellStyle name="Note 6" xfId="7230"/>
    <cellStyle name="Note 6 10" xfId="7231"/>
    <cellStyle name="Note 6 11" xfId="7232"/>
    <cellStyle name="Note 6 12" xfId="7233"/>
    <cellStyle name="Note 6 13" xfId="7234"/>
    <cellStyle name="Note 6 14" xfId="7235"/>
    <cellStyle name="Note 6 15" xfId="7236"/>
    <cellStyle name="Note 6 2" xfId="7237"/>
    <cellStyle name="Note 6 2 2" xfId="7238"/>
    <cellStyle name="Note 6 2 2 2" xfId="7239"/>
    <cellStyle name="Note 6 2 2 3" xfId="7240"/>
    <cellStyle name="Note 6 2 3" xfId="7241"/>
    <cellStyle name="Note 6 2 3 2" xfId="7242"/>
    <cellStyle name="Note 6 2 3 3" xfId="7243"/>
    <cellStyle name="Note 6 2 4" xfId="7244"/>
    <cellStyle name="Note 6 2 5" xfId="7245"/>
    <cellStyle name="Note 6 2 6" xfId="7246"/>
    <cellStyle name="Note 6 3" xfId="7247"/>
    <cellStyle name="Note 6 3 2" xfId="7248"/>
    <cellStyle name="Note 6 3 3" xfId="7249"/>
    <cellStyle name="Note 6 3 4" xfId="7250"/>
    <cellStyle name="Note 6 4" xfId="7251"/>
    <cellStyle name="Note 6 4 2" xfId="7252"/>
    <cellStyle name="Note 6 4 3" xfId="7253"/>
    <cellStyle name="Note 6 4 4" xfId="7254"/>
    <cellStyle name="Note 6 5" xfId="7255"/>
    <cellStyle name="Note 6 5 2" xfId="7256"/>
    <cellStyle name="Note 6 6" xfId="7257"/>
    <cellStyle name="Note 6 6 2" xfId="7258"/>
    <cellStyle name="Note 6 7" xfId="7259"/>
    <cellStyle name="Note 6 7 2" xfId="7260"/>
    <cellStyle name="Note 6 8" xfId="7261"/>
    <cellStyle name="Note 6 8 2" xfId="7262"/>
    <cellStyle name="Note 6 9" xfId="7263"/>
    <cellStyle name="Note 6 9 2" xfId="7264"/>
    <cellStyle name="Note 7" xfId="7265"/>
    <cellStyle name="Note 7 10" xfId="7266"/>
    <cellStyle name="Note 7 11" xfId="7267"/>
    <cellStyle name="Note 7 12" xfId="7268"/>
    <cellStyle name="Note 7 13" xfId="7269"/>
    <cellStyle name="Note 7 14" xfId="7270"/>
    <cellStyle name="Note 7 15" xfId="7271"/>
    <cellStyle name="Note 7 2" xfId="7272"/>
    <cellStyle name="Note 7 2 2" xfId="7273"/>
    <cellStyle name="Note 7 3" xfId="7274"/>
    <cellStyle name="Note 7 3 2" xfId="7275"/>
    <cellStyle name="Note 7 4" xfId="7276"/>
    <cellStyle name="Note 7 4 2" xfId="7277"/>
    <cellStyle name="Note 7 5" xfId="7278"/>
    <cellStyle name="Note 7 5 2" xfId="7279"/>
    <cellStyle name="Note 7 6" xfId="7280"/>
    <cellStyle name="Note 7 6 2" xfId="7281"/>
    <cellStyle name="Note 7 7" xfId="7282"/>
    <cellStyle name="Note 7 7 2" xfId="7283"/>
    <cellStyle name="Note 7 8" xfId="7284"/>
    <cellStyle name="Note 7 8 2" xfId="7285"/>
    <cellStyle name="Note 7 9" xfId="7286"/>
    <cellStyle name="Note 7 9 2" xfId="7287"/>
    <cellStyle name="Note 8" xfId="7288"/>
    <cellStyle name="Note 8 10" xfId="7289"/>
    <cellStyle name="Note 8 11" xfId="7290"/>
    <cellStyle name="Note 8 12" xfId="7291"/>
    <cellStyle name="Note 8 13" xfId="7292"/>
    <cellStyle name="Note 8 14" xfId="7293"/>
    <cellStyle name="Note 8 15" xfId="7294"/>
    <cellStyle name="Note 8 2" xfId="7295"/>
    <cellStyle name="Note 8 2 2" xfId="7296"/>
    <cellStyle name="Note 8 3" xfId="7297"/>
    <cellStyle name="Note 8 3 2" xfId="7298"/>
    <cellStyle name="Note 8 4" xfId="7299"/>
    <cellStyle name="Note 8 4 2" xfId="7300"/>
    <cellStyle name="Note 8 5" xfId="7301"/>
    <cellStyle name="Note 8 5 2" xfId="7302"/>
    <cellStyle name="Note 8 6" xfId="7303"/>
    <cellStyle name="Note 8 6 2" xfId="7304"/>
    <cellStyle name="Note 8 7" xfId="7305"/>
    <cellStyle name="Note 8 7 2" xfId="7306"/>
    <cellStyle name="Note 8 8" xfId="7307"/>
    <cellStyle name="Note 8 8 2" xfId="7308"/>
    <cellStyle name="Note 8 9" xfId="7309"/>
    <cellStyle name="Note 8 9 2" xfId="7310"/>
    <cellStyle name="Note 9" xfId="7311"/>
    <cellStyle name="Note 9 10" xfId="7312"/>
    <cellStyle name="Note 9 11" xfId="7313"/>
    <cellStyle name="Note 9 12" xfId="7314"/>
    <cellStyle name="Note 9 13" xfId="7315"/>
    <cellStyle name="Note 9 14" xfId="7316"/>
    <cellStyle name="Note 9 15" xfId="7317"/>
    <cellStyle name="Note 9 2" xfId="7318"/>
    <cellStyle name="Note 9 2 2" xfId="7319"/>
    <cellStyle name="Note 9 3" xfId="7320"/>
    <cellStyle name="Note 9 3 2" xfId="7321"/>
    <cellStyle name="Note 9 4" xfId="7322"/>
    <cellStyle name="Note 9 4 2" xfId="7323"/>
    <cellStyle name="Note 9 5" xfId="7324"/>
    <cellStyle name="Note 9 5 2" xfId="7325"/>
    <cellStyle name="Note 9 6" xfId="7326"/>
    <cellStyle name="Note 9 6 2" xfId="7327"/>
    <cellStyle name="Note 9 7" xfId="7328"/>
    <cellStyle name="Note 9 7 2" xfId="7329"/>
    <cellStyle name="Note 9 8" xfId="7330"/>
    <cellStyle name="Note 9 8 2" xfId="7331"/>
    <cellStyle name="Note 9 9" xfId="7332"/>
    <cellStyle name="Note 9 9 2" xfId="7333"/>
    <cellStyle name="Output 10" xfId="7334"/>
    <cellStyle name="Output 10 10" xfId="7335"/>
    <cellStyle name="Output 10 11" xfId="7336"/>
    <cellStyle name="Output 10 12" xfId="7337"/>
    <cellStyle name="Output 10 13" xfId="7338"/>
    <cellStyle name="Output 10 14" xfId="7339"/>
    <cellStyle name="Output 10 15" xfId="7340"/>
    <cellStyle name="Output 10 2" xfId="7341"/>
    <cellStyle name="Output 10 2 2" xfId="7342"/>
    <cellStyle name="Output 10 3" xfId="7343"/>
    <cellStyle name="Output 10 3 2" xfId="7344"/>
    <cellStyle name="Output 10 4" xfId="7345"/>
    <cellStyle name="Output 10 4 2" xfId="7346"/>
    <cellStyle name="Output 10 5" xfId="7347"/>
    <cellStyle name="Output 10 5 2" xfId="7348"/>
    <cellStyle name="Output 10 6" xfId="7349"/>
    <cellStyle name="Output 10 6 2" xfId="7350"/>
    <cellStyle name="Output 10 7" xfId="7351"/>
    <cellStyle name="Output 10 7 2" xfId="7352"/>
    <cellStyle name="Output 10 8" xfId="7353"/>
    <cellStyle name="Output 10 8 2" xfId="7354"/>
    <cellStyle name="Output 10 9" xfId="7355"/>
    <cellStyle name="Output 10 9 2" xfId="7356"/>
    <cellStyle name="Output 11" xfId="7357"/>
    <cellStyle name="Output 11 10" xfId="7358"/>
    <cellStyle name="Output 11 11" xfId="7359"/>
    <cellStyle name="Output 11 12" xfId="7360"/>
    <cellStyle name="Output 11 13" xfId="7361"/>
    <cellStyle name="Output 11 14" xfId="7362"/>
    <cellStyle name="Output 11 15" xfId="7363"/>
    <cellStyle name="Output 11 2" xfId="7364"/>
    <cellStyle name="Output 11 2 2" xfId="7365"/>
    <cellStyle name="Output 11 2 3" xfId="7366"/>
    <cellStyle name="Output 11 2 4" xfId="7367"/>
    <cellStyle name="Output 11 3" xfId="7368"/>
    <cellStyle name="Output 11 3 2" xfId="7369"/>
    <cellStyle name="Output 11 3 2 2" xfId="7370"/>
    <cellStyle name="Output 11 3 2 3" xfId="7371"/>
    <cellStyle name="Output 11 3 3" xfId="7372"/>
    <cellStyle name="Output 11 3 4" xfId="7373"/>
    <cellStyle name="Output 11 4" xfId="7374"/>
    <cellStyle name="Output 11 4 2" xfId="7375"/>
    <cellStyle name="Output 11 4 3" xfId="7376"/>
    <cellStyle name="Output 11 4 4" xfId="7377"/>
    <cellStyle name="Output 11 5" xfId="7378"/>
    <cellStyle name="Output 11 5 2" xfId="7379"/>
    <cellStyle name="Output 11 5 3" xfId="7380"/>
    <cellStyle name="Output 11 5 4" xfId="7381"/>
    <cellStyle name="Output 11 6" xfId="7382"/>
    <cellStyle name="Output 11 6 2" xfId="7383"/>
    <cellStyle name="Output 11 6 3" xfId="7384"/>
    <cellStyle name="Output 11 6 4" xfId="7385"/>
    <cellStyle name="Output 11 7" xfId="7386"/>
    <cellStyle name="Output 11 7 2" xfId="7387"/>
    <cellStyle name="Output 11 7 3" xfId="7388"/>
    <cellStyle name="Output 11 7 4" xfId="7389"/>
    <cellStyle name="Output 11 8" xfId="7390"/>
    <cellStyle name="Output 11 8 2" xfId="7391"/>
    <cellStyle name="Output 11 8 3" xfId="7392"/>
    <cellStyle name="Output 11 8 4" xfId="7393"/>
    <cellStyle name="Output 11 9" xfId="7394"/>
    <cellStyle name="Output 11 9 2" xfId="7395"/>
    <cellStyle name="Output 11 9 3" xfId="7396"/>
    <cellStyle name="Output 12" xfId="7397"/>
    <cellStyle name="Output 12 2" xfId="7398"/>
    <cellStyle name="Output 12 3" xfId="7399"/>
    <cellStyle name="Output 12 4" xfId="7400"/>
    <cellStyle name="Output 13" xfId="7401"/>
    <cellStyle name="Output 13 2" xfId="7402"/>
    <cellStyle name="Output 13 3" xfId="7403"/>
    <cellStyle name="Output 14" xfId="7404"/>
    <cellStyle name="Output 14 2" xfId="7405"/>
    <cellStyle name="Output 15" xfId="7406"/>
    <cellStyle name="Output 15 2" xfId="7407"/>
    <cellStyle name="Output 16" xfId="7408"/>
    <cellStyle name="Output 16 2" xfId="7409"/>
    <cellStyle name="Output 17" xfId="7410"/>
    <cellStyle name="Output 18" xfId="7411"/>
    <cellStyle name="Output 2" xfId="7412"/>
    <cellStyle name="Output 2 10" xfId="7413"/>
    <cellStyle name="Output 2 11" xfId="7414"/>
    <cellStyle name="Output 2 12" xfId="7415"/>
    <cellStyle name="Output 2 13" xfId="7416"/>
    <cellStyle name="Output 2 14" xfId="7417"/>
    <cellStyle name="Output 2 2" xfId="7418"/>
    <cellStyle name="Output 2 2 2" xfId="7419"/>
    <cellStyle name="Output 2 2 2 2" xfId="7420"/>
    <cellStyle name="Output 2 2 2 3" xfId="7421"/>
    <cellStyle name="Output 2 2 2 4" xfId="7422"/>
    <cellStyle name="Output 2 2 2 5" xfId="7423"/>
    <cellStyle name="Output 2 2 3" xfId="7424"/>
    <cellStyle name="Output 2 2 3 2" xfId="7425"/>
    <cellStyle name="Output 2 2 3 3" xfId="7426"/>
    <cellStyle name="Output 2 2 4" xfId="7427"/>
    <cellStyle name="Output 2 2 5" xfId="7428"/>
    <cellStyle name="Output 2 2 6" xfId="7429"/>
    <cellStyle name="Output 2 3" xfId="7430"/>
    <cellStyle name="Output 2 3 2" xfId="7431"/>
    <cellStyle name="Output 2 3 3" xfId="7432"/>
    <cellStyle name="Output 2 3 4" xfId="7433"/>
    <cellStyle name="Output 2 3 5" xfId="7434"/>
    <cellStyle name="Output 2 3 6" xfId="7435"/>
    <cellStyle name="Output 2 4" xfId="7436"/>
    <cellStyle name="Output 2 4 2" xfId="7437"/>
    <cellStyle name="Output 2 4 3" xfId="7438"/>
    <cellStyle name="Output 2 5" xfId="7439"/>
    <cellStyle name="Output 2 5 2" xfId="7440"/>
    <cellStyle name="Output 2 6" xfId="7441"/>
    <cellStyle name="Output 2 6 2" xfId="7442"/>
    <cellStyle name="Output 2 7" xfId="7443"/>
    <cellStyle name="Output 2 7 2" xfId="7444"/>
    <cellStyle name="Output 2 8" xfId="7445"/>
    <cellStyle name="Output 2 8 2" xfId="7446"/>
    <cellStyle name="Output 2 9" xfId="7447"/>
    <cellStyle name="Output 2 9 2" xfId="7448"/>
    <cellStyle name="Output 2_Analysis File Template" xfId="7449"/>
    <cellStyle name="Output 3" xfId="7450"/>
    <cellStyle name="Output 3 10" xfId="7451"/>
    <cellStyle name="Output 3 11" xfId="7452"/>
    <cellStyle name="Output 3 12" xfId="7453"/>
    <cellStyle name="Output 3 13" xfId="7454"/>
    <cellStyle name="Output 3 14" xfId="7455"/>
    <cellStyle name="Output 3 15" xfId="7456"/>
    <cellStyle name="Output 3 2" xfId="7457"/>
    <cellStyle name="Output 3 2 2" xfId="7458"/>
    <cellStyle name="Output 3 2 3" xfId="7459"/>
    <cellStyle name="Output 3 2 4" xfId="7460"/>
    <cellStyle name="Output 3 2 5" xfId="7461"/>
    <cellStyle name="Output 3 2 6" xfId="7462"/>
    <cellStyle name="Output 3 3" xfId="7463"/>
    <cellStyle name="Output 3 3 2" xfId="7464"/>
    <cellStyle name="Output 3 3 3" xfId="7465"/>
    <cellStyle name="Output 3 3 4" xfId="7466"/>
    <cellStyle name="Output 3 4" xfId="7467"/>
    <cellStyle name="Output 3 4 2" xfId="7468"/>
    <cellStyle name="Output 3 5" xfId="7469"/>
    <cellStyle name="Output 3 5 2" xfId="7470"/>
    <cellStyle name="Output 3 6" xfId="7471"/>
    <cellStyle name="Output 3 6 2" xfId="7472"/>
    <cellStyle name="Output 3 7" xfId="7473"/>
    <cellStyle name="Output 3 7 2" xfId="7474"/>
    <cellStyle name="Output 3 8" xfId="7475"/>
    <cellStyle name="Output 3 8 2" xfId="7476"/>
    <cellStyle name="Output 3 9" xfId="7477"/>
    <cellStyle name="Output 3 9 2" xfId="7478"/>
    <cellStyle name="Output 4" xfId="7479"/>
    <cellStyle name="Output 4 10" xfId="7480"/>
    <cellStyle name="Output 4 11" xfId="7481"/>
    <cellStyle name="Output 4 12" xfId="7482"/>
    <cellStyle name="Output 4 2" xfId="7483"/>
    <cellStyle name="Output 4 2 2" xfId="7484"/>
    <cellStyle name="Output 4 3" xfId="7485"/>
    <cellStyle name="Output 4 3 2" xfId="7486"/>
    <cellStyle name="Output 4 4" xfId="7487"/>
    <cellStyle name="Output 4 4 2" xfId="7488"/>
    <cellStyle name="Output 4 5" xfId="7489"/>
    <cellStyle name="Output 4 5 2" xfId="7490"/>
    <cellStyle name="Output 4 6" xfId="7491"/>
    <cellStyle name="Output 4 6 2" xfId="7492"/>
    <cellStyle name="Output 4 7" xfId="7493"/>
    <cellStyle name="Output 4 7 2" xfId="7494"/>
    <cellStyle name="Output 4 8" xfId="7495"/>
    <cellStyle name="Output 4 8 2" xfId="7496"/>
    <cellStyle name="Output 4 9" xfId="7497"/>
    <cellStyle name="Output 4 9 2" xfId="7498"/>
    <cellStyle name="Output 5" xfId="7499"/>
    <cellStyle name="Output 5 10" xfId="7500"/>
    <cellStyle name="Output 5 11" xfId="7501"/>
    <cellStyle name="Output 5 12" xfId="7502"/>
    <cellStyle name="Output 5 13" xfId="7503"/>
    <cellStyle name="Output 5 14" xfId="7504"/>
    <cellStyle name="Output 5 15" xfId="7505"/>
    <cellStyle name="Output 5 2" xfId="7506"/>
    <cellStyle name="Output 5 2 2" xfId="7507"/>
    <cellStyle name="Output 5 3" xfId="7508"/>
    <cellStyle name="Output 5 3 2" xfId="7509"/>
    <cellStyle name="Output 5 4" xfId="7510"/>
    <cellStyle name="Output 5 4 2" xfId="7511"/>
    <cellStyle name="Output 5 5" xfId="7512"/>
    <cellStyle name="Output 5 5 2" xfId="7513"/>
    <cellStyle name="Output 5 6" xfId="7514"/>
    <cellStyle name="Output 5 6 2" xfId="7515"/>
    <cellStyle name="Output 5 7" xfId="7516"/>
    <cellStyle name="Output 5 7 2" xfId="7517"/>
    <cellStyle name="Output 5 8" xfId="7518"/>
    <cellStyle name="Output 5 8 2" xfId="7519"/>
    <cellStyle name="Output 5 9" xfId="7520"/>
    <cellStyle name="Output 5 9 2" xfId="7521"/>
    <cellStyle name="Output 6" xfId="7522"/>
    <cellStyle name="Output 6 10" xfId="7523"/>
    <cellStyle name="Output 6 11" xfId="7524"/>
    <cellStyle name="Output 6 12" xfId="7525"/>
    <cellStyle name="Output 6 13" xfId="7526"/>
    <cellStyle name="Output 6 14" xfId="7527"/>
    <cellStyle name="Output 6 15" xfId="7528"/>
    <cellStyle name="Output 6 2" xfId="7529"/>
    <cellStyle name="Output 6 2 2" xfId="7530"/>
    <cellStyle name="Output 6 2 3" xfId="7531"/>
    <cellStyle name="Output 6 2 4" xfId="7532"/>
    <cellStyle name="Output 6 3" xfId="7533"/>
    <cellStyle name="Output 6 3 2" xfId="7534"/>
    <cellStyle name="Output 6 3 3" xfId="7535"/>
    <cellStyle name="Output 6 3 4" xfId="7536"/>
    <cellStyle name="Output 6 4" xfId="7537"/>
    <cellStyle name="Output 6 4 2" xfId="7538"/>
    <cellStyle name="Output 6 5" xfId="7539"/>
    <cellStyle name="Output 6 5 2" xfId="7540"/>
    <cellStyle name="Output 6 6" xfId="7541"/>
    <cellStyle name="Output 6 6 2" xfId="7542"/>
    <cellStyle name="Output 6 7" xfId="7543"/>
    <cellStyle name="Output 6 7 2" xfId="7544"/>
    <cellStyle name="Output 6 8" xfId="7545"/>
    <cellStyle name="Output 6 8 2" xfId="7546"/>
    <cellStyle name="Output 6 9" xfId="7547"/>
    <cellStyle name="Output 6 9 2" xfId="7548"/>
    <cellStyle name="Output 7" xfId="7549"/>
    <cellStyle name="Output 7 10" xfId="7550"/>
    <cellStyle name="Output 7 11" xfId="7551"/>
    <cellStyle name="Output 7 12" xfId="7552"/>
    <cellStyle name="Output 7 13" xfId="7553"/>
    <cellStyle name="Output 7 14" xfId="7554"/>
    <cellStyle name="Output 7 15" xfId="7555"/>
    <cellStyle name="Output 7 2" xfId="7556"/>
    <cellStyle name="Output 7 2 2" xfId="7557"/>
    <cellStyle name="Output 7 2 3" xfId="7558"/>
    <cellStyle name="Output 7 2 4" xfId="7559"/>
    <cellStyle name="Output 7 3" xfId="7560"/>
    <cellStyle name="Output 7 3 2" xfId="7561"/>
    <cellStyle name="Output 7 3 3" xfId="7562"/>
    <cellStyle name="Output 7 3 4" xfId="7563"/>
    <cellStyle name="Output 7 4" xfId="7564"/>
    <cellStyle name="Output 7 4 2" xfId="7565"/>
    <cellStyle name="Output 7 5" xfId="7566"/>
    <cellStyle name="Output 7 5 2" xfId="7567"/>
    <cellStyle name="Output 7 6" xfId="7568"/>
    <cellStyle name="Output 7 6 2" xfId="7569"/>
    <cellStyle name="Output 7 7" xfId="7570"/>
    <cellStyle name="Output 7 7 2" xfId="7571"/>
    <cellStyle name="Output 7 8" xfId="7572"/>
    <cellStyle name="Output 7 8 2" xfId="7573"/>
    <cellStyle name="Output 7 9" xfId="7574"/>
    <cellStyle name="Output 7 9 2" xfId="7575"/>
    <cellStyle name="Output 8" xfId="7576"/>
    <cellStyle name="Output 8 10" xfId="7577"/>
    <cellStyle name="Output 8 11" xfId="7578"/>
    <cellStyle name="Output 8 12" xfId="7579"/>
    <cellStyle name="Output 8 13" xfId="7580"/>
    <cellStyle name="Output 8 14" xfId="7581"/>
    <cellStyle name="Output 8 15" xfId="7582"/>
    <cellStyle name="Output 8 2" xfId="7583"/>
    <cellStyle name="Output 8 2 2" xfId="7584"/>
    <cellStyle name="Output 8 2 3" xfId="7585"/>
    <cellStyle name="Output 8 2 4" xfId="7586"/>
    <cellStyle name="Output 8 3" xfId="7587"/>
    <cellStyle name="Output 8 3 2" xfId="7588"/>
    <cellStyle name="Output 8 3 3" xfId="7589"/>
    <cellStyle name="Output 8 3 4" xfId="7590"/>
    <cellStyle name="Output 8 4" xfId="7591"/>
    <cellStyle name="Output 8 4 2" xfId="7592"/>
    <cellStyle name="Output 8 5" xfId="7593"/>
    <cellStyle name="Output 8 5 2" xfId="7594"/>
    <cellStyle name="Output 8 6" xfId="7595"/>
    <cellStyle name="Output 8 6 2" xfId="7596"/>
    <cellStyle name="Output 8 7" xfId="7597"/>
    <cellStyle name="Output 8 7 2" xfId="7598"/>
    <cellStyle name="Output 8 8" xfId="7599"/>
    <cellStyle name="Output 8 8 2" xfId="7600"/>
    <cellStyle name="Output 8 9" xfId="7601"/>
    <cellStyle name="Output 8 9 2" xfId="7602"/>
    <cellStyle name="Output 9" xfId="7603"/>
    <cellStyle name="Output 9 10" xfId="7604"/>
    <cellStyle name="Output 9 11" xfId="7605"/>
    <cellStyle name="Output 9 12" xfId="7606"/>
    <cellStyle name="Output 9 13" xfId="7607"/>
    <cellStyle name="Output 9 14" xfId="7608"/>
    <cellStyle name="Output 9 15" xfId="7609"/>
    <cellStyle name="Output 9 2" xfId="7610"/>
    <cellStyle name="Output 9 2 2" xfId="7611"/>
    <cellStyle name="Output 9 3" xfId="7612"/>
    <cellStyle name="Output 9 3 2" xfId="7613"/>
    <cellStyle name="Output 9 4" xfId="7614"/>
    <cellStyle name="Output 9 4 2" xfId="7615"/>
    <cellStyle name="Output 9 5" xfId="7616"/>
    <cellStyle name="Output 9 5 2" xfId="7617"/>
    <cellStyle name="Output 9 6" xfId="7618"/>
    <cellStyle name="Output 9 6 2" xfId="7619"/>
    <cellStyle name="Output 9 7" xfId="7620"/>
    <cellStyle name="Output 9 7 2" xfId="7621"/>
    <cellStyle name="Output 9 8" xfId="7622"/>
    <cellStyle name="Output 9 8 2" xfId="7623"/>
    <cellStyle name="Output 9 9" xfId="7624"/>
    <cellStyle name="Output 9 9 2" xfId="7625"/>
    <cellStyle name="Percent 10" xfId="7626"/>
    <cellStyle name="Percent 10 2" xfId="7627"/>
    <cellStyle name="Percent 10 2 2" xfId="7628"/>
    <cellStyle name="Percent 10 3" xfId="7629"/>
    <cellStyle name="Percent 11" xfId="7630"/>
    <cellStyle name="Percent 11 2" xfId="7631"/>
    <cellStyle name="Percent 11 2 2" xfId="7632"/>
    <cellStyle name="Percent 11 2 2 2" xfId="7633"/>
    <cellStyle name="Percent 11 2 3" xfId="7634"/>
    <cellStyle name="Percent 11 2 3 2" xfId="7635"/>
    <cellStyle name="Percent 11 2 4" xfId="7636"/>
    <cellStyle name="Percent 11 3" xfId="7637"/>
    <cellStyle name="Percent 11 3 2" xfId="7638"/>
    <cellStyle name="Percent 11 3 2 2" xfId="7639"/>
    <cellStyle name="Percent 11 3 3" xfId="7640"/>
    <cellStyle name="Percent 11 3 3 2" xfId="7641"/>
    <cellStyle name="Percent 11 3 4" xfId="7642"/>
    <cellStyle name="Percent 11 4" xfId="7643"/>
    <cellStyle name="Percent 11 4 2" xfId="7644"/>
    <cellStyle name="Percent 11 5" xfId="7645"/>
    <cellStyle name="Percent 12" xfId="7646"/>
    <cellStyle name="Percent 12 2" xfId="7647"/>
    <cellStyle name="Percent 12 2 2" xfId="7648"/>
    <cellStyle name="Percent 12 2 2 2" xfId="7649"/>
    <cellStyle name="Percent 12 2 3" xfId="7650"/>
    <cellStyle name="Percent 12 2 3 2" xfId="7651"/>
    <cellStyle name="Percent 12 2 4" xfId="7652"/>
    <cellStyle name="Percent 12 3" xfId="7653"/>
    <cellStyle name="Percent 12 3 2" xfId="7654"/>
    <cellStyle name="Percent 12 4" xfId="7655"/>
    <cellStyle name="Percent 12 4 2" xfId="7656"/>
    <cellStyle name="Percent 12 5" xfId="7657"/>
    <cellStyle name="Percent 12 5 2" xfId="7658"/>
    <cellStyle name="Percent 12 6" xfId="7659"/>
    <cellStyle name="Percent 13" xfId="7660"/>
    <cellStyle name="Percent 13 2" xfId="7661"/>
    <cellStyle name="Percent 13 2 2" xfId="7662"/>
    <cellStyle name="Percent 13 3" xfId="7663"/>
    <cellStyle name="Percent 14" xfId="7664"/>
    <cellStyle name="Percent 14 2" xfId="7665"/>
    <cellStyle name="Percent 14 2 2" xfId="7666"/>
    <cellStyle name="Percent 14 2 2 2" xfId="7667"/>
    <cellStyle name="Percent 14 2 3" xfId="7668"/>
    <cellStyle name="Percent 14 3" xfId="7669"/>
    <cellStyle name="Percent 14 3 2" xfId="7670"/>
    <cellStyle name="Percent 14 3 2 2" xfId="7671"/>
    <cellStyle name="Percent 14 3 3" xfId="7672"/>
    <cellStyle name="Percent 14 3 3 2" xfId="7673"/>
    <cellStyle name="Percent 14 3 4" xfId="7674"/>
    <cellStyle name="Percent 14 4" xfId="7675"/>
    <cellStyle name="Percent 15" xfId="7676"/>
    <cellStyle name="Percent 15 2" xfId="7677"/>
    <cellStyle name="Percent 15 2 2" xfId="7678"/>
    <cellStyle name="Percent 15 2 2 2" xfId="7679"/>
    <cellStyle name="Percent 15 2 3" xfId="7680"/>
    <cellStyle name="Percent 15 3" xfId="7681"/>
    <cellStyle name="Percent 15 3 2" xfId="7682"/>
    <cellStyle name="Percent 15 3 2 2" xfId="7683"/>
    <cellStyle name="Percent 15 3 3" xfId="7684"/>
    <cellStyle name="Percent 15 3 4" xfId="7685"/>
    <cellStyle name="Percent 15 4" xfId="7686"/>
    <cellStyle name="Percent 16" xfId="7687"/>
    <cellStyle name="Percent 16 2" xfId="7688"/>
    <cellStyle name="Percent 16 2 2" xfId="7689"/>
    <cellStyle name="Percent 16 2 2 2" xfId="7690"/>
    <cellStyle name="Percent 16 2 3" xfId="7691"/>
    <cellStyle name="Percent 16 2 3 2" xfId="7692"/>
    <cellStyle name="Percent 16 2 4" xfId="7693"/>
    <cellStyle name="Percent 16 3" xfId="7694"/>
    <cellStyle name="Percent 16 3 2" xfId="7695"/>
    <cellStyle name="Percent 16 3 2 2" xfId="7696"/>
    <cellStyle name="Percent 16 3 3" xfId="7697"/>
    <cellStyle name="Percent 16 3 4" xfId="7698"/>
    <cellStyle name="Percent 16 4" xfId="7699"/>
    <cellStyle name="Percent 16 4 2" xfId="7700"/>
    <cellStyle name="Percent 16 5" xfId="7701"/>
    <cellStyle name="Percent 16 5 2" xfId="7702"/>
    <cellStyle name="Percent 16 6" xfId="7703"/>
    <cellStyle name="Percent 17" xfId="7704"/>
    <cellStyle name="Percent 17 2" xfId="7705"/>
    <cellStyle name="Percent 17 2 2" xfId="7706"/>
    <cellStyle name="Percent 17 3" xfId="7707"/>
    <cellStyle name="Percent 17 3 2" xfId="7708"/>
    <cellStyle name="Percent 17 4" xfId="7709"/>
    <cellStyle name="Percent 18" xfId="7710"/>
    <cellStyle name="Percent 18 2" xfId="7711"/>
    <cellStyle name="Percent 18 2 2" xfId="7712"/>
    <cellStyle name="Percent 18 3" xfId="7713"/>
    <cellStyle name="Percent 19" xfId="7714"/>
    <cellStyle name="Percent 19 2" xfId="7715"/>
    <cellStyle name="Percent 2" xfId="7716"/>
    <cellStyle name="Percent 2 10" xfId="7717"/>
    <cellStyle name="Percent 2 10 2" xfId="7718"/>
    <cellStyle name="Percent 2 11" xfId="7719"/>
    <cellStyle name="Percent 2 11 2" xfId="7720"/>
    <cellStyle name="Percent 2 12" xfId="7721"/>
    <cellStyle name="Percent 2 12 2" xfId="7722"/>
    <cellStyle name="Percent 2 13" xfId="7723"/>
    <cellStyle name="Percent 2 2" xfId="7724"/>
    <cellStyle name="Percent 2 2 2" xfId="7725"/>
    <cellStyle name="Percent 2 2 2 2" xfId="7726"/>
    <cellStyle name="Percent 2 2 2 2 2" xfId="7727"/>
    <cellStyle name="Percent 2 2 2 2 3" xfId="7728"/>
    <cellStyle name="Percent 2 2 2 3" xfId="7729"/>
    <cellStyle name="Percent 2 2 2 3 2" xfId="7730"/>
    <cellStyle name="Percent 2 2 2 4" xfId="7731"/>
    <cellStyle name="Percent 2 2 2 5" xfId="7732"/>
    <cellStyle name="Percent 2 2 3" xfId="7733"/>
    <cellStyle name="Percent 2 2 3 2" xfId="7734"/>
    <cellStyle name="Percent 2 2 3 3" xfId="7735"/>
    <cellStyle name="Percent 2 2 3 4" xfId="7736"/>
    <cellStyle name="Percent 2 2 3 5" xfId="7737"/>
    <cellStyle name="Percent 2 2 4" xfId="7738"/>
    <cellStyle name="Percent 2 2 4 2" xfId="7739"/>
    <cellStyle name="Percent 2 2 4 2 2" xfId="7740"/>
    <cellStyle name="Percent 2 2 4 2 3" xfId="7741"/>
    <cellStyle name="Percent 2 2 4 3" xfId="7742"/>
    <cellStyle name="Percent 2 2 4 3 2" xfId="7743"/>
    <cellStyle name="Percent 2 2 4 4" xfId="7744"/>
    <cellStyle name="Percent 2 2 4 5" xfId="7745"/>
    <cellStyle name="Percent 2 2 5" xfId="7746"/>
    <cellStyle name="Percent 2 2 5 2" xfId="7747"/>
    <cellStyle name="Percent 2 2 5 3" xfId="7748"/>
    <cellStyle name="Percent 2 2 5 4" xfId="7749"/>
    <cellStyle name="Percent 2 2 5 5" xfId="7750"/>
    <cellStyle name="Percent 2 2 6" xfId="7751"/>
    <cellStyle name="Percent 2 2 6 2" xfId="7752"/>
    <cellStyle name="Percent 2 2 6 3" xfId="7753"/>
    <cellStyle name="Percent 2 2 7" xfId="7754"/>
    <cellStyle name="Percent 2 2 8" xfId="7755"/>
    <cellStyle name="Percent 2 2 9" xfId="7756"/>
    <cellStyle name="Percent 2 3" xfId="7757"/>
    <cellStyle name="Percent 2 3 2" xfId="7758"/>
    <cellStyle name="Percent 2 3 2 2" xfId="7759"/>
    <cellStyle name="Percent 2 3 2 2 2" xfId="7760"/>
    <cellStyle name="Percent 2 3 2 3" xfId="7761"/>
    <cellStyle name="Percent 2 3 2 3 2" xfId="7762"/>
    <cellStyle name="Percent 2 3 2 3 3" xfId="7763"/>
    <cellStyle name="Percent 2 3 2 4" xfId="7764"/>
    <cellStyle name="Percent 2 3 2 5" xfId="7765"/>
    <cellStyle name="Percent 2 3 2 6" xfId="7766"/>
    <cellStyle name="Percent 2 3 3" xfId="7767"/>
    <cellStyle name="Percent 2 3 3 2" xfId="7768"/>
    <cellStyle name="Percent 2 3 3 2 2" xfId="7769"/>
    <cellStyle name="Percent 2 3 3 3" xfId="7770"/>
    <cellStyle name="Percent 2 3 3 4" xfId="7771"/>
    <cellStyle name="Percent 2 3 3 5" xfId="7772"/>
    <cellStyle name="Percent 2 3 3 6" xfId="7773"/>
    <cellStyle name="Percent 2 3 4" xfId="7774"/>
    <cellStyle name="Percent 2 3 4 2" xfId="7775"/>
    <cellStyle name="Percent 2 3 4 3" xfId="7776"/>
    <cellStyle name="Percent 2 3 5" xfId="7777"/>
    <cellStyle name="Percent 2 3 6" xfId="7778"/>
    <cellStyle name="Percent 2 3 7" xfId="7779"/>
    <cellStyle name="Percent 2 4" xfId="7780"/>
    <cellStyle name="Percent 2 4 2" xfId="7781"/>
    <cellStyle name="Percent 2 4 2 2" xfId="7782"/>
    <cellStyle name="Percent 2 4 2 3" xfId="7783"/>
    <cellStyle name="Percent 2 4 3" xfId="7784"/>
    <cellStyle name="Percent 2 4 3 2" xfId="7785"/>
    <cellStyle name="Percent 2 4 3 3" xfId="7786"/>
    <cellStyle name="Percent 2 4 4" xfId="7787"/>
    <cellStyle name="Percent 2 4 4 2" xfId="7788"/>
    <cellStyle name="Percent 2 4 5" xfId="7789"/>
    <cellStyle name="Percent 2 4 5 2" xfId="7790"/>
    <cellStyle name="Percent 2 4 6" xfId="7791"/>
    <cellStyle name="Percent 2 4 7" xfId="7792"/>
    <cellStyle name="Percent 2 5" xfId="7793"/>
    <cellStyle name="Percent 2 5 2" xfId="7794"/>
    <cellStyle name="Percent 2 5 2 2" xfId="7795"/>
    <cellStyle name="Percent 2 5 3" xfId="7796"/>
    <cellStyle name="Percent 2 5 3 2" xfId="7797"/>
    <cellStyle name="Percent 2 5 3 3" xfId="7798"/>
    <cellStyle name="Percent 2 5 4" xfId="7799"/>
    <cellStyle name="Percent 2 5 4 2" xfId="7800"/>
    <cellStyle name="Percent 2 5 5" xfId="7801"/>
    <cellStyle name="Percent 2 5 6" xfId="7802"/>
    <cellStyle name="Percent 2 6" xfId="7803"/>
    <cellStyle name="Percent 2 6 2" xfId="7804"/>
    <cellStyle name="Percent 2 6 2 2" xfId="7805"/>
    <cellStyle name="Percent 2 6 3" xfId="7806"/>
    <cellStyle name="Percent 2 6 3 2" xfId="7807"/>
    <cellStyle name="Percent 2 6 4" xfId="7808"/>
    <cellStyle name="Percent 2 6 4 2" xfId="7809"/>
    <cellStyle name="Percent 2 6 5" xfId="7810"/>
    <cellStyle name="Percent 2 6 5 2" xfId="7811"/>
    <cellStyle name="Percent 2 6 6" xfId="7812"/>
    <cellStyle name="Percent 2 6 6 2" xfId="7813"/>
    <cellStyle name="Percent 2 6 7" xfId="7814"/>
    <cellStyle name="Percent 2 7" xfId="7815"/>
    <cellStyle name="Percent 2 7 2" xfId="7816"/>
    <cellStyle name="Percent 2 8" xfId="7817"/>
    <cellStyle name="Percent 2 8 2" xfId="7818"/>
    <cellStyle name="Percent 2 8 2 2" xfId="7819"/>
    <cellStyle name="Percent 2 8 2 3" xfId="7820"/>
    <cellStyle name="Percent 2 8 3" xfId="7821"/>
    <cellStyle name="Percent 2 9" xfId="7822"/>
    <cellStyle name="Percent 2 9 2" xfId="7823"/>
    <cellStyle name="Percent 2 9 2 2" xfId="7824"/>
    <cellStyle name="Percent 2 9 3" xfId="7825"/>
    <cellStyle name="Percent 2 9 4" xfId="7826"/>
    <cellStyle name="Percent 3" xfId="7827"/>
    <cellStyle name="Percent 3 10" xfId="7828"/>
    <cellStyle name="Percent 3 10 2" xfId="7829"/>
    <cellStyle name="Percent 3 11" xfId="7830"/>
    <cellStyle name="Percent 3 12" xfId="7831"/>
    <cellStyle name="Percent 3 2" xfId="7832"/>
    <cellStyle name="Percent 3 2 2" xfId="7833"/>
    <cellStyle name="Percent 3 2 2 2" xfId="7834"/>
    <cellStyle name="Percent 3 2 3" xfId="7835"/>
    <cellStyle name="Percent 3 2 3 2" xfId="7836"/>
    <cellStyle name="Percent 3 2 3 2 2" xfId="7837"/>
    <cellStyle name="Percent 3 2 3 3" xfId="7838"/>
    <cellStyle name="Percent 3 2 3 3 2" xfId="7839"/>
    <cellStyle name="Percent 3 2 3 4" xfId="7840"/>
    <cellStyle name="Percent 3 2 4" xfId="7841"/>
    <cellStyle name="Percent 3 2 4 2" xfId="7842"/>
    <cellStyle name="Percent 3 2 4 2 2" xfId="7843"/>
    <cellStyle name="Percent 3 2 4 3" xfId="7844"/>
    <cellStyle name="Percent 3 2 4 3 2" xfId="7845"/>
    <cellStyle name="Percent 3 2 4 4" xfId="7846"/>
    <cellStyle name="Percent 3 2 5" xfId="7847"/>
    <cellStyle name="Percent 3 3" xfId="7848"/>
    <cellStyle name="Percent 3 3 2" xfId="7849"/>
    <cellStyle name="Percent 3 3 2 2" xfId="7850"/>
    <cellStyle name="Percent 3 3 3" xfId="7851"/>
    <cellStyle name="Percent 3 3 3 2" xfId="7852"/>
    <cellStyle name="Percent 3 3 3 2 2" xfId="7853"/>
    <cellStyle name="Percent 3 3 3 3" xfId="7854"/>
    <cellStyle name="Percent 3 3 3 3 2" xfId="7855"/>
    <cellStyle name="Percent 3 3 3 4" xfId="7856"/>
    <cellStyle name="Percent 3 3 4" xfId="7857"/>
    <cellStyle name="Percent 3 3 4 2" xfId="7858"/>
    <cellStyle name="Percent 3 3 5" xfId="7859"/>
    <cellStyle name="Percent 3 4" xfId="7860"/>
    <cellStyle name="Percent 3 4 2" xfId="7861"/>
    <cellStyle name="Percent 3 4 2 2" xfId="7862"/>
    <cellStyle name="Percent 3 4 3" xfId="7863"/>
    <cellStyle name="Percent 3 4 3 2" xfId="7864"/>
    <cellStyle name="Percent 3 4 3 2 2" xfId="7865"/>
    <cellStyle name="Percent 3 4 3 3" xfId="7866"/>
    <cellStyle name="Percent 3 4 3 3 2" xfId="7867"/>
    <cellStyle name="Percent 3 4 3 4" xfId="7868"/>
    <cellStyle name="Percent 3 4 4" xfId="7869"/>
    <cellStyle name="Percent 3 4 4 2" xfId="7870"/>
    <cellStyle name="Percent 3 4 5" xfId="7871"/>
    <cellStyle name="Percent 3 5" xfId="7872"/>
    <cellStyle name="Percent 3 5 2" xfId="7873"/>
    <cellStyle name="Percent 3 5 2 2" xfId="7874"/>
    <cellStyle name="Percent 3 5 2 2 2" xfId="7875"/>
    <cellStyle name="Percent 3 5 2 2 2 2" xfId="7876"/>
    <cellStyle name="Percent 3 5 2 2 3" xfId="7877"/>
    <cellStyle name="Percent 3 5 2 2 3 2" xfId="7878"/>
    <cellStyle name="Percent 3 5 2 2 4" xfId="7879"/>
    <cellStyle name="Percent 3 5 2 3" xfId="7880"/>
    <cellStyle name="Percent 3 5 2 3 2" xfId="7881"/>
    <cellStyle name="Percent 3 5 2 4" xfId="7882"/>
    <cellStyle name="Percent 3 5 2 4 2" xfId="7883"/>
    <cellStyle name="Percent 3 5 2 5" xfId="7884"/>
    <cellStyle name="Percent 3 5 3" xfId="7885"/>
    <cellStyle name="Percent 3 5 3 2" xfId="7886"/>
    <cellStyle name="Percent 3 5 3 2 2" xfId="7887"/>
    <cellStyle name="Percent 3 5 3 3" xfId="7888"/>
    <cellStyle name="Percent 3 5 3 3 2" xfId="7889"/>
    <cellStyle name="Percent 3 5 3 4" xfId="7890"/>
    <cellStyle name="Percent 3 5 4" xfId="7891"/>
    <cellStyle name="Percent 3 5 4 2" xfId="7892"/>
    <cellStyle name="Percent 3 5 5" xfId="7893"/>
    <cellStyle name="Percent 3 5 5 2" xfId="7894"/>
    <cellStyle name="Percent 3 5 6" xfId="7895"/>
    <cellStyle name="Percent 3 5 6 2" xfId="7896"/>
    <cellStyle name="Percent 3 5 7" xfId="7897"/>
    <cellStyle name="Percent 3 6" xfId="7898"/>
    <cellStyle name="Percent 3 6 2" xfId="7899"/>
    <cellStyle name="Percent 3 6 2 2" xfId="7900"/>
    <cellStyle name="Percent 3 6 2 2 2" xfId="7901"/>
    <cellStyle name="Percent 3 6 2 3" xfId="7902"/>
    <cellStyle name="Percent 3 6 2 3 2" xfId="7903"/>
    <cellStyle name="Percent 3 6 2 4" xfId="7904"/>
    <cellStyle name="Percent 3 6 3" xfId="7905"/>
    <cellStyle name="Percent 3 6 3 2" xfId="7906"/>
    <cellStyle name="Percent 3 6 4" xfId="7907"/>
    <cellStyle name="Percent 3 6 4 2" xfId="7908"/>
    <cellStyle name="Percent 3 6 5" xfId="7909"/>
    <cellStyle name="Percent 3 7" xfId="7910"/>
    <cellStyle name="Percent 3 7 2" xfId="7911"/>
    <cellStyle name="Percent 3 7 2 2" xfId="7912"/>
    <cellStyle name="Percent 3 7 3" xfId="7913"/>
    <cellStyle name="Percent 3 7 3 2" xfId="7914"/>
    <cellStyle name="Percent 3 7 4" xfId="7915"/>
    <cellStyle name="Percent 3 7 4 2" xfId="7916"/>
    <cellStyle name="Percent 3 7 5" xfId="7917"/>
    <cellStyle name="Percent 3 8" xfId="7918"/>
    <cellStyle name="Percent 3 8 2" xfId="7919"/>
    <cellStyle name="Percent 3 8 2 2" xfId="7920"/>
    <cellStyle name="Percent 3 8 3" xfId="7921"/>
    <cellStyle name="Percent 3 8 3 2" xfId="7922"/>
    <cellStyle name="Percent 3 8 4" xfId="7923"/>
    <cellStyle name="Percent 3 8 4 2" xfId="7924"/>
    <cellStyle name="Percent 3 8 5" xfId="7925"/>
    <cellStyle name="Percent 3 9" xfId="7926"/>
    <cellStyle name="Percent 3 9 2" xfId="7927"/>
    <cellStyle name="Percent 4" xfId="7928"/>
    <cellStyle name="Percent 4 10" xfId="7929"/>
    <cellStyle name="Percent 4 11" xfId="7930"/>
    <cellStyle name="Percent 4 2" xfId="7931"/>
    <cellStyle name="Percent 4 2 2" xfId="7932"/>
    <cellStyle name="Percent 4 2 2 2" xfId="7933"/>
    <cellStyle name="Percent 4 2 3" xfId="7934"/>
    <cellStyle name="Percent 4 2 3 2" xfId="7935"/>
    <cellStyle name="Percent 4 2 3 2 2" xfId="7936"/>
    <cellStyle name="Percent 4 2 3 3" xfId="7937"/>
    <cellStyle name="Percent 4 2 3 3 2" xfId="7938"/>
    <cellStyle name="Percent 4 2 3 4" xfId="7939"/>
    <cellStyle name="Percent 4 2 4" xfId="7940"/>
    <cellStyle name="Percent 4 3" xfId="7941"/>
    <cellStyle name="Percent 4 3 2" xfId="7942"/>
    <cellStyle name="Percent 4 3 2 2" xfId="7943"/>
    <cellStyle name="Percent 4 3 2 2 2" xfId="7944"/>
    <cellStyle name="Percent 4 3 2 3" xfId="7945"/>
    <cellStyle name="Percent 4 3 2 3 2" xfId="7946"/>
    <cellStyle name="Percent 4 3 2 4" xfId="7947"/>
    <cellStyle name="Percent 4 3 3" xfId="7948"/>
    <cellStyle name="Percent 4 4" xfId="7949"/>
    <cellStyle name="Percent 4 4 2" xfId="7950"/>
    <cellStyle name="Percent 4 4 2 2" xfId="7951"/>
    <cellStyle name="Percent 4 4 2 2 2" xfId="7952"/>
    <cellStyle name="Percent 4 4 2 3" xfId="7953"/>
    <cellStyle name="Percent 4 4 2 3 2" xfId="7954"/>
    <cellStyle name="Percent 4 4 2 4" xfId="7955"/>
    <cellStyle name="Percent 4 4 3" xfId="7956"/>
    <cellStyle name="Percent 4 5" xfId="7957"/>
    <cellStyle name="Percent 4 5 2" xfId="7958"/>
    <cellStyle name="Percent 4 6" xfId="7959"/>
    <cellStyle name="Percent 4 6 2" xfId="7960"/>
    <cellStyle name="Percent 4 6 2 2" xfId="7961"/>
    <cellStyle name="Percent 4 6 3" xfId="7962"/>
    <cellStyle name="Percent 4 7" xfId="7963"/>
    <cellStyle name="Percent 4 7 2" xfId="7964"/>
    <cellStyle name="Percent 4 7 2 2" xfId="7965"/>
    <cellStyle name="Percent 4 7 3" xfId="7966"/>
    <cellStyle name="Percent 4 7 3 2" xfId="7967"/>
    <cellStyle name="Percent 4 7 4" xfId="7968"/>
    <cellStyle name="Percent 4 8" xfId="7969"/>
    <cellStyle name="Percent 4 8 2" xfId="7970"/>
    <cellStyle name="Percent 4 9" xfId="7971"/>
    <cellStyle name="Percent 4 9 2" xfId="7972"/>
    <cellStyle name="Percent 5" xfId="7973"/>
    <cellStyle name="Percent 5 2" xfId="7974"/>
    <cellStyle name="Percent 5 2 2" xfId="7975"/>
    <cellStyle name="Percent 5 2 2 2" xfId="7976"/>
    <cellStyle name="Percent 5 2 2 2 2" xfId="7977"/>
    <cellStyle name="Percent 5 2 2 3" xfId="7978"/>
    <cellStyle name="Percent 5 2 2 3 2" xfId="7979"/>
    <cellStyle name="Percent 5 2 2 4" xfId="7980"/>
    <cellStyle name="Percent 5 2 3" xfId="7981"/>
    <cellStyle name="Percent 5 2 3 2" xfId="7982"/>
    <cellStyle name="Percent 5 2 3 2 2" xfId="7983"/>
    <cellStyle name="Percent 5 2 3 3" xfId="7984"/>
    <cellStyle name="Percent 5 2 3 3 2" xfId="7985"/>
    <cellStyle name="Percent 5 2 3 4" xfId="7986"/>
    <cellStyle name="Percent 5 2 3 4 2" xfId="7987"/>
    <cellStyle name="Percent 5 2 3 5" xfId="7988"/>
    <cellStyle name="Percent 5 2 4" xfId="7989"/>
    <cellStyle name="Percent 5 2 4 2" xfId="7990"/>
    <cellStyle name="Percent 5 2 5" xfId="7991"/>
    <cellStyle name="Percent 5 2 5 2" xfId="7992"/>
    <cellStyle name="Percent 5 2 6" xfId="7993"/>
    <cellStyle name="Percent 5 3" xfId="7994"/>
    <cellStyle name="Percent 5 3 2" xfId="7995"/>
    <cellStyle name="Percent 5 3 2 2" xfId="7996"/>
    <cellStyle name="Percent 5 3 3" xfId="7997"/>
    <cellStyle name="Percent 5 3 3 2" xfId="7998"/>
    <cellStyle name="Percent 5 3 4" xfId="7999"/>
    <cellStyle name="Percent 5 4" xfId="8000"/>
    <cellStyle name="Percent 5 4 2" xfId="8001"/>
    <cellStyle name="Percent 5 4 2 2" xfId="8002"/>
    <cellStyle name="Percent 5 4 3" xfId="8003"/>
    <cellStyle name="Percent 5 4 3 2" xfId="8004"/>
    <cellStyle name="Percent 5 4 4" xfId="8005"/>
    <cellStyle name="Percent 5 4 4 2" xfId="8006"/>
    <cellStyle name="Percent 5 4 5" xfId="8007"/>
    <cellStyle name="Percent 5 5" xfId="8008"/>
    <cellStyle name="Percent 5 5 2" xfId="8009"/>
    <cellStyle name="Percent 5 5 2 2" xfId="8010"/>
    <cellStyle name="Percent 5 5 3" xfId="8011"/>
    <cellStyle name="Percent 5 5 3 2" xfId="8012"/>
    <cellStyle name="Percent 5 5 4" xfId="8013"/>
    <cellStyle name="Percent 5 6" xfId="8014"/>
    <cellStyle name="Percent 5 6 2" xfId="8015"/>
    <cellStyle name="Percent 5 7" xfId="8016"/>
    <cellStyle name="Percent 6" xfId="8017"/>
    <cellStyle name="Percent 6 2" xfId="8018"/>
    <cellStyle name="Percent 6 2 2" xfId="8019"/>
    <cellStyle name="Percent 6 3" xfId="8020"/>
    <cellStyle name="Percent 6 3 2" xfId="8021"/>
    <cellStyle name="Percent 6 3 2 2" xfId="8022"/>
    <cellStyle name="Percent 6 3 3" xfId="8023"/>
    <cellStyle name="Percent 6 3 3 2" xfId="8024"/>
    <cellStyle name="Percent 6 3 4" xfId="8025"/>
    <cellStyle name="Percent 6 4" xfId="8026"/>
    <cellStyle name="Percent 6 4 2" xfId="8027"/>
    <cellStyle name="Percent 6 5" xfId="8028"/>
    <cellStyle name="Percent 7" xfId="8029"/>
    <cellStyle name="Percent 7 2" xfId="8030"/>
    <cellStyle name="Percent 7 2 2" xfId="8031"/>
    <cellStyle name="Percent 7 2 2 2" xfId="8032"/>
    <cellStyle name="Percent 7 2 3" xfId="8033"/>
    <cellStyle name="Percent 7 3" xfId="8034"/>
    <cellStyle name="Percent 7 3 2" xfId="8035"/>
    <cellStyle name="Percent 7 3 2 2" xfId="8036"/>
    <cellStyle name="Percent 7 3 3" xfId="8037"/>
    <cellStyle name="Percent 7 4" xfId="8038"/>
    <cellStyle name="Percent 7 4 2" xfId="8039"/>
    <cellStyle name="Percent 7 5" xfId="8040"/>
    <cellStyle name="Percent 8" xfId="8041"/>
    <cellStyle name="Percent 8 2" xfId="8042"/>
    <cellStyle name="Percent 8 2 2" xfId="8043"/>
    <cellStyle name="Percent 8 2 2 2" xfId="8044"/>
    <cellStyle name="Percent 8 2 3" xfId="8045"/>
    <cellStyle name="Percent 8 3" xfId="8046"/>
    <cellStyle name="Percent 8 3 2" xfId="8047"/>
    <cellStyle name="Percent 8 4" xfId="8048"/>
    <cellStyle name="Percent 9" xfId="8049"/>
    <cellStyle name="Percent 9 2" xfId="8050"/>
    <cellStyle name="Percent 9 2 2" xfId="8051"/>
    <cellStyle name="Percent 9 2 2 2" xfId="8052"/>
    <cellStyle name="Percent 9 2 3" xfId="8053"/>
    <cellStyle name="Percent 9 2 3 2" xfId="8054"/>
    <cellStyle name="Percent 9 2 4" xfId="8055"/>
    <cellStyle name="Percent 9 3" xfId="8056"/>
    <cellStyle name="Percent 9 3 2" xfId="8057"/>
    <cellStyle name="Percent 9 4" xfId="8058"/>
    <cellStyle name="Percent 9 4 2" xfId="8059"/>
    <cellStyle name="Percent 9 5" xfId="8060"/>
    <cellStyle name="Refdb standard" xfId="8061"/>
    <cellStyle name="Refdb standard 2" xfId="8062"/>
    <cellStyle name="Refdb standard 2 2" xfId="8063"/>
    <cellStyle name="Refdb standard 3" xfId="8064"/>
    <cellStyle name="Row_CategoryHeadings" xfId="8065"/>
    <cellStyle name="Sheet Title" xfId="8066"/>
    <cellStyle name="Sheet Title 2" xfId="8067"/>
    <cellStyle name="Source" xfId="8068"/>
    <cellStyle name="Source 2" xfId="8069"/>
    <cellStyle name="Source 2 2" xfId="8070"/>
    <cellStyle name="Source 2 2 2" xfId="8071"/>
    <cellStyle name="Source 2 3" xfId="8072"/>
    <cellStyle name="Source 2 3 2" xfId="8073"/>
    <cellStyle name="Source 2 4" xfId="8074"/>
    <cellStyle name="Source 2 4 2" xfId="8075"/>
    <cellStyle name="Source 2 4 3" xfId="8076"/>
    <cellStyle name="Source 2 5" xfId="8077"/>
    <cellStyle name="Source 3" xfId="8078"/>
    <cellStyle name="Source 3 2" xfId="8079"/>
    <cellStyle name="Source 4" xfId="8080"/>
    <cellStyle name="Source 4 2" xfId="8081"/>
    <cellStyle name="Source 4 2 2" xfId="8082"/>
    <cellStyle name="Source 4 2 2 2" xfId="8083"/>
    <cellStyle name="Source 4 2 3" xfId="8084"/>
    <cellStyle name="Source 4 2 3 2" xfId="8085"/>
    <cellStyle name="Source 4 2 3 3" xfId="8086"/>
    <cellStyle name="Source 4 2 4" xfId="8087"/>
    <cellStyle name="Source 4 2 4 2" xfId="8088"/>
    <cellStyle name="Source 4 2 4 3" xfId="8089"/>
    <cellStyle name="Source 4 2 5" xfId="8090"/>
    <cellStyle name="Source 4 3" xfId="8091"/>
    <cellStyle name="Source 5" xfId="8092"/>
    <cellStyle name="Style 1" xfId="8093"/>
    <cellStyle name="Style 1 2" xfId="8094"/>
    <cellStyle name="style1415104331817" xfId="8095"/>
    <cellStyle name="style1415104331817 2" xfId="8096"/>
    <cellStyle name="style1415104331942" xfId="8097"/>
    <cellStyle name="style1415104331942 2" xfId="8098"/>
    <cellStyle name="style1415104331989" xfId="8099"/>
    <cellStyle name="style1415104331989 2" xfId="8100"/>
    <cellStyle name="style1415104332036" xfId="8101"/>
    <cellStyle name="style1415104332036 2" xfId="8102"/>
    <cellStyle name="style1415104332083" xfId="8103"/>
    <cellStyle name="style1415104332083 2" xfId="8104"/>
    <cellStyle name="style1415104332129" xfId="8105"/>
    <cellStyle name="style1415104332129 2" xfId="8106"/>
    <cellStyle name="style1415104332207" xfId="8107"/>
    <cellStyle name="style1415104332207 2" xfId="8108"/>
    <cellStyle name="style1415104332254" xfId="8109"/>
    <cellStyle name="style1415104332254 2" xfId="8110"/>
    <cellStyle name="style1415104332285" xfId="8111"/>
    <cellStyle name="style1415104332285 2" xfId="8112"/>
    <cellStyle name="style1415104332332" xfId="8113"/>
    <cellStyle name="style1415104332332 2" xfId="8114"/>
    <cellStyle name="style1415104332379" xfId="8115"/>
    <cellStyle name="style1415104332379 2" xfId="8116"/>
    <cellStyle name="style1415104332441" xfId="8117"/>
    <cellStyle name="style1415104332441 2" xfId="8118"/>
    <cellStyle name="style1415104332488" xfId="8119"/>
    <cellStyle name="style1415104332488 2" xfId="8120"/>
    <cellStyle name="style1415104332551" xfId="8121"/>
    <cellStyle name="style1415104332551 2" xfId="8122"/>
    <cellStyle name="style1415104332629" xfId="8123"/>
    <cellStyle name="style1415104332629 2" xfId="8124"/>
    <cellStyle name="style1415104332675" xfId="8125"/>
    <cellStyle name="style1415104332675 2" xfId="8126"/>
    <cellStyle name="style1415104332722" xfId="8127"/>
    <cellStyle name="style1415104332722 2" xfId="8128"/>
    <cellStyle name="style1415104332785" xfId="8129"/>
    <cellStyle name="style1415104332785 2" xfId="8130"/>
    <cellStyle name="style1415104332831" xfId="8131"/>
    <cellStyle name="style1415104332831 2" xfId="8132"/>
    <cellStyle name="style1415104332909" xfId="8133"/>
    <cellStyle name="style1415104332909 2" xfId="8134"/>
    <cellStyle name="style1415104332941" xfId="8135"/>
    <cellStyle name="style1415104332941 2" xfId="8136"/>
    <cellStyle name="style1415104333533" xfId="8137"/>
    <cellStyle name="style1415104333533 2" xfId="8138"/>
    <cellStyle name="style1415104333580" xfId="8139"/>
    <cellStyle name="style1415104333580 2" xfId="8140"/>
    <cellStyle name="style1415104333611" xfId="8141"/>
    <cellStyle name="style1415104333611 2" xfId="8142"/>
    <cellStyle name="style1415104333674" xfId="8143"/>
    <cellStyle name="style1415104333674 2" xfId="8144"/>
    <cellStyle name="style1415104333767" xfId="8145"/>
    <cellStyle name="style1415104333767 2" xfId="8146"/>
    <cellStyle name="style1415104333799" xfId="8147"/>
    <cellStyle name="style1415104333799 2" xfId="8148"/>
    <cellStyle name="style1415104333877" xfId="8149"/>
    <cellStyle name="style1415104333877 2" xfId="8150"/>
    <cellStyle name="style1415104333908" xfId="8151"/>
    <cellStyle name="style1415104333908 2" xfId="8152"/>
    <cellStyle name="style1415104333955" xfId="8153"/>
    <cellStyle name="style1415104333955 2" xfId="8154"/>
    <cellStyle name="style1415104334017" xfId="8155"/>
    <cellStyle name="style1415104334017 2" xfId="8156"/>
    <cellStyle name="style1415104334064" xfId="8157"/>
    <cellStyle name="style1415104334064 2" xfId="8158"/>
    <cellStyle name="style1415104334111" xfId="8159"/>
    <cellStyle name="style1415104334111 2" xfId="8160"/>
    <cellStyle name="style1415104334157" xfId="8161"/>
    <cellStyle name="style1415104334157 2" xfId="8162"/>
    <cellStyle name="style1415104334204" xfId="8163"/>
    <cellStyle name="style1415104334204 2" xfId="8164"/>
    <cellStyle name="style1415104334251" xfId="8165"/>
    <cellStyle name="style1415104334251 2" xfId="8166"/>
    <cellStyle name="style1415104334298" xfId="8167"/>
    <cellStyle name="style1415104334298 2" xfId="8168"/>
    <cellStyle name="style1415104334329" xfId="8169"/>
    <cellStyle name="style1415104334329 2" xfId="8170"/>
    <cellStyle name="style1415104334563" xfId="8171"/>
    <cellStyle name="style1415104334563 2" xfId="8172"/>
    <cellStyle name="style1415104334610" xfId="8173"/>
    <cellStyle name="style1415104334610 2" xfId="8174"/>
    <cellStyle name="style1415104334672" xfId="8175"/>
    <cellStyle name="style1415104334672 2" xfId="8176"/>
    <cellStyle name="style1415104334704" xfId="8177"/>
    <cellStyle name="style1415104334704 2" xfId="8178"/>
    <cellStyle name="style1415104334735" xfId="8179"/>
    <cellStyle name="style1415104334735 2" xfId="8180"/>
    <cellStyle name="style1415290116355" xfId="8181"/>
    <cellStyle name="style1415290116355 2" xfId="8182"/>
    <cellStyle name="style1415290116433" xfId="8183"/>
    <cellStyle name="style1415290116433 2" xfId="8184"/>
    <cellStyle name="style1415290116526" xfId="8185"/>
    <cellStyle name="style1415290116526 2" xfId="8186"/>
    <cellStyle name="style1415290116589" xfId="8187"/>
    <cellStyle name="style1415290116589 2" xfId="8188"/>
    <cellStyle name="style1415290116636" xfId="8189"/>
    <cellStyle name="style1415290116636 2" xfId="8190"/>
    <cellStyle name="style1415290116682" xfId="8191"/>
    <cellStyle name="style1415290116682 2" xfId="8192"/>
    <cellStyle name="style1415290116760" xfId="8193"/>
    <cellStyle name="style1415290116760 2" xfId="8194"/>
    <cellStyle name="style1415290116792" xfId="8195"/>
    <cellStyle name="style1415290116792 2" xfId="8196"/>
    <cellStyle name="style1415290116854" xfId="8197"/>
    <cellStyle name="style1415290116854 2" xfId="8198"/>
    <cellStyle name="style1415290117010" xfId="8199"/>
    <cellStyle name="style1415290117010 2" xfId="8200"/>
    <cellStyle name="style1415290117057" xfId="8201"/>
    <cellStyle name="style1415290117057 2" xfId="8202"/>
    <cellStyle name="style1415290117119" xfId="8203"/>
    <cellStyle name="style1415290117119 2" xfId="8204"/>
    <cellStyle name="style1415290117182" xfId="8205"/>
    <cellStyle name="style1415290117182 2" xfId="8206"/>
    <cellStyle name="style1415290117260" xfId="8207"/>
    <cellStyle name="style1415290117260 2" xfId="8208"/>
    <cellStyle name="style1415290117322" xfId="8209"/>
    <cellStyle name="style1415290117322 2" xfId="8210"/>
    <cellStyle name="style1415290117369" xfId="8211"/>
    <cellStyle name="style1415290117369 2" xfId="8212"/>
    <cellStyle name="style1415290117416" xfId="8213"/>
    <cellStyle name="style1415290117416 2" xfId="8214"/>
    <cellStyle name="style1415290117494" xfId="8215"/>
    <cellStyle name="style1415290117494 2" xfId="8216"/>
    <cellStyle name="style1415290117572" xfId="8217"/>
    <cellStyle name="style1415290117572 2" xfId="8218"/>
    <cellStyle name="style1415290117634" xfId="8219"/>
    <cellStyle name="style1415290117634 2" xfId="8220"/>
    <cellStyle name="style1415290117743" xfId="8221"/>
    <cellStyle name="style1415290117743 2" xfId="8222"/>
    <cellStyle name="style1415290117790" xfId="8223"/>
    <cellStyle name="style1415290117790 2" xfId="8224"/>
    <cellStyle name="style1415290117837" xfId="8225"/>
    <cellStyle name="style1415290117837 2" xfId="8226"/>
    <cellStyle name="style1415290117884" xfId="8227"/>
    <cellStyle name="style1415290117884 2" xfId="8228"/>
    <cellStyle name="style1415290117915" xfId="8229"/>
    <cellStyle name="style1415290117915 2" xfId="8230"/>
    <cellStyle name="style1415290117962" xfId="8231"/>
    <cellStyle name="style1415290117962 2" xfId="8232"/>
    <cellStyle name="style1415290118009" xfId="8233"/>
    <cellStyle name="style1415290118009 2" xfId="8234"/>
    <cellStyle name="style1415290118040" xfId="8235"/>
    <cellStyle name="style1415290118040 2" xfId="8236"/>
    <cellStyle name="style1415290118087" xfId="8237"/>
    <cellStyle name="style1415290118087 2" xfId="8238"/>
    <cellStyle name="style1415290118118" xfId="8239"/>
    <cellStyle name="style1415290118118 2" xfId="8240"/>
    <cellStyle name="style1415290118165" xfId="8241"/>
    <cellStyle name="style1415290118165 2" xfId="8242"/>
    <cellStyle name="style1415290118196" xfId="8243"/>
    <cellStyle name="style1415290118196 2" xfId="8244"/>
    <cellStyle name="style1415290118336" xfId="8245"/>
    <cellStyle name="style1415290118336 2" xfId="8246"/>
    <cellStyle name="style1415290118383" xfId="8247"/>
    <cellStyle name="style1415290118383 2" xfId="8248"/>
    <cellStyle name="style1415290118445" xfId="8249"/>
    <cellStyle name="style1415290118445 2" xfId="8250"/>
    <cellStyle name="style1415290118477" xfId="8251"/>
    <cellStyle name="style1415290118477 2" xfId="8252"/>
    <cellStyle name="style1415290118523" xfId="8253"/>
    <cellStyle name="style1415290118523 2" xfId="8254"/>
    <cellStyle name="style1415290118570" xfId="8255"/>
    <cellStyle name="style1415290118570 2" xfId="8256"/>
    <cellStyle name="style1415290118617" xfId="8257"/>
    <cellStyle name="style1415290118617 2" xfId="8258"/>
    <cellStyle name="style1415290118679" xfId="8259"/>
    <cellStyle name="style1415290118679 2" xfId="8260"/>
    <cellStyle name="style1415290118742" xfId="8261"/>
    <cellStyle name="style1415290118742 2" xfId="8262"/>
    <cellStyle name="style1415290118789" xfId="8263"/>
    <cellStyle name="style1415290118789 2" xfId="8264"/>
    <cellStyle name="style1415290119459" xfId="8265"/>
    <cellStyle name="style1415290119459 2" xfId="8266"/>
    <cellStyle name="style1415290119506" xfId="8267"/>
    <cellStyle name="style1415290119506 2" xfId="8268"/>
    <cellStyle name="style1415290119569" xfId="8269"/>
    <cellStyle name="style1415290119569 2" xfId="8270"/>
    <cellStyle name="style1415290119600" xfId="8271"/>
    <cellStyle name="style1415290119600 2" xfId="8272"/>
    <cellStyle name="style1415290119647" xfId="8273"/>
    <cellStyle name="style1415290119647 2" xfId="8274"/>
    <cellStyle name="Table_Name" xfId="8275"/>
    <cellStyle name="Title" xfId="8276" builtinId="15" customBuiltin="1"/>
    <cellStyle name="Title 10" xfId="8277"/>
    <cellStyle name="Title 10 2" xfId="8278"/>
    <cellStyle name="Title 11" xfId="8279"/>
    <cellStyle name="Title 11 2" xfId="8280"/>
    <cellStyle name="Title 12" xfId="8281"/>
    <cellStyle name="Title 12 2" xfId="8282"/>
    <cellStyle name="Title 13" xfId="8283"/>
    <cellStyle name="Title 13 2" xfId="8284"/>
    <cellStyle name="Title 14" xfId="8285"/>
    <cellStyle name="Title 14 2" xfId="8286"/>
    <cellStyle name="Title 15" xfId="8287"/>
    <cellStyle name="Title 15 2" xfId="8288"/>
    <cellStyle name="Title 16" xfId="8289"/>
    <cellStyle name="Title 16 2" xfId="8290"/>
    <cellStyle name="Title 17" xfId="8291"/>
    <cellStyle name="Title 17 2" xfId="8292"/>
    <cellStyle name="Title 18" xfId="8293"/>
    <cellStyle name="Title 18 2" xfId="8294"/>
    <cellStyle name="Title 19" xfId="8295"/>
    <cellStyle name="Title 2" xfId="8296"/>
    <cellStyle name="Title 2 2" xfId="8297"/>
    <cellStyle name="Title 2 2 2" xfId="8298"/>
    <cellStyle name="Title 2 3" xfId="8299"/>
    <cellStyle name="Title 2 3 2" xfId="8300"/>
    <cellStyle name="Title 2 4" xfId="8301"/>
    <cellStyle name="Title 2_Data" xfId="8302"/>
    <cellStyle name="Title 20" xfId="8303"/>
    <cellStyle name="Title 21" xfId="8304"/>
    <cellStyle name="Title 3" xfId="8305"/>
    <cellStyle name="Title 3 2" xfId="8306"/>
    <cellStyle name="Title 4" xfId="8307"/>
    <cellStyle name="Title 4 2" xfId="8308"/>
    <cellStyle name="Title 5" xfId="8309"/>
    <cellStyle name="Title 5 2" xfId="8310"/>
    <cellStyle name="Title 6" xfId="8311"/>
    <cellStyle name="Title 6 10" xfId="8312"/>
    <cellStyle name="Title 6 11" xfId="8313"/>
    <cellStyle name="Title 6 2" xfId="8314"/>
    <cellStyle name="Title 6 2 2" xfId="8315"/>
    <cellStyle name="Title 6 3" xfId="8316"/>
    <cellStyle name="Title 6 3 2" xfId="8317"/>
    <cellStyle name="Title 6 3 2 2" xfId="8318"/>
    <cellStyle name="Title 6 4" xfId="8319"/>
    <cellStyle name="Title 6 5" xfId="8320"/>
    <cellStyle name="Title 6 6" xfId="8321"/>
    <cellStyle name="Title 6 7" xfId="8322"/>
    <cellStyle name="Title 6 8" xfId="8323"/>
    <cellStyle name="Title 6 9" xfId="8324"/>
    <cellStyle name="Title 6 9 2" xfId="8325"/>
    <cellStyle name="Title 7" xfId="8326"/>
    <cellStyle name="Title 7 10" xfId="8327"/>
    <cellStyle name="Title 7 10 2" xfId="8328"/>
    <cellStyle name="Title 7 11" xfId="8329"/>
    <cellStyle name="Title 7 2" xfId="8330"/>
    <cellStyle name="Title 7 2 2" xfId="8331"/>
    <cellStyle name="Title 7 2 2 2" xfId="8332"/>
    <cellStyle name="Title 7 3" xfId="8333"/>
    <cellStyle name="Title 7 3 2" xfId="8334"/>
    <cellStyle name="Title 7 3 2 2" xfId="8335"/>
    <cellStyle name="Title 7 4" xfId="8336"/>
    <cellStyle name="Title 7 5" xfId="8337"/>
    <cellStyle name="Title 7 6" xfId="8338"/>
    <cellStyle name="Title 7 7" xfId="8339"/>
    <cellStyle name="Title 7 8" xfId="8340"/>
    <cellStyle name="Title 7 9" xfId="8341"/>
    <cellStyle name="Title 7 9 2" xfId="8342"/>
    <cellStyle name="Title 8" xfId="8343"/>
    <cellStyle name="Title 8 2" xfId="8344"/>
    <cellStyle name="Title 8 2 2" xfId="8345"/>
    <cellStyle name="Title 9" xfId="8346"/>
    <cellStyle name="Title 9 2" xfId="8347"/>
    <cellStyle name="Title 9 2 2" xfId="8348"/>
    <cellStyle name="Total" xfId="8349" builtinId="25" customBuiltin="1"/>
    <cellStyle name="Total 10" xfId="8350"/>
    <cellStyle name="Total 10 10" xfId="8351"/>
    <cellStyle name="Total 10 11" xfId="8352"/>
    <cellStyle name="Total 10 12" xfId="8353"/>
    <cellStyle name="Total 10 2" xfId="8354"/>
    <cellStyle name="Total 10 2 2" xfId="8355"/>
    <cellStyle name="Total 10 2 3" xfId="8356"/>
    <cellStyle name="Total 10 2 4" xfId="8357"/>
    <cellStyle name="Total 10 3" xfId="8358"/>
    <cellStyle name="Total 10 3 2" xfId="8359"/>
    <cellStyle name="Total 10 4" xfId="8360"/>
    <cellStyle name="Total 10 4 2" xfId="8361"/>
    <cellStyle name="Total 10 5" xfId="8362"/>
    <cellStyle name="Total 10 5 2" xfId="8363"/>
    <cellStyle name="Total 10 6" xfId="8364"/>
    <cellStyle name="Total 10 6 2" xfId="8365"/>
    <cellStyle name="Total 10 7" xfId="8366"/>
    <cellStyle name="Total 10 7 2" xfId="8367"/>
    <cellStyle name="Total 10 8" xfId="8368"/>
    <cellStyle name="Total 10 8 2" xfId="8369"/>
    <cellStyle name="Total 10 9" xfId="8370"/>
    <cellStyle name="Total 10 9 2" xfId="8371"/>
    <cellStyle name="Total 11" xfId="8372"/>
    <cellStyle name="Total 11 10" xfId="8373"/>
    <cellStyle name="Total 11 11" xfId="8374"/>
    <cellStyle name="Total 11 2" xfId="8375"/>
    <cellStyle name="Total 11 2 2" xfId="8376"/>
    <cellStyle name="Total 11 2 3" xfId="8377"/>
    <cellStyle name="Total 11 2 4" xfId="8378"/>
    <cellStyle name="Total 11 3" xfId="8379"/>
    <cellStyle name="Total 11 3 2" xfId="8380"/>
    <cellStyle name="Total 11 4" xfId="8381"/>
    <cellStyle name="Total 11 4 2" xfId="8382"/>
    <cellStyle name="Total 11 5" xfId="8383"/>
    <cellStyle name="Total 11 5 2" xfId="8384"/>
    <cellStyle name="Total 11 6" xfId="8385"/>
    <cellStyle name="Total 11 6 2" xfId="8386"/>
    <cellStyle name="Total 11 7" xfId="8387"/>
    <cellStyle name="Total 11 7 2" xfId="8388"/>
    <cellStyle name="Total 11 8" xfId="8389"/>
    <cellStyle name="Total 11 8 2" xfId="8390"/>
    <cellStyle name="Total 11 9" xfId="8391"/>
    <cellStyle name="Total 12" xfId="8392"/>
    <cellStyle name="Total 12 2" xfId="8393"/>
    <cellStyle name="Total 12 3" xfId="8394"/>
    <cellStyle name="Total 12 4" xfId="8395"/>
    <cellStyle name="Total 13" xfId="8396"/>
    <cellStyle name="Total 13 2" xfId="8397"/>
    <cellStyle name="Total 14" xfId="8398"/>
    <cellStyle name="Total 15" xfId="8399"/>
    <cellStyle name="Total 2" xfId="8400"/>
    <cellStyle name="Total 2 10" xfId="8401"/>
    <cellStyle name="Total 2 11" xfId="8402"/>
    <cellStyle name="Total 2 12" xfId="8403"/>
    <cellStyle name="Total 2 13" xfId="8404"/>
    <cellStyle name="Total 2 14" xfId="8405"/>
    <cellStyle name="Total 2 2" xfId="8406"/>
    <cellStyle name="Total 2 2 2" xfId="8407"/>
    <cellStyle name="Total 2 2 2 2" xfId="8408"/>
    <cellStyle name="Total 2 2 2 3" xfId="8409"/>
    <cellStyle name="Total 2 2 3" xfId="8410"/>
    <cellStyle name="Total 2 2 4" xfId="8411"/>
    <cellStyle name="Total 2 2 5" xfId="8412"/>
    <cellStyle name="Total 2 2 6" xfId="8413"/>
    <cellStyle name="Total 2 3" xfId="8414"/>
    <cellStyle name="Total 2 3 2" xfId="8415"/>
    <cellStyle name="Total 2 3 2 2" xfId="8416"/>
    <cellStyle name="Total 2 3 2 3" xfId="8417"/>
    <cellStyle name="Total 2 3 3" xfId="8418"/>
    <cellStyle name="Total 2 3 4" xfId="8419"/>
    <cellStyle name="Total 2 3 5" xfId="8420"/>
    <cellStyle name="Total 2 3 6" xfId="8421"/>
    <cellStyle name="Total 2 4" xfId="8422"/>
    <cellStyle name="Total 2 4 2" xfId="8423"/>
    <cellStyle name="Total 2 4 2 2" xfId="8424"/>
    <cellStyle name="Total 2 5" xfId="8425"/>
    <cellStyle name="Total 2 5 2" xfId="8426"/>
    <cellStyle name="Total 2 5 3" xfId="8427"/>
    <cellStyle name="Total 2 5 4" xfId="8428"/>
    <cellStyle name="Total 2 6" xfId="8429"/>
    <cellStyle name="Total 2 6 2" xfId="8430"/>
    <cellStyle name="Total 2 7" xfId="8431"/>
    <cellStyle name="Total 2 7 2" xfId="8432"/>
    <cellStyle name="Total 2 8" xfId="8433"/>
    <cellStyle name="Total 2 8 2" xfId="8434"/>
    <cellStyle name="Total 2 9" xfId="8435"/>
    <cellStyle name="Total 2 9 2" xfId="8436"/>
    <cellStyle name="Total 2_Analysis File Template" xfId="8437"/>
    <cellStyle name="Total 3" xfId="8438"/>
    <cellStyle name="Total 3 10" xfId="8439"/>
    <cellStyle name="Total 3 11" xfId="8440"/>
    <cellStyle name="Total 3 12" xfId="8441"/>
    <cellStyle name="Total 3 13" xfId="8442"/>
    <cellStyle name="Total 3 14" xfId="8443"/>
    <cellStyle name="Total 3 15" xfId="8444"/>
    <cellStyle name="Total 3 2" xfId="8445"/>
    <cellStyle name="Total 3 2 2" xfId="8446"/>
    <cellStyle name="Total 3 2 3" xfId="8447"/>
    <cellStyle name="Total 3 2 4" xfId="8448"/>
    <cellStyle name="Total 3 3" xfId="8449"/>
    <cellStyle name="Total 3 3 2" xfId="8450"/>
    <cellStyle name="Total 3 4" xfId="8451"/>
    <cellStyle name="Total 3 4 2" xfId="8452"/>
    <cellStyle name="Total 3 5" xfId="8453"/>
    <cellStyle name="Total 3 5 2" xfId="8454"/>
    <cellStyle name="Total 3 6" xfId="8455"/>
    <cellStyle name="Total 3 6 2" xfId="8456"/>
    <cellStyle name="Total 3 7" xfId="8457"/>
    <cellStyle name="Total 3 7 2" xfId="8458"/>
    <cellStyle name="Total 3 8" xfId="8459"/>
    <cellStyle name="Total 3 8 2" xfId="8460"/>
    <cellStyle name="Total 3 9" xfId="8461"/>
    <cellStyle name="Total 3 9 2" xfId="8462"/>
    <cellStyle name="Total 4" xfId="8463"/>
    <cellStyle name="Total 4 10" xfId="8464"/>
    <cellStyle name="Total 4 11" xfId="8465"/>
    <cellStyle name="Total 4 12" xfId="8466"/>
    <cellStyle name="Total 4 2" xfId="8467"/>
    <cellStyle name="Total 4 2 2" xfId="8468"/>
    <cellStyle name="Total 4 2 3" xfId="8469"/>
    <cellStyle name="Total 4 3" xfId="8470"/>
    <cellStyle name="Total 4 3 2" xfId="8471"/>
    <cellStyle name="Total 4 4" xfId="8472"/>
    <cellStyle name="Total 4 4 2" xfId="8473"/>
    <cellStyle name="Total 4 5" xfId="8474"/>
    <cellStyle name="Total 4 5 2" xfId="8475"/>
    <cellStyle name="Total 4 6" xfId="8476"/>
    <cellStyle name="Total 4 6 2" xfId="8477"/>
    <cellStyle name="Total 4 7" xfId="8478"/>
    <cellStyle name="Total 4 7 2" xfId="8479"/>
    <cellStyle name="Total 4 8" xfId="8480"/>
    <cellStyle name="Total 4 8 2" xfId="8481"/>
    <cellStyle name="Total 4 9" xfId="8482"/>
    <cellStyle name="Total 4 9 2" xfId="8483"/>
    <cellStyle name="Total 5" xfId="8484"/>
    <cellStyle name="Total 5 10" xfId="8485"/>
    <cellStyle name="Total 5 11" xfId="8486"/>
    <cellStyle name="Total 5 12" xfId="8487"/>
    <cellStyle name="Total 5 13" xfId="8488"/>
    <cellStyle name="Total 5 14" xfId="8489"/>
    <cellStyle name="Total 5 15" xfId="8490"/>
    <cellStyle name="Total 5 2" xfId="8491"/>
    <cellStyle name="Total 5 2 2" xfId="8492"/>
    <cellStyle name="Total 5 2 3" xfId="8493"/>
    <cellStyle name="Total 5 2 4" xfId="8494"/>
    <cellStyle name="Total 5 3" xfId="8495"/>
    <cellStyle name="Total 5 3 2" xfId="8496"/>
    <cellStyle name="Total 5 4" xfId="8497"/>
    <cellStyle name="Total 5 4 2" xfId="8498"/>
    <cellStyle name="Total 5 5" xfId="8499"/>
    <cellStyle name="Total 5 5 2" xfId="8500"/>
    <cellStyle name="Total 5 6" xfId="8501"/>
    <cellStyle name="Total 5 6 2" xfId="8502"/>
    <cellStyle name="Total 5 7" xfId="8503"/>
    <cellStyle name="Total 5 7 2" xfId="8504"/>
    <cellStyle name="Total 5 8" xfId="8505"/>
    <cellStyle name="Total 5 8 2" xfId="8506"/>
    <cellStyle name="Total 5 9" xfId="8507"/>
    <cellStyle name="Total 5 9 2" xfId="8508"/>
    <cellStyle name="Total 6" xfId="8509"/>
    <cellStyle name="Total 6 10" xfId="8510"/>
    <cellStyle name="Total 6 11" xfId="8511"/>
    <cellStyle name="Total 6 12" xfId="8512"/>
    <cellStyle name="Total 6 2" xfId="8513"/>
    <cellStyle name="Total 6 2 2" xfId="8514"/>
    <cellStyle name="Total 6 2 3" xfId="8515"/>
    <cellStyle name="Total 6 2 4" xfId="8516"/>
    <cellStyle name="Total 6 3" xfId="8517"/>
    <cellStyle name="Total 6 3 2" xfId="8518"/>
    <cellStyle name="Total 6 4" xfId="8519"/>
    <cellStyle name="Total 6 4 2" xfId="8520"/>
    <cellStyle name="Total 6 5" xfId="8521"/>
    <cellStyle name="Total 6 5 2" xfId="8522"/>
    <cellStyle name="Total 6 6" xfId="8523"/>
    <cellStyle name="Total 6 6 2" xfId="8524"/>
    <cellStyle name="Total 6 7" xfId="8525"/>
    <cellStyle name="Total 6 7 2" xfId="8526"/>
    <cellStyle name="Total 6 8" xfId="8527"/>
    <cellStyle name="Total 6 8 2" xfId="8528"/>
    <cellStyle name="Total 6 9" xfId="8529"/>
    <cellStyle name="Total 6 9 2" xfId="8530"/>
    <cellStyle name="Total 7" xfId="8531"/>
    <cellStyle name="Total 7 10" xfId="8532"/>
    <cellStyle name="Total 7 11" xfId="8533"/>
    <cellStyle name="Total 7 12" xfId="8534"/>
    <cellStyle name="Total 7 2" xfId="8535"/>
    <cellStyle name="Total 7 2 2" xfId="8536"/>
    <cellStyle name="Total 7 2 3" xfId="8537"/>
    <cellStyle name="Total 7 2 4" xfId="8538"/>
    <cellStyle name="Total 7 3" xfId="8539"/>
    <cellStyle name="Total 7 3 2" xfId="8540"/>
    <cellStyle name="Total 7 4" xfId="8541"/>
    <cellStyle name="Total 7 4 2" xfId="8542"/>
    <cellStyle name="Total 7 5" xfId="8543"/>
    <cellStyle name="Total 7 5 2" xfId="8544"/>
    <cellStyle name="Total 7 6" xfId="8545"/>
    <cellStyle name="Total 7 6 2" xfId="8546"/>
    <cellStyle name="Total 7 7" xfId="8547"/>
    <cellStyle name="Total 7 7 2" xfId="8548"/>
    <cellStyle name="Total 7 8" xfId="8549"/>
    <cellStyle name="Total 7 8 2" xfId="8550"/>
    <cellStyle name="Total 7 9" xfId="8551"/>
    <cellStyle name="Total 7 9 2" xfId="8552"/>
    <cellStyle name="Total 8" xfId="8553"/>
    <cellStyle name="Total 8 10" xfId="8554"/>
    <cellStyle name="Total 8 11" xfId="8555"/>
    <cellStyle name="Total 8 12" xfId="8556"/>
    <cellStyle name="Total 8 2" xfId="8557"/>
    <cellStyle name="Total 8 2 2" xfId="8558"/>
    <cellStyle name="Total 8 2 3" xfId="8559"/>
    <cellStyle name="Total 8 2 4" xfId="8560"/>
    <cellStyle name="Total 8 3" xfId="8561"/>
    <cellStyle name="Total 8 3 2" xfId="8562"/>
    <cellStyle name="Total 8 4" xfId="8563"/>
    <cellStyle name="Total 8 4 2" xfId="8564"/>
    <cellStyle name="Total 8 5" xfId="8565"/>
    <cellStyle name="Total 8 5 2" xfId="8566"/>
    <cellStyle name="Total 8 6" xfId="8567"/>
    <cellStyle name="Total 8 6 2" xfId="8568"/>
    <cellStyle name="Total 8 7" xfId="8569"/>
    <cellStyle name="Total 8 7 2" xfId="8570"/>
    <cellStyle name="Total 8 8" xfId="8571"/>
    <cellStyle name="Total 8 8 2" xfId="8572"/>
    <cellStyle name="Total 8 9" xfId="8573"/>
    <cellStyle name="Total 8 9 2" xfId="8574"/>
    <cellStyle name="Total 9" xfId="8575"/>
    <cellStyle name="Total 9 10" xfId="8576"/>
    <cellStyle name="Total 9 11" xfId="8577"/>
    <cellStyle name="Total 9 12" xfId="8578"/>
    <cellStyle name="Total 9 2" xfId="8579"/>
    <cellStyle name="Total 9 2 2" xfId="8580"/>
    <cellStyle name="Total 9 2 3" xfId="8581"/>
    <cellStyle name="Total 9 2 4" xfId="8582"/>
    <cellStyle name="Total 9 3" xfId="8583"/>
    <cellStyle name="Total 9 3 2" xfId="8584"/>
    <cellStyle name="Total 9 4" xfId="8585"/>
    <cellStyle name="Total 9 4 2" xfId="8586"/>
    <cellStyle name="Total 9 5" xfId="8587"/>
    <cellStyle name="Total 9 5 2" xfId="8588"/>
    <cellStyle name="Total 9 6" xfId="8589"/>
    <cellStyle name="Total 9 6 2" xfId="8590"/>
    <cellStyle name="Total 9 7" xfId="8591"/>
    <cellStyle name="Total 9 7 2" xfId="8592"/>
    <cellStyle name="Total 9 8" xfId="8593"/>
    <cellStyle name="Total 9 8 2" xfId="8594"/>
    <cellStyle name="Total 9 9" xfId="8595"/>
    <cellStyle name="Total 9 9 2" xfId="8596"/>
    <cellStyle name="TotalStyleText" xfId="8597"/>
    <cellStyle name="TotalStyleText 2" xfId="8598"/>
    <cellStyle name="TotalStyleText 2 2" xfId="8599"/>
    <cellStyle name="TotalStyleText 3" xfId="8600"/>
    <cellStyle name="ts97" xfId="8601"/>
    <cellStyle name="ts97 2" xfId="8602"/>
    <cellStyle name="ts97 2 2" xfId="8603"/>
    <cellStyle name="ts97 2 2 2" xfId="8604"/>
    <cellStyle name="ts97 2 2 2 2" xfId="8605"/>
    <cellStyle name="ts97 2 2 3" xfId="8606"/>
    <cellStyle name="ts97 2 3" xfId="8607"/>
    <cellStyle name="ts97 2 3 2" xfId="8608"/>
    <cellStyle name="ts97 2 3 2 2" xfId="8609"/>
    <cellStyle name="ts97 2 3 3" xfId="8610"/>
    <cellStyle name="ts97 2 4" xfId="8611"/>
    <cellStyle name="ts97 2 4 2" xfId="8612"/>
    <cellStyle name="ts97 2 4 2 2" xfId="8613"/>
    <cellStyle name="ts97 2 4 3" xfId="8614"/>
    <cellStyle name="ts97 2 5" xfId="8615"/>
    <cellStyle name="ts97 2 5 2" xfId="8616"/>
    <cellStyle name="ts97 2 6" xfId="8617"/>
    <cellStyle name="ts97 3" xfId="8618"/>
    <cellStyle name="ts97 3 2" xfId="8619"/>
    <cellStyle name="ts97 3 2 2" xfId="8620"/>
    <cellStyle name="ts97 3 3" xfId="8621"/>
    <cellStyle name="ts97 4" xfId="8622"/>
    <cellStyle name="ts97 4 2" xfId="8623"/>
    <cellStyle name="ts97 4 2 2" xfId="8624"/>
    <cellStyle name="ts97 4 3" xfId="8625"/>
    <cellStyle name="ts97 5" xfId="8626"/>
    <cellStyle name="ts97 5 2" xfId="8627"/>
    <cellStyle name="ts97 5 2 2" xfId="8628"/>
    <cellStyle name="ts97 6" xfId="8629"/>
    <cellStyle name="ts97 6 2" xfId="8630"/>
    <cellStyle name="ts97 6 2 2" xfId="8631"/>
    <cellStyle name="ts97 7" xfId="8632"/>
    <cellStyle name="ts97 7 2" xfId="8633"/>
    <cellStyle name="ts97 8" xfId="8634"/>
    <cellStyle name="ts97_2010 SFR tables LFS" xfId="8635"/>
    <cellStyle name="u" xfId="8636"/>
    <cellStyle name="u 2" xfId="8637"/>
    <cellStyle name="u 2 2" xfId="8638"/>
    <cellStyle name="u 3" xfId="8639"/>
    <cellStyle name="Undefined" xfId="8640"/>
    <cellStyle name="Undefined 2" xfId="8641"/>
    <cellStyle name="Undefined 2 2" xfId="8642"/>
    <cellStyle name="Undefined 3" xfId="8643"/>
    <cellStyle name="Warning Text" xfId="8644" builtinId="11" customBuiltin="1"/>
    <cellStyle name="Warning Text 2" xfId="8645"/>
    <cellStyle name="Warning Text 2 2" xfId="8646"/>
    <cellStyle name="Warning Text 2 2 2" xfId="8647"/>
    <cellStyle name="Warning Text 2 2 2 2" xfId="8648"/>
    <cellStyle name="Warning Text 2 2 3" xfId="8649"/>
    <cellStyle name="Warning Text 2 3" xfId="8650"/>
    <cellStyle name="Warning Text 2 3 2" xfId="8651"/>
    <cellStyle name="Warning Text 2 3 2 2" xfId="8652"/>
    <cellStyle name="Warning Text 2 3 3" xfId="8653"/>
    <cellStyle name="Warning Text 2 4" xfId="8654"/>
    <cellStyle name="Warning Text 2 4 2" xfId="8655"/>
    <cellStyle name="Warning Text 2 4 2 2" xfId="8656"/>
    <cellStyle name="Warning Text 2 5" xfId="8657"/>
    <cellStyle name="Warning Text 2 5 2" xfId="8658"/>
    <cellStyle name="Warning Text 2 6" xfId="8659"/>
    <cellStyle name="Warning Text 3" xfId="8660"/>
    <cellStyle name="Warning Text 3 2" xfId="8661"/>
    <cellStyle name="Warning Text 3 2 2" xfId="8662"/>
    <cellStyle name="Warning Text 3 2 3" xfId="8663"/>
    <cellStyle name="Warning Text 3 3" xfId="8664"/>
    <cellStyle name="Warning Text 3 4" xfId="8665"/>
    <cellStyle name="Warning Text 3 5" xfId="8666"/>
    <cellStyle name="Warning Text 4" xfId="8667"/>
    <cellStyle name="Warning Text 4 2" xfId="8668"/>
    <cellStyle name="Warning Text 4 2 2" xfId="8669"/>
    <cellStyle name="Warning Text 4 3" xfId="8670"/>
    <cellStyle name="Warning Text 5" xfId="8671"/>
    <cellStyle name="Warning Text 5 2" xfId="8672"/>
    <cellStyle name="Warning Text 5 2 2" xfId="8673"/>
    <cellStyle name="Warning Text 5 3" xfId="8674"/>
    <cellStyle name="Warning Text 6" xfId="8675"/>
    <cellStyle name="Warning Text 6 2" xfId="8676"/>
    <cellStyle name="Warning Text 7" xfId="8677"/>
    <cellStyle name="Warning Text 8" xfId="8678"/>
    <cellStyle name="Warning Text 9" xfId="8679"/>
    <cellStyle name="Warnings" xfId="8680"/>
    <cellStyle name="Warnings 10" xfId="8681"/>
    <cellStyle name="Warnings 10 2" xfId="8682"/>
    <cellStyle name="Warnings 11" xfId="8683"/>
    <cellStyle name="Warnings 2" xfId="8684"/>
    <cellStyle name="Warnings 2 2" xfId="8685"/>
    <cellStyle name="Warnings 2 2 2" xfId="8686"/>
    <cellStyle name="Warnings 2 2 2 2" xfId="8687"/>
    <cellStyle name="Warnings 2 2 2 2 2" xfId="8688"/>
    <cellStyle name="Warnings 2 2 2 3" xfId="8689"/>
    <cellStyle name="Warnings 2 2 3" xfId="8690"/>
    <cellStyle name="Warnings 2 2 3 2" xfId="8691"/>
    <cellStyle name="Warnings 2 2 3 2 2" xfId="8692"/>
    <cellStyle name="Warnings 2 2 4" xfId="8693"/>
    <cellStyle name="Warnings 2 2 4 2" xfId="8694"/>
    <cellStyle name="Warnings 2 2 5" xfId="8695"/>
    <cellStyle name="Warnings 2 3" xfId="8696"/>
    <cellStyle name="Warnings 2 3 2" xfId="8697"/>
    <cellStyle name="Warnings 2 3 2 2" xfId="8698"/>
    <cellStyle name="Warnings 2 3 3" xfId="8699"/>
    <cellStyle name="Warnings 2 4" xfId="8700"/>
    <cellStyle name="Warnings 2 4 2" xfId="8701"/>
    <cellStyle name="Warnings 2 4 2 2" xfId="8702"/>
    <cellStyle name="Warnings 2 4 2 2 2" xfId="8703"/>
    <cellStyle name="Warnings 2 4 2 3" xfId="8704"/>
    <cellStyle name="Warnings 2 4 3" xfId="8705"/>
    <cellStyle name="Warnings 2 4 3 2" xfId="8706"/>
    <cellStyle name="Warnings 2 4 4" xfId="8707"/>
    <cellStyle name="Warnings 2 4 4 2" xfId="8708"/>
    <cellStyle name="Warnings 2 4 4 3" xfId="8709"/>
    <cellStyle name="Warnings 2 4 5" xfId="8710"/>
    <cellStyle name="Warnings 2 5" xfId="8711"/>
    <cellStyle name="Warnings 2 5 2" xfId="8712"/>
    <cellStyle name="Warnings 2 5 2 2" xfId="8713"/>
    <cellStyle name="Warnings 2 6" xfId="8714"/>
    <cellStyle name="Warnings 2 6 2" xfId="8715"/>
    <cellStyle name="Warnings 2 7" xfId="8716"/>
    <cellStyle name="Warnings 3" xfId="8717"/>
    <cellStyle name="Warnings 3 2" xfId="8718"/>
    <cellStyle name="Warnings 3 2 2" xfId="8719"/>
    <cellStyle name="Warnings 3 2 2 2" xfId="8720"/>
    <cellStyle name="Warnings 3 2 2 2 2" xfId="8721"/>
    <cellStyle name="Warnings 3 2 2 3" xfId="8722"/>
    <cellStyle name="Warnings 3 2 2 3 2" xfId="8723"/>
    <cellStyle name="Warnings 3 2 2 3 3" xfId="8724"/>
    <cellStyle name="Warnings 3 2 3" xfId="8725"/>
    <cellStyle name="Warnings 3 2 3 2" xfId="8726"/>
    <cellStyle name="Warnings 3 2 3 2 2" xfId="8727"/>
    <cellStyle name="Warnings 3 2 3 2 3" xfId="8728"/>
    <cellStyle name="Warnings 3 2 3 3" xfId="8729"/>
    <cellStyle name="Warnings 3 2 4" xfId="8730"/>
    <cellStyle name="Warnings 3 2 4 2" xfId="8731"/>
    <cellStyle name="Warnings 3 2 4 3" xfId="8732"/>
    <cellStyle name="Warnings 3 2 5" xfId="8733"/>
    <cellStyle name="Warnings 3 3" xfId="8734"/>
    <cellStyle name="Warnings 3 3 2" xfId="8735"/>
    <cellStyle name="Warnings 3 3 2 2" xfId="8736"/>
    <cellStyle name="Warnings 3 4" xfId="8737"/>
    <cellStyle name="Warnings 3 4 2" xfId="8738"/>
    <cellStyle name="Warnings 3 5" xfId="8739"/>
    <cellStyle name="Warnings 4" xfId="8740"/>
    <cellStyle name="Warnings 4 2" xfId="8741"/>
    <cellStyle name="Warnings 4 2 2" xfId="8742"/>
    <cellStyle name="Warnings 4 2 2 2" xfId="8743"/>
    <cellStyle name="Warnings 4 2 3" xfId="8744"/>
    <cellStyle name="Warnings 4 3" xfId="8745"/>
    <cellStyle name="Warnings 4 3 2" xfId="8746"/>
    <cellStyle name="Warnings 4 3 2 2" xfId="8747"/>
    <cellStyle name="Warnings 4 3 3" xfId="8748"/>
    <cellStyle name="Warnings 4 4" xfId="8749"/>
    <cellStyle name="Warnings 4 5" xfId="8750"/>
    <cellStyle name="Warnings 4 5 2" xfId="8751"/>
    <cellStyle name="Warnings 4 6" xfId="8752"/>
    <cellStyle name="Warnings 4 6 2" xfId="8753"/>
    <cellStyle name="Warnings 4 6 3" xfId="8754"/>
    <cellStyle name="Warnings 4 7" xfId="8755"/>
    <cellStyle name="Warnings 5" xfId="8756"/>
    <cellStyle name="Warnings 5 2" xfId="8757"/>
    <cellStyle name="Warnings 5 2 2" xfId="8758"/>
    <cellStyle name="Warnings 5 3" xfId="8759"/>
    <cellStyle name="Warnings 6" xfId="8760"/>
    <cellStyle name="Warnings 6 2" xfId="8761"/>
    <cellStyle name="Warnings 6 2 2" xfId="8762"/>
    <cellStyle name="Warnings 6 3" xfId="8763"/>
    <cellStyle name="Warnings 7" xfId="8764"/>
    <cellStyle name="Warnings 7 2" xfId="8765"/>
    <cellStyle name="Warnings 7 2 2" xfId="8766"/>
    <cellStyle name="Warnings 7 3" xfId="8767"/>
    <cellStyle name="Warnings 8" xfId="8768"/>
    <cellStyle name="Warnings 8 2" xfId="8769"/>
    <cellStyle name="Warnings 8 2 2" xfId="8770"/>
    <cellStyle name="Warnings 8 3" xfId="8771"/>
    <cellStyle name="Warnings 9" xfId="8772"/>
    <cellStyle name="Warnings 9 2" xfId="8773"/>
    <cellStyle name="Warnings 9 2 2" xfId="8774"/>
    <cellStyle name="Warnings 9 3" xfId="8775"/>
    <cellStyle name="XLConnect.General" xfId="8776"/>
    <cellStyle name="XLConnect.General 2" xfId="8777"/>
    <cellStyle name="XLConnect.General 2 2" xfId="8778"/>
    <cellStyle name="XLConnect.General 3" xfId="8779"/>
    <cellStyle name="XLConnect.Numeric" xfId="8780"/>
    <cellStyle name="XLConnect.Numeric 2" xfId="8781"/>
    <cellStyle name="XLConnect.Numeric 2 2" xfId="8782"/>
    <cellStyle name="XLConnect.Numeric 2 2 2" xfId="8783"/>
    <cellStyle name="XLConnect.Numeric 2 3" xfId="8784"/>
    <cellStyle name="XLConnect.Numeric 3" xfId="8785"/>
    <cellStyle name="XLConnect.Numeric 3 10" xfId="8786"/>
    <cellStyle name="XLConnect.Numeric 3 10 2" xfId="8787"/>
    <cellStyle name="XLConnect.Numeric 3 11" xfId="8788"/>
    <cellStyle name="XLConnect.Numeric 3 2" xfId="8789"/>
    <cellStyle name="XLConnect.Numeric 3 2 2" xfId="8790"/>
    <cellStyle name="XLConnect.Numeric 3 2 2 2" xfId="8791"/>
    <cellStyle name="XLConnect.Numeric 3 3" xfId="8792"/>
    <cellStyle name="XLConnect.Numeric 3 3 2" xfId="8793"/>
    <cellStyle name="XLConnect.Numeric 3 3 2 2" xfId="8794"/>
    <cellStyle name="XLConnect.Numeric 3 4" xfId="8795"/>
    <cellStyle name="XLConnect.Numeric 3 5" xfId="8796"/>
    <cellStyle name="XLConnect.Numeric 3 6" xfId="8797"/>
    <cellStyle name="XLConnect.Numeric 3 7" xfId="8798"/>
    <cellStyle name="XLConnect.Numeric 3 8" xfId="8799"/>
    <cellStyle name="XLConnect.Numeric 3 9" xfId="8800"/>
    <cellStyle name="XLConnect.Numeric 3 9 2" xfId="8801"/>
    <cellStyle name="XLConnect.Numeric 4" xfId="8802"/>
    <cellStyle name="XLConnect.Numeric 4 2" xfId="8803"/>
    <cellStyle name="XLConnect.Numeric 4 2 2" xfId="8804"/>
    <cellStyle name="XLConnect.Numeric 5" xfId="8805"/>
    <cellStyle name="XLConnect.Numeric 5 2" xfId="8806"/>
    <cellStyle name="XLConnect.Numeric 5 2 2" xfId="8807"/>
    <cellStyle name="XLConnect.Numeric 6" xfId="8808"/>
    <cellStyle name="XLConnect.Numeric 6 2" xfId="8809"/>
    <cellStyle name="XLConnect.Numeric 7" xfId="8810"/>
    <cellStyle name="XLConnect.Numeric 7 2" xfId="8811"/>
    <cellStyle name="XLConnect.Numeric 7 2 2" xfId="8812"/>
    <cellStyle name="XLConnect.Numeric 7 3" xfId="8813"/>
    <cellStyle name="XLConnect.Numeric 8" xfId="8814"/>
    <cellStyle name="XLConnect.String" xfId="8815"/>
    <cellStyle name="XLConnect.String 2" xfId="8816"/>
    <cellStyle name="XLConnect.String 2 2" xfId="8817"/>
    <cellStyle name="XLConnect.String 3" xfId="8818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82B0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66CC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285750</xdr:colOff>
      <xdr:row>3</xdr:row>
      <xdr:rowOff>0</xdr:rowOff>
    </xdr:from>
    <xdr:to>
      <xdr:col>3</xdr:col>
      <xdr:colOff>647700</xdr:colOff>
      <xdr:row>6</xdr:row>
      <xdr:rowOff>47625</xdr:rowOff>
    </xdr:to>
    <xdr:pic>
      <xdr:nvPicPr>
        <xdr:cNvPr id="231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3475" y="409575"/>
          <a:ext cx="3619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1562100</xdr:colOff>
      <xdr:row>2</xdr:row>
      <xdr:rowOff>76200</xdr:rowOff>
    </xdr:from>
    <xdr:to>
      <xdr:col>2</xdr:col>
      <xdr:colOff>85725</xdr:colOff>
      <xdr:row>2</xdr:row>
      <xdr:rowOff>247650</xdr:rowOff>
    </xdr:to>
    <xdr:pic>
      <xdr:nvPicPr>
        <xdr:cNvPr id="2318" name="Picture 4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0225" y="219075"/>
          <a:ext cx="19240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data\home$\odronfield\Downloads\JandU\Demstats\Team%20Folders\General%20Stats\Projects\Profiles\Borough\Dec%2011%20Update%20files\london-borough-profile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files"/>
      <sheetName val="lookup"/>
      <sheetName val="Data"/>
    </sheetNames>
    <sheetDataSet>
      <sheetData sheetId="0"/>
      <sheetData sheetId="1"/>
      <sheetData sheetId="2">
        <row r="3">
          <cell r="C3" t="str">
            <v>City of London</v>
          </cell>
        </row>
        <row r="4">
          <cell r="C4" t="str">
            <v>Barking and Dagenham</v>
          </cell>
        </row>
        <row r="5">
          <cell r="C5" t="str">
            <v>Barnet</v>
          </cell>
        </row>
        <row r="6">
          <cell r="C6" t="str">
            <v>Bexley</v>
          </cell>
        </row>
        <row r="7">
          <cell r="C7" t="str">
            <v>Brent</v>
          </cell>
        </row>
        <row r="8">
          <cell r="C8" t="str">
            <v>Bromley</v>
          </cell>
        </row>
        <row r="9">
          <cell r="C9" t="str">
            <v>Camden</v>
          </cell>
        </row>
        <row r="10">
          <cell r="C10" t="str">
            <v>Croydon</v>
          </cell>
        </row>
        <row r="11">
          <cell r="C11" t="str">
            <v>Ealing</v>
          </cell>
        </row>
        <row r="12">
          <cell r="C12" t="str">
            <v>Enfield</v>
          </cell>
        </row>
        <row r="13">
          <cell r="C13" t="str">
            <v>Greenwich</v>
          </cell>
        </row>
        <row r="14">
          <cell r="C14" t="str">
            <v>Hackney</v>
          </cell>
        </row>
        <row r="15">
          <cell r="C15" t="str">
            <v>Hammersmith and Fulham</v>
          </cell>
        </row>
        <row r="16">
          <cell r="C16" t="str">
            <v>Haringey</v>
          </cell>
        </row>
        <row r="17">
          <cell r="C17" t="str">
            <v>Harrow</v>
          </cell>
        </row>
        <row r="18">
          <cell r="C18" t="str">
            <v>Havering</v>
          </cell>
        </row>
        <row r="19">
          <cell r="C19" t="str">
            <v>Hillingdon</v>
          </cell>
        </row>
        <row r="20">
          <cell r="C20" t="str">
            <v>Hounslow</v>
          </cell>
        </row>
        <row r="21">
          <cell r="C21" t="str">
            <v>Islington</v>
          </cell>
        </row>
        <row r="22">
          <cell r="C22" t="str">
            <v>Kensington and Chelsea</v>
          </cell>
        </row>
        <row r="23">
          <cell r="C23" t="str">
            <v>Kingston upon Thames</v>
          </cell>
        </row>
        <row r="24">
          <cell r="C24" t="str">
            <v>Lambeth</v>
          </cell>
        </row>
        <row r="25">
          <cell r="C25" t="str">
            <v>Lewisham</v>
          </cell>
        </row>
        <row r="26">
          <cell r="C26" t="str">
            <v>Merton</v>
          </cell>
        </row>
        <row r="27">
          <cell r="C27" t="str">
            <v>Newham</v>
          </cell>
        </row>
        <row r="28">
          <cell r="C28" t="str">
            <v>Redbridge</v>
          </cell>
        </row>
        <row r="29">
          <cell r="C29" t="str">
            <v>Richmond upon Thames</v>
          </cell>
        </row>
        <row r="30">
          <cell r="C30" t="str">
            <v>Southwark</v>
          </cell>
        </row>
        <row r="31">
          <cell r="C31" t="str">
            <v>Sutton</v>
          </cell>
        </row>
        <row r="32">
          <cell r="C32" t="str">
            <v>Tower Hamlets</v>
          </cell>
        </row>
        <row r="33">
          <cell r="C33" t="str">
            <v>Waltham Forest</v>
          </cell>
        </row>
        <row r="34">
          <cell r="C34" t="str">
            <v>Wandsworth</v>
          </cell>
        </row>
        <row r="35">
          <cell r="C35" t="str">
            <v>Westminster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londondatastore-upload.s3.amazonaws.com/instant-atlas/const-profiles-2016/atlas.html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R114"/>
  <sheetViews>
    <sheetView showGridLines="0" tabSelected="1" zoomScaleNormal="100" workbookViewId="0">
      <pane ySplit="8" topLeftCell="A9" activePane="bottomLeft" state="frozen"/>
      <selection pane="bottomLeft"/>
    </sheetView>
  </sheetViews>
  <sheetFormatPr defaultColWidth="0" defaultRowHeight="15" customHeight="1" zeroHeight="1"/>
  <cols>
    <col min="1" max="1" width="3.5703125" style="1" customWidth="1"/>
    <col min="2" max="2" width="51" style="1" customWidth="1"/>
    <col min="3" max="4" width="15.28515625" style="1" customWidth="1"/>
    <col min="5" max="5" width="14.85546875" style="1" customWidth="1"/>
    <col min="6" max="6" width="15.28515625" style="1" customWidth="1"/>
    <col min="7" max="7" width="14.42578125" style="1" customWidth="1"/>
    <col min="8" max="8" width="2.28515625" style="1" customWidth="1"/>
    <col min="9" max="9" width="45.7109375" style="1" customWidth="1"/>
    <col min="10" max="12" width="27.140625" style="1" customWidth="1"/>
    <col min="13" max="21" width="0" style="1" hidden="1" customWidth="1"/>
    <col min="22" max="16384" width="0" style="1" hidden="1"/>
  </cols>
  <sheetData>
    <row r="1" spans="1:44" ht="6.75" customHeight="1">
      <c r="AC1" s="1">
        <v>2</v>
      </c>
      <c r="AD1" s="1">
        <v>3</v>
      </c>
      <c r="AE1" s="1">
        <v>4</v>
      </c>
      <c r="AF1" s="1">
        <v>5</v>
      </c>
      <c r="AG1" s="1">
        <v>6</v>
      </c>
      <c r="AH1" s="1">
        <v>7</v>
      </c>
      <c r="AI1" s="1">
        <v>8</v>
      </c>
      <c r="AJ1" s="1">
        <v>9</v>
      </c>
      <c r="AK1" s="1">
        <v>10</v>
      </c>
      <c r="AL1" s="1">
        <v>11</v>
      </c>
      <c r="AM1" s="1">
        <v>12</v>
      </c>
      <c r="AN1" s="1">
        <v>13</v>
      </c>
      <c r="AO1" s="1">
        <v>14</v>
      </c>
      <c r="AP1" s="1">
        <v>15</v>
      </c>
      <c r="AQ1" s="1">
        <v>16</v>
      </c>
      <c r="AR1" s="1">
        <v>17</v>
      </c>
    </row>
    <row r="2" spans="1:44" ht="4.5" customHeight="1">
      <c r="AB2" s="1" t="s">
        <v>96</v>
      </c>
      <c r="AC2" s="1" t="s">
        <v>133</v>
      </c>
      <c r="AD2" s="1" t="s">
        <v>0</v>
      </c>
      <c r="AE2" s="1" t="s">
        <v>1</v>
      </c>
      <c r="AF2" s="1" t="s">
        <v>2</v>
      </c>
      <c r="AG2" s="1" t="s">
        <v>3</v>
      </c>
      <c r="AH2" s="1" t="s">
        <v>4</v>
      </c>
      <c r="AI2" s="1" t="s">
        <v>5</v>
      </c>
      <c r="AJ2" s="1" t="s">
        <v>6</v>
      </c>
      <c r="AK2" s="1" t="s">
        <v>7</v>
      </c>
      <c r="AL2" s="1" t="s">
        <v>8</v>
      </c>
      <c r="AM2" s="1" t="s">
        <v>9</v>
      </c>
      <c r="AN2" s="1" t="s">
        <v>10</v>
      </c>
      <c r="AO2" s="1" t="s">
        <v>11</v>
      </c>
      <c r="AP2" s="1" t="s">
        <v>12</v>
      </c>
      <c r="AQ2" s="1" t="s">
        <v>13</v>
      </c>
      <c r="AR2" s="1" t="s">
        <v>14</v>
      </c>
    </row>
    <row r="3" spans="1:44" ht="21" customHeight="1">
      <c r="F3" s="4" t="s">
        <v>97</v>
      </c>
    </row>
    <row r="4" spans="1:44" ht="5.25" customHeight="1" thickBot="1"/>
    <row r="5" spans="1:44" ht="21.75" thickBot="1">
      <c r="B5" s="6"/>
      <c r="C5" s="24" t="s">
        <v>132</v>
      </c>
      <c r="D5" s="7"/>
      <c r="E5" s="21" t="s">
        <v>0</v>
      </c>
      <c r="F5" s="22"/>
      <c r="G5" s="23"/>
      <c r="I5" s="5" t="s">
        <v>138</v>
      </c>
    </row>
    <row r="6" spans="1:44" ht="4.5" customHeight="1"/>
    <row r="7" spans="1:44" ht="2.25" customHeight="1"/>
    <row r="8" spans="1:44" ht="31.5">
      <c r="B8" s="8" t="s">
        <v>96</v>
      </c>
      <c r="C8" s="8" t="s">
        <v>154</v>
      </c>
      <c r="D8" s="8" t="s">
        <v>130</v>
      </c>
      <c r="E8" s="8" t="s">
        <v>131</v>
      </c>
      <c r="F8" s="8" t="s">
        <v>155</v>
      </c>
      <c r="G8" s="8" t="s">
        <v>98</v>
      </c>
      <c r="I8" s="8" t="s">
        <v>134</v>
      </c>
    </row>
    <row r="9" spans="1:44">
      <c r="A9" s="9" t="s">
        <v>100</v>
      </c>
      <c r="B9" s="2"/>
      <c r="C9" s="2"/>
      <c r="D9" s="2"/>
      <c r="E9" s="2"/>
      <c r="F9" s="2"/>
      <c r="G9" s="2"/>
      <c r="I9" s="2"/>
    </row>
    <row r="10" spans="1:44">
      <c r="B10" s="10" t="s">
        <v>99</v>
      </c>
      <c r="C10" s="11">
        <f>VLOOKUP($E$5,Data!$A$1:$GH$18,2,0)</f>
        <v>536500</v>
      </c>
      <c r="D10" s="11">
        <f>VLOOKUP($E$5,Data!$A$1:$GH$18,3,0)</f>
        <v>588991.28719276947</v>
      </c>
      <c r="E10" s="11">
        <f>VLOOKUP($E$5,Data!$A$1:$GH$18,4,0)</f>
        <v>625702.84484354791</v>
      </c>
      <c r="F10" s="11">
        <f>E10-D10</f>
        <v>36711.557650778443</v>
      </c>
      <c r="G10" s="11">
        <f>VLOOKUP("London",Data!$A$1:$GH$18,4,0)</f>
        <v>8750753</v>
      </c>
      <c r="I10" s="10" t="s">
        <v>156</v>
      </c>
      <c r="J10" s="1" t="s">
        <v>135</v>
      </c>
      <c r="M10" s="1">
        <v>2</v>
      </c>
      <c r="N10" s="1">
        <v>3</v>
      </c>
    </row>
    <row r="11" spans="1:44">
      <c r="B11" s="1" t="s">
        <v>101</v>
      </c>
      <c r="C11" s="13" t="s">
        <v>102</v>
      </c>
      <c r="D11" s="13" t="s">
        <v>102</v>
      </c>
      <c r="E11" s="13">
        <f>VLOOKUP($E$5,Data!$A$1:$GH$18,5,0)</f>
        <v>728174.32121424587</v>
      </c>
      <c r="F11" s="13" t="s">
        <v>102</v>
      </c>
      <c r="G11" s="13">
        <f>VLOOKUP("London",Data!$A$1:$GH$18,5,0)</f>
        <v>9847813.5885605142</v>
      </c>
      <c r="I11" s="3" t="s">
        <v>156</v>
      </c>
      <c r="J11" s="1" t="s">
        <v>135</v>
      </c>
      <c r="N11" s="1">
        <v>4</v>
      </c>
    </row>
    <row r="12" spans="1:44">
      <c r="B12" s="10" t="s">
        <v>127</v>
      </c>
      <c r="C12" s="15">
        <f>VLOOKUP($E$5,Data!$A$1:$GH$18,9,0)</f>
        <v>20.354147250698976</v>
      </c>
      <c r="D12" s="15">
        <f>VLOOKUP($E$5,Data!$A$1:$GH$18,10,0)</f>
        <v>20.152974930659333</v>
      </c>
      <c r="E12" s="15">
        <f>VLOOKUP($E$5,Data!$A$1:$GH$18,11,0)</f>
        <v>20.047585068149903</v>
      </c>
      <c r="F12" s="15">
        <f>E12-D12</f>
        <v>-0.10538986250942983</v>
      </c>
      <c r="G12" s="15">
        <f>VLOOKUP("London",Data!$A$1:$GH$18,11,0)</f>
        <v>21.204541850541208</v>
      </c>
      <c r="I12" s="10" t="s">
        <v>156</v>
      </c>
      <c r="J12" s="1" t="s">
        <v>135</v>
      </c>
      <c r="M12" s="1">
        <v>7</v>
      </c>
      <c r="N12" s="1">
        <v>8</v>
      </c>
    </row>
    <row r="13" spans="1:44">
      <c r="B13" s="1" t="s">
        <v>128</v>
      </c>
      <c r="C13" s="16">
        <f>VLOOKUP($E$5,Data!$A$1:$GH$18,15,0)</f>
        <v>5.7781919850885366</v>
      </c>
      <c r="D13" s="16">
        <f>VLOOKUP($E$5,Data!$A$1:$GH$18,16,0)</f>
        <v>6.0159743742373522</v>
      </c>
      <c r="E13" s="16">
        <f>VLOOKUP($E$5,Data!$A$1:$GH$18,17,0)</f>
        <v>6.0284726881235535</v>
      </c>
      <c r="F13" s="16">
        <f>E13-D13</f>
        <v>1.2498313886201373E-2</v>
      </c>
      <c r="G13" s="16">
        <f>VLOOKUP("London",Data!$A$1:$GH$18,17,0)</f>
        <v>5.2868503711116412</v>
      </c>
      <c r="I13" s="3" t="s">
        <v>156</v>
      </c>
      <c r="J13" s="1" t="s">
        <v>135</v>
      </c>
      <c r="M13" s="1">
        <v>11</v>
      </c>
      <c r="N13" s="1">
        <v>12</v>
      </c>
    </row>
    <row r="14" spans="1:44">
      <c r="B14" s="10" t="s">
        <v>55</v>
      </c>
      <c r="C14" s="15">
        <f>VLOOKUP($E$5,Data!$A$1:$GH$18,18,0)</f>
        <v>36.739970441255039</v>
      </c>
      <c r="D14" s="15">
        <f>VLOOKUP($E$5,Data!$A$1:$GH$18,19,0)</f>
        <v>33.509454232955513</v>
      </c>
      <c r="E14" s="15">
        <f>VLOOKUP($E$5,Data!$A$1:$GH$18,20,0)</f>
        <v>36.785812356007625</v>
      </c>
      <c r="F14" s="15">
        <f>E14-D14</f>
        <v>3.2763581230521126</v>
      </c>
      <c r="G14" s="15">
        <f>VLOOKUP("London",Data!$A$1:$GH$18,20,0)</f>
        <v>35.919701864088296</v>
      </c>
      <c r="I14" s="10" t="s">
        <v>156</v>
      </c>
      <c r="J14" s="1" t="s">
        <v>135</v>
      </c>
      <c r="M14" s="1">
        <v>13</v>
      </c>
      <c r="N14" s="1">
        <v>14</v>
      </c>
    </row>
    <row r="15" spans="1:44">
      <c r="B15" s="1" t="s">
        <v>50</v>
      </c>
      <c r="C15" s="13" t="s">
        <v>102</v>
      </c>
      <c r="D15" s="13" t="s">
        <v>102</v>
      </c>
      <c r="E15" s="13">
        <f>VLOOKUP($E$5,Data!$A$1:$GH$18,22,0)</f>
        <v>10853.760899999999</v>
      </c>
      <c r="F15" s="13" t="s">
        <v>102</v>
      </c>
      <c r="G15" s="13">
        <f>VLOOKUP("London",Data!$A$1:$GH$18,22,0)</f>
        <v>159470.63779999997</v>
      </c>
      <c r="I15" s="3" t="s">
        <v>157</v>
      </c>
      <c r="J15" s="1" t="s">
        <v>135</v>
      </c>
      <c r="N15" s="1">
        <v>16</v>
      </c>
    </row>
    <row r="16" spans="1:44">
      <c r="B16" s="10" t="s">
        <v>54</v>
      </c>
      <c r="C16" s="15">
        <f>VLOOKUP($E$5,Data!$A$1:$GH$18,23,0)</f>
        <v>49.430148244377499</v>
      </c>
      <c r="D16" s="15">
        <f>VLOOKUP($E$5,Data!$A$1:$GH$18,24,0)</f>
        <v>51.74272367948258</v>
      </c>
      <c r="E16" s="15">
        <f>VLOOKUP($E$5,Data!$A$1:$GH$18,25,0)</f>
        <v>57.583726577208822</v>
      </c>
      <c r="F16" s="15">
        <f>E16-D16</f>
        <v>5.8410028977262414</v>
      </c>
      <c r="G16" s="15">
        <f>VLOOKUP("London",Data!$A$1:$GH$18,25,0)</f>
        <v>55.671633677983998</v>
      </c>
      <c r="I16" s="10" t="s">
        <v>157</v>
      </c>
      <c r="J16" s="1" t="s">
        <v>135</v>
      </c>
      <c r="M16" s="1">
        <v>17</v>
      </c>
      <c r="N16" s="1">
        <v>18</v>
      </c>
    </row>
    <row r="17" spans="1:14">
      <c r="B17" s="1" t="s">
        <v>105</v>
      </c>
      <c r="C17" s="13" t="s">
        <v>102</v>
      </c>
      <c r="D17" s="13">
        <f>VLOOKUP($E$5,Data!$A$1:$GH$18,26,0)</f>
        <v>781494.65821021725</v>
      </c>
      <c r="E17" s="13">
        <f>VLOOKUP($E$5,Data!$A$1:$GH$18,27,0)</f>
        <v>851335</v>
      </c>
      <c r="F17" s="13">
        <f>E17-D17</f>
        <v>69840.341789782746</v>
      </c>
      <c r="G17" s="13">
        <f>VLOOKUP("London",Data!$A$1:$GH$18,27,0)</f>
        <v>10046359</v>
      </c>
      <c r="I17" s="3" t="s">
        <v>158</v>
      </c>
      <c r="J17" s="1" t="s">
        <v>135</v>
      </c>
      <c r="N17" s="1">
        <v>19</v>
      </c>
    </row>
    <row r="18" spans="1:14" ht="6.75" customHeight="1">
      <c r="G18" s="3"/>
      <c r="I18" s="3"/>
      <c r="J18" s="1" t="s">
        <v>135</v>
      </c>
    </row>
    <row r="19" spans="1:14">
      <c r="A19" s="9" t="s">
        <v>103</v>
      </c>
      <c r="B19" s="2"/>
      <c r="C19" s="2"/>
      <c r="D19" s="2"/>
      <c r="E19" s="2"/>
      <c r="F19" s="2"/>
      <c r="G19" s="2"/>
      <c r="I19" s="2"/>
      <c r="J19" s="1" t="s">
        <v>135</v>
      </c>
    </row>
    <row r="20" spans="1:14">
      <c r="B20" s="10" t="s">
        <v>104</v>
      </c>
      <c r="C20" s="17" t="s">
        <v>102</v>
      </c>
      <c r="D20" s="11">
        <f>VLOOKUP($E$5,Data!$A$1:$GH$18,28,0)</f>
        <v>233816.85104309779</v>
      </c>
      <c r="E20" s="11">
        <f>VLOOKUP($E$5,Data!$A$1:$GH$18,29,0)</f>
        <v>255664.80837825281</v>
      </c>
      <c r="F20" s="11">
        <f>E20-D20</f>
        <v>21847.957335155021</v>
      </c>
      <c r="G20" s="11">
        <f>VLOOKUP("London",Data!$A$1:$GH$18,29,0)</f>
        <v>3554141.5917150234</v>
      </c>
      <c r="I20" s="10" t="s">
        <v>159</v>
      </c>
      <c r="J20" s="1" t="s">
        <v>135</v>
      </c>
      <c r="M20" s="1">
        <v>20</v>
      </c>
      <c r="N20" s="1">
        <v>21</v>
      </c>
    </row>
    <row r="21" spans="1:14">
      <c r="B21" s="1" t="s">
        <v>129</v>
      </c>
      <c r="C21" s="13" t="s">
        <v>102</v>
      </c>
      <c r="D21" s="13">
        <f>VLOOKUP($E$5,Data!$A$1:$GH$18,30,0)</f>
        <v>106400.82961937727</v>
      </c>
      <c r="E21" s="13">
        <f>VLOOKUP($E$5,Data!$A$1:$GH$18,31,0)</f>
        <v>113727.49441569323</v>
      </c>
      <c r="F21" s="13">
        <f>E21-D21</f>
        <v>7326.664796315963</v>
      </c>
      <c r="G21" s="13">
        <f>VLOOKUP("London",Data!$A$1:$GH$18,31,0)</f>
        <v>1605170.7666573727</v>
      </c>
      <c r="I21" s="3" t="s">
        <v>159</v>
      </c>
      <c r="J21" s="1" t="s">
        <v>135</v>
      </c>
      <c r="M21" s="1">
        <v>22</v>
      </c>
      <c r="N21" s="1">
        <v>23</v>
      </c>
    </row>
    <row r="22" spans="1:14">
      <c r="B22" s="10" t="s">
        <v>149</v>
      </c>
      <c r="C22" s="17" t="s">
        <v>102</v>
      </c>
      <c r="D22" s="11">
        <f>VLOOKUP($E$5,Data!$A$1:$GH$18,32,0)</f>
        <v>67079.211934222854</v>
      </c>
      <c r="E22" s="11">
        <f>VLOOKUP($E$5,Data!$A$1:$GH$18,33,0)</f>
        <v>78497.422247536102</v>
      </c>
      <c r="F22" s="11">
        <f>E22-D22</f>
        <v>11418.210313313248</v>
      </c>
      <c r="G22" s="11">
        <f>VLOOKUP("London",Data!$A$1:$GH$18,33,0)</f>
        <v>1066241.1264937087</v>
      </c>
      <c r="I22" s="10" t="s">
        <v>159</v>
      </c>
      <c r="J22" s="1" t="s">
        <v>135</v>
      </c>
      <c r="M22" s="1">
        <v>24</v>
      </c>
      <c r="N22" s="1">
        <v>25</v>
      </c>
    </row>
    <row r="23" spans="1:14">
      <c r="B23" s="1" t="s">
        <v>150</v>
      </c>
      <c r="C23" s="13" t="s">
        <v>102</v>
      </c>
      <c r="D23" s="13">
        <f>VLOOKUP($E$5,Data!$A$1:$GH$18,34,0)</f>
        <v>60336.809489497653</v>
      </c>
      <c r="E23" s="13">
        <f>VLOOKUP($E$5,Data!$A$1:$GH$18,35,0)</f>
        <v>63439.891715023477</v>
      </c>
      <c r="F23" s="13">
        <f>E23-D23</f>
        <v>3103.0822255258245</v>
      </c>
      <c r="G23" s="13">
        <f>VLOOKUP("London",Data!$A$1:$GH$18,35,0)</f>
        <v>882729.69856394234</v>
      </c>
      <c r="I23" s="3" t="s">
        <v>159</v>
      </c>
      <c r="J23" s="1" t="s">
        <v>135</v>
      </c>
      <c r="M23" s="1">
        <v>26</v>
      </c>
      <c r="N23" s="1">
        <v>27</v>
      </c>
    </row>
    <row r="24" spans="1:14" ht="5.25" customHeight="1">
      <c r="G24" s="3"/>
      <c r="I24" s="3"/>
      <c r="J24" s="1" t="s">
        <v>135</v>
      </c>
    </row>
    <row r="25" spans="1:14">
      <c r="A25" s="9" t="s">
        <v>106</v>
      </c>
      <c r="B25" s="9"/>
      <c r="C25" s="9"/>
      <c r="D25" s="9"/>
      <c r="E25" s="9"/>
      <c r="F25" s="9"/>
      <c r="G25" s="9"/>
      <c r="I25" s="9"/>
      <c r="J25" s="1" t="s">
        <v>135</v>
      </c>
    </row>
    <row r="26" spans="1:14">
      <c r="B26" s="10" t="s">
        <v>107</v>
      </c>
      <c r="C26" s="11">
        <f>VLOOKUP($E$5,Data!$A$1:$GH$18,36,0)</f>
        <v>418000</v>
      </c>
      <c r="D26" s="11">
        <f>VLOOKUP($E$5,Data!$A$1:$GH$18,37,0)</f>
        <v>449000</v>
      </c>
      <c r="E26" s="11">
        <f>VLOOKUP($E$5,Data!$A$1:$GH$18,38,0)</f>
        <v>543000</v>
      </c>
      <c r="F26" s="11">
        <f>E26-D26</f>
        <v>94000</v>
      </c>
      <c r="G26" s="11">
        <f>VLOOKUP("London",Data!$A$1:$GH$18,38,0)</f>
        <v>5600000</v>
      </c>
      <c r="I26" s="10" t="s">
        <v>160</v>
      </c>
      <c r="J26" s="1" t="s">
        <v>135</v>
      </c>
      <c r="M26" s="1">
        <v>30</v>
      </c>
      <c r="N26" s="1">
        <v>31</v>
      </c>
    </row>
    <row r="27" spans="1:14">
      <c r="B27" s="1" t="s">
        <v>79</v>
      </c>
      <c r="C27" s="13">
        <f>VLOOKUP($E$5,Data!$A$1:$GH$18,39,0)</f>
        <v>41315</v>
      </c>
      <c r="D27" s="13">
        <f>VLOOKUP($E$5,Data!$A$1:$GH$18,40,0)</f>
        <v>46045</v>
      </c>
      <c r="E27" s="13">
        <f>VLOOKUP($E$5,Data!$A$1:$GH$18,41,0)</f>
        <v>53575</v>
      </c>
      <c r="F27" s="13">
        <f t="shared" ref="F27:F32" si="0">E27-D27</f>
        <v>7530</v>
      </c>
      <c r="G27" s="13">
        <f>VLOOKUP("London",Data!$A$1:$GH$18,41,0)</f>
        <v>500825</v>
      </c>
      <c r="I27" s="3" t="s">
        <v>160</v>
      </c>
      <c r="J27" s="1" t="s">
        <v>135</v>
      </c>
      <c r="M27" s="1">
        <v>32</v>
      </c>
      <c r="N27" s="1">
        <v>33</v>
      </c>
    </row>
    <row r="28" spans="1:14">
      <c r="B28" s="10" t="s">
        <v>151</v>
      </c>
      <c r="C28" s="14">
        <f>VLOOKUP($E$5,Data!$A$1:$GH$18,42,0)</f>
        <v>94.694694694694689</v>
      </c>
      <c r="D28" s="14">
        <f>VLOOKUP($E$5,Data!$A$1:$GH$18,43,0)</f>
        <v>84.450923226433432</v>
      </c>
      <c r="E28" s="14">
        <f>VLOOKUP($E$5,Data!$A$1:$GH$18,44,0)</f>
        <v>86.715566422167882</v>
      </c>
      <c r="F28" s="14">
        <f t="shared" si="0"/>
        <v>2.2646431957344504</v>
      </c>
      <c r="G28" s="14">
        <f>VLOOKUP("London",Data!$A$1:$GH$18,44,0)</f>
        <v>89.7</v>
      </c>
      <c r="I28" s="10" t="s">
        <v>160</v>
      </c>
      <c r="J28" s="1" t="s">
        <v>135</v>
      </c>
      <c r="M28" s="1">
        <v>34</v>
      </c>
      <c r="N28" s="1">
        <v>35</v>
      </c>
    </row>
    <row r="29" spans="1:14">
      <c r="B29" s="1" t="s">
        <v>16</v>
      </c>
      <c r="C29" s="1">
        <f>VLOOKUP($E$5,Data!$A$1:$GH$18,45,0)</f>
        <v>67.900000000000006</v>
      </c>
      <c r="D29" s="1">
        <f>VLOOKUP($E$5,Data!$A$1:$GH$18,46,0)</f>
        <v>67.5</v>
      </c>
      <c r="E29" s="1">
        <f>VLOOKUP($E$5,Data!$A$1:$GH$18,47,0)</f>
        <v>66.3</v>
      </c>
      <c r="F29" s="1">
        <f t="shared" si="0"/>
        <v>-1.2000000000000028</v>
      </c>
      <c r="G29" s="3">
        <f>VLOOKUP("London",Data!$A$1:$GH$18,47,0)</f>
        <v>72.2</v>
      </c>
      <c r="I29" s="3" t="s">
        <v>161</v>
      </c>
      <c r="J29" s="1" t="s">
        <v>135</v>
      </c>
      <c r="M29" s="1">
        <v>36</v>
      </c>
      <c r="N29" s="1">
        <v>37</v>
      </c>
    </row>
    <row r="30" spans="1:14">
      <c r="B30" s="10" t="s">
        <v>19</v>
      </c>
      <c r="C30" s="14">
        <f>VLOOKUP($E$5,Data!$A$1:$GH$18,48,0)</f>
        <v>74.8</v>
      </c>
      <c r="D30" s="14">
        <f>VLOOKUP($E$5,Data!$A$1:$GH$18,49,0)</f>
        <v>74.2</v>
      </c>
      <c r="E30" s="14">
        <f>VLOOKUP($E$5,Data!$A$1:$GH$18,50,0)</f>
        <v>73.099999999999994</v>
      </c>
      <c r="F30" s="14">
        <f t="shared" si="0"/>
        <v>-1.1000000000000085</v>
      </c>
      <c r="G30" s="14">
        <f>VLOOKUP("London",Data!$A$1:$GH$18,50,0)</f>
        <v>79.400000000000006</v>
      </c>
      <c r="I30" s="10" t="s">
        <v>161</v>
      </c>
      <c r="J30" s="1" t="s">
        <v>135</v>
      </c>
      <c r="M30" s="1">
        <v>38</v>
      </c>
      <c r="N30" s="1">
        <v>39</v>
      </c>
    </row>
    <row r="31" spans="1:14">
      <c r="B31" s="1" t="s">
        <v>20</v>
      </c>
      <c r="C31" s="18">
        <f>VLOOKUP($E$5,Data!$A$1:$GH$18,51,0)</f>
        <v>61.3</v>
      </c>
      <c r="D31" s="18">
        <f>VLOOKUP($E$5,Data!$A$1:$GH$18,52,0)</f>
        <v>61</v>
      </c>
      <c r="E31" s="18">
        <f>VLOOKUP($E$5,Data!$A$1:$GH$18,53,0)</f>
        <v>59.8</v>
      </c>
      <c r="F31" s="18">
        <f t="shared" si="0"/>
        <v>-1.2000000000000028</v>
      </c>
      <c r="G31" s="18">
        <f>VLOOKUP("London",Data!$A$1:$GH$18,53,0)</f>
        <v>65</v>
      </c>
      <c r="I31" s="3" t="s">
        <v>161</v>
      </c>
      <c r="J31" s="1" t="s">
        <v>135</v>
      </c>
      <c r="M31" s="1">
        <v>40</v>
      </c>
      <c r="N31" s="1">
        <v>41</v>
      </c>
    </row>
    <row r="32" spans="1:14">
      <c r="B32" s="10" t="s">
        <v>21</v>
      </c>
      <c r="C32" s="14">
        <f>VLOOKUP($E$5,Data!$A$1:$GH$18,54,0)</f>
        <v>7.1</v>
      </c>
      <c r="D32" s="14">
        <f>VLOOKUP($E$5,Data!$A$1:$GH$18,55,0)</f>
        <v>8.9</v>
      </c>
      <c r="E32" s="14">
        <f>VLOOKUP($E$5,Data!$A$1:$GH$18,56,0)</f>
        <v>6.6</v>
      </c>
      <c r="F32" s="14">
        <f t="shared" si="0"/>
        <v>-2.3000000000000007</v>
      </c>
      <c r="G32" s="14">
        <f>VLOOKUP("London",Data!$A$1:$GH$18,56,0)</f>
        <v>6.7</v>
      </c>
      <c r="I32" s="10" t="s">
        <v>161</v>
      </c>
      <c r="J32" s="1" t="s">
        <v>135</v>
      </c>
      <c r="M32" s="1">
        <v>42</v>
      </c>
      <c r="N32" s="1">
        <v>43</v>
      </c>
    </row>
    <row r="33" spans="1:14" ht="4.5" customHeight="1">
      <c r="G33" s="3"/>
      <c r="I33" s="3"/>
      <c r="J33" s="1" t="s">
        <v>135</v>
      </c>
    </row>
    <row r="34" spans="1:14">
      <c r="A34" s="9" t="s">
        <v>108</v>
      </c>
      <c r="B34" s="9"/>
      <c r="C34" s="9"/>
      <c r="D34" s="9"/>
      <c r="E34" s="9"/>
      <c r="F34" s="9"/>
      <c r="G34" s="9"/>
      <c r="I34" s="9"/>
      <c r="J34" s="1" t="s">
        <v>135</v>
      </c>
    </row>
    <row r="35" spans="1:14">
      <c r="B35" s="10" t="s">
        <v>109</v>
      </c>
      <c r="C35" s="14">
        <f>VLOOKUP($E$5,Data!$A$1:$GH$18,57,0)</f>
        <v>29.962580678492746</v>
      </c>
      <c r="D35" s="14">
        <f>VLOOKUP($E$5,Data!$A$1:$GH$18,58,0)</f>
        <v>29.913754754523481</v>
      </c>
      <c r="E35" s="14">
        <f>VLOOKUP($E$5,Data!$A$1:$GH$18,59,0)</f>
        <v>37.142756564830655</v>
      </c>
      <c r="F35" s="14">
        <f t="shared" ref="F35:F41" si="1">E35-D35</f>
        <v>7.2290018103071745</v>
      </c>
      <c r="G35" s="14">
        <f>VLOOKUP("London",Data!$A$1:$GH$18,59,0)</f>
        <v>42.496235615561261</v>
      </c>
      <c r="I35" s="10" t="s">
        <v>161</v>
      </c>
      <c r="J35" s="1" t="s">
        <v>135</v>
      </c>
      <c r="M35" s="1">
        <v>44</v>
      </c>
      <c r="N35" s="1">
        <v>45</v>
      </c>
    </row>
    <row r="36" spans="1:14">
      <c r="B36" s="1" t="s">
        <v>27</v>
      </c>
      <c r="C36" s="18">
        <f>VLOOKUP($E$5,Data!$A$1:$GH$18,60,0)</f>
        <v>37.929602154826952</v>
      </c>
      <c r="D36" s="18">
        <f>VLOOKUP($E$5,Data!$A$1:$GH$18,61,0)</f>
        <v>35.827298021381267</v>
      </c>
      <c r="E36" s="18">
        <f>VLOOKUP($E$5,Data!$A$1:$GH$18,62,0)</f>
        <v>37.571645748159582</v>
      </c>
      <c r="F36" s="18">
        <f t="shared" si="1"/>
        <v>1.7443477267783152</v>
      </c>
      <c r="G36" s="18">
        <f>VLOOKUP("London",Data!$A$1:$GH$18,62,0)</f>
        <v>36.6</v>
      </c>
      <c r="I36" s="3" t="s">
        <v>161</v>
      </c>
      <c r="J36" s="1" t="s">
        <v>135</v>
      </c>
      <c r="M36" s="1">
        <v>46</v>
      </c>
      <c r="N36" s="1">
        <v>47</v>
      </c>
    </row>
    <row r="37" spans="1:14">
      <c r="B37" s="10" t="s">
        <v>110</v>
      </c>
      <c r="C37" s="19" t="str">
        <f>VLOOKUP($E$5,Data!$A$1:$GH$18,63,0)</f>
        <v>Bangladesh</v>
      </c>
      <c r="D37" s="19" t="str">
        <f>VLOOKUP($E$5,Data!$A$1:$GH$18,64,0)</f>
        <v>Poland</v>
      </c>
      <c r="E37" s="19" t="str">
        <f>VLOOKUP($E$5,Data!$A$1:$GH$18,65,0)</f>
        <v>India</v>
      </c>
      <c r="F37" s="19" t="s">
        <v>102</v>
      </c>
      <c r="G37" s="19" t="str">
        <f>VLOOKUP("London",Data!$A$1:$GH$18,65,0)</f>
        <v>India</v>
      </c>
      <c r="I37" s="10" t="s">
        <v>161</v>
      </c>
      <c r="J37" s="1" t="s">
        <v>135</v>
      </c>
      <c r="M37" s="1">
        <v>48</v>
      </c>
      <c r="N37" s="1">
        <v>49</v>
      </c>
    </row>
    <row r="38" spans="1:14">
      <c r="B38" s="1" t="s">
        <v>111</v>
      </c>
      <c r="C38" s="12" t="str">
        <f>VLOOKUP($E$5,Data!$A$1:$GH$18,66,0)</f>
        <v>USA</v>
      </c>
      <c r="D38" s="12" t="str">
        <f>VLOOKUP($E$5,Data!$A$1:$GH$18,67,0)</f>
        <v>India</v>
      </c>
      <c r="E38" s="12" t="str">
        <f>VLOOKUP($E$5,Data!$A$1:$GH$18,68,0)</f>
        <v>Poland</v>
      </c>
      <c r="F38" s="12" t="s">
        <v>102</v>
      </c>
      <c r="G38" s="12" t="str">
        <f>VLOOKUP("London",Data!$A$1:$GH$18,68,0)</f>
        <v>Poland</v>
      </c>
      <c r="I38" s="3" t="s">
        <v>161</v>
      </c>
      <c r="J38" s="1" t="s">
        <v>135</v>
      </c>
      <c r="M38" s="1">
        <v>50</v>
      </c>
      <c r="N38" s="1">
        <v>51</v>
      </c>
    </row>
    <row r="39" spans="1:14">
      <c r="B39" s="10" t="s">
        <v>112</v>
      </c>
      <c r="C39" s="19" t="str">
        <f>VLOOKUP($E$5,Data!$A$1:$GH$18,69,0)</f>
        <v>India</v>
      </c>
      <c r="D39" s="19" t="str">
        <f>VLOOKUP($E$5,Data!$A$1:$GH$18,70,0)</f>
        <v>USA</v>
      </c>
      <c r="E39" s="19" t="str">
        <f>VLOOKUP($E$5,Data!$A$1:$GH$18,71,0)</f>
        <v>Italy</v>
      </c>
      <c r="F39" s="19" t="s">
        <v>102</v>
      </c>
      <c r="G39" s="19" t="str">
        <f>VLOOKUP("London",Data!$A$1:$GH$18,71,0)</f>
        <v>Pakistan</v>
      </c>
      <c r="I39" s="10" t="s">
        <v>161</v>
      </c>
      <c r="J39" s="1" t="s">
        <v>135</v>
      </c>
      <c r="M39" s="1">
        <v>52</v>
      </c>
      <c r="N39" s="1">
        <v>53</v>
      </c>
    </row>
    <row r="40" spans="1:14">
      <c r="B40" s="1" t="s">
        <v>61</v>
      </c>
      <c r="C40" s="18">
        <f>VLOOKUP($E$5,Data!$A$1:$GH$18,72,0)</f>
        <v>23.843980321749221</v>
      </c>
      <c r="D40" s="18">
        <f>VLOOKUP($E$5,Data!$A$1:$GH$18,73,0)</f>
        <v>21.751162248075044</v>
      </c>
      <c r="E40" s="18">
        <f>VLOOKUP($E$5,Data!$A$1:$GH$18,74,0)</f>
        <v>19.06784517257752</v>
      </c>
      <c r="F40" s="18">
        <f t="shared" si="1"/>
        <v>-2.6833170754975235</v>
      </c>
      <c r="G40" s="18">
        <f>VLOOKUP("London",Data!$A$1:$GH$18,74,0)</f>
        <v>25.667091668797038</v>
      </c>
      <c r="I40" s="3" t="s">
        <v>167</v>
      </c>
      <c r="J40" s="1" t="s">
        <v>135</v>
      </c>
      <c r="M40" s="1">
        <v>54</v>
      </c>
      <c r="N40" s="1">
        <v>55</v>
      </c>
    </row>
    <row r="41" spans="1:14">
      <c r="B41" s="10" t="s">
        <v>71</v>
      </c>
      <c r="C41" s="14">
        <f>VLOOKUP($E$5,Data!$A$1:$GH$18,75,0)</f>
        <v>42.798494697228875</v>
      </c>
      <c r="D41" s="14">
        <f>VLOOKUP($E$5,Data!$A$1:$GH$18,76,0)</f>
        <v>45.021504503773428</v>
      </c>
      <c r="E41" s="14">
        <f>VLOOKUP($E$5,Data!$A$1:$GH$18,77,0)</f>
        <v>46.895214433957975</v>
      </c>
      <c r="F41" s="14">
        <f t="shared" si="1"/>
        <v>1.8737099301845461</v>
      </c>
      <c r="G41" s="14">
        <f>VLOOKUP("London",Data!$A$1:$GH$18,77,0)</f>
        <v>44.928547703024165</v>
      </c>
      <c r="I41" s="10" t="s">
        <v>162</v>
      </c>
      <c r="J41" s="1" t="s">
        <v>135</v>
      </c>
      <c r="M41" s="1">
        <v>56</v>
      </c>
      <c r="N41" s="1">
        <v>57</v>
      </c>
    </row>
    <row r="42" spans="1:14" ht="6.75" customHeight="1">
      <c r="G42" s="3"/>
      <c r="I42" s="3"/>
      <c r="J42" s="1" t="s">
        <v>135</v>
      </c>
    </row>
    <row r="43" spans="1:14">
      <c r="A43" s="9" t="s">
        <v>113</v>
      </c>
      <c r="B43" s="9"/>
      <c r="C43" s="9"/>
      <c r="D43" s="9"/>
      <c r="E43" s="9"/>
      <c r="F43" s="9"/>
      <c r="G43" s="9"/>
      <c r="I43" s="9"/>
      <c r="J43" s="1" t="s">
        <v>135</v>
      </c>
    </row>
    <row r="44" spans="1:14">
      <c r="B44" s="10" t="s">
        <v>73</v>
      </c>
      <c r="C44" s="11">
        <f>VLOOKUP($E$5,Data!$A$1:$GH$18,79,0)</f>
        <v>243</v>
      </c>
      <c r="D44" s="11">
        <f>VLOOKUP($E$5,Data!$A$1:$GH$18,80,0)</f>
        <v>245</v>
      </c>
      <c r="E44" s="11">
        <f>VLOOKUP($E$5,Data!$A$1:$GH$18,81,0)</f>
        <v>256</v>
      </c>
      <c r="F44" s="11">
        <f t="shared" ref="F44:F49" si="2">E44-D44</f>
        <v>11</v>
      </c>
      <c r="G44" s="11">
        <f>VLOOKUP("London",Data!$A$1:$GH$18,81,0)</f>
        <v>3119</v>
      </c>
      <c r="I44" s="10" t="s">
        <v>162</v>
      </c>
      <c r="J44" s="1" t="s">
        <v>135</v>
      </c>
      <c r="M44" s="1">
        <v>59</v>
      </c>
      <c r="N44" s="1">
        <v>60</v>
      </c>
    </row>
    <row r="45" spans="1:14">
      <c r="B45" s="1" t="s">
        <v>75</v>
      </c>
      <c r="C45" s="20">
        <f>VLOOKUP($E$5,Data!$A$1:$GH$18,82,0)</f>
        <v>64</v>
      </c>
      <c r="D45" s="20">
        <f>VLOOKUP($E$5,Data!$A$1:$GH$18,83,0)</f>
        <v>65</v>
      </c>
      <c r="E45" s="20">
        <f>VLOOKUP($E$5,Data!$A$1:$GH$18,84,0)</f>
        <v>70</v>
      </c>
      <c r="F45" s="20">
        <f t="shared" si="2"/>
        <v>5</v>
      </c>
      <c r="G45" s="20">
        <f>VLOOKUP("London",Data!$A$1:$GH$18,84,0)</f>
        <v>555</v>
      </c>
      <c r="I45" s="3" t="s">
        <v>162</v>
      </c>
      <c r="J45" s="1" t="s">
        <v>135</v>
      </c>
      <c r="M45" s="1">
        <v>61</v>
      </c>
      <c r="N45" s="1">
        <v>62</v>
      </c>
    </row>
    <row r="46" spans="1:14">
      <c r="B46" s="10" t="s">
        <v>74</v>
      </c>
      <c r="C46" s="14">
        <f>VLOOKUP($E$5,Data!$A$1:$GH$18,85,0)</f>
        <v>16.794441782462865</v>
      </c>
      <c r="D46" s="14">
        <f>VLOOKUP($E$5,Data!$A$1:$GH$18,86,0)</f>
        <v>16.316962481379264</v>
      </c>
      <c r="E46" s="14">
        <f>VLOOKUP($E$5,Data!$A$1:$GH$18,87,0)</f>
        <v>17.436726704043746</v>
      </c>
      <c r="F46" s="14">
        <f t="shared" si="2"/>
        <v>1.1197642226644824</v>
      </c>
      <c r="G46" s="14">
        <f>VLOOKUP("London",Data!$A$1:$GH$18,87,0)</f>
        <v>10.548513170053788</v>
      </c>
      <c r="I46" s="10" t="s">
        <v>162</v>
      </c>
      <c r="J46" s="1" t="s">
        <v>135</v>
      </c>
      <c r="M46" s="1">
        <v>63</v>
      </c>
      <c r="N46" s="1">
        <v>64</v>
      </c>
    </row>
    <row r="47" spans="1:14">
      <c r="B47" s="1" t="s">
        <v>72</v>
      </c>
      <c r="C47" s="18">
        <f>VLOOKUP($E$5,Data!$A$1:$GH$18,88,0)</f>
        <v>55.326128266033251</v>
      </c>
      <c r="D47" s="18">
        <f>VLOOKUP($E$5,Data!$A$1:$GH$18,89,0)</f>
        <v>63.635042353990187</v>
      </c>
      <c r="E47" s="18">
        <f>VLOOKUP($E$5,Data!$A$1:$GH$18,90,0)</f>
        <v>66.218653576437589</v>
      </c>
      <c r="F47" s="18">
        <f t="shared" si="2"/>
        <v>2.5836112224474022</v>
      </c>
      <c r="G47" s="18">
        <f>VLOOKUP("London",Data!$A$1:$GH$18,90,0)</f>
        <v>60.9</v>
      </c>
      <c r="I47" s="3" t="s">
        <v>162</v>
      </c>
      <c r="J47" s="1" t="s">
        <v>135</v>
      </c>
      <c r="M47" s="1">
        <v>65</v>
      </c>
      <c r="N47" s="1">
        <v>66</v>
      </c>
    </row>
    <row r="48" spans="1:14">
      <c r="B48" s="10" t="s">
        <v>120</v>
      </c>
      <c r="C48" s="14">
        <f>VLOOKUP($E$5,Data!$A$1:$GH$18,91,0)</f>
        <v>44.2</v>
      </c>
      <c r="D48" s="14">
        <f>VLOOKUP($E$5,Data!$A$1:$GH$18,92,0)</f>
        <v>52.4</v>
      </c>
      <c r="E48" s="14">
        <f>VLOOKUP($E$5,Data!$A$1:$GH$18,93,0)</f>
        <v>53.9</v>
      </c>
      <c r="F48" s="14">
        <f t="shared" si="2"/>
        <v>1.5</v>
      </c>
      <c r="G48" s="14">
        <f>VLOOKUP("London",Data!$A$1:$GH$18,93,0)</f>
        <v>49.9</v>
      </c>
      <c r="I48" s="10" t="s">
        <v>161</v>
      </c>
      <c r="J48" s="1" t="s">
        <v>135</v>
      </c>
      <c r="M48" s="1">
        <v>69</v>
      </c>
      <c r="N48" s="1">
        <v>70</v>
      </c>
    </row>
    <row r="49" spans="1:14">
      <c r="B49" s="1" t="s">
        <v>114</v>
      </c>
      <c r="C49" s="18">
        <f>VLOOKUP($E$5,Data!$A$1:$GH$18,94,0)</f>
        <v>11</v>
      </c>
      <c r="D49" s="18">
        <f>VLOOKUP($E$5,Data!$A$1:$GH$18,95,0)</f>
        <v>7.1</v>
      </c>
      <c r="E49" s="18">
        <f>VLOOKUP($E$5,Data!$A$1:$GH$18,96,0)</f>
        <v>5.6</v>
      </c>
      <c r="F49" s="18">
        <f t="shared" si="2"/>
        <v>-1.5</v>
      </c>
      <c r="G49" s="18">
        <f>VLOOKUP("London",Data!$A$1:$GH$18,96,0)</f>
        <v>7.3</v>
      </c>
      <c r="I49" s="3" t="s">
        <v>161</v>
      </c>
      <c r="J49" s="1" t="s">
        <v>135</v>
      </c>
      <c r="M49" s="1">
        <v>71</v>
      </c>
      <c r="N49" s="1">
        <v>72</v>
      </c>
    </row>
    <row r="50" spans="1:14" ht="5.25" customHeight="1">
      <c r="G50" s="3"/>
      <c r="I50" s="3"/>
      <c r="J50" s="1" t="s">
        <v>135</v>
      </c>
    </row>
    <row r="51" spans="1:14">
      <c r="A51" s="9" t="s">
        <v>115</v>
      </c>
      <c r="B51" s="9"/>
      <c r="C51" s="9"/>
      <c r="D51" s="9"/>
      <c r="E51" s="9"/>
      <c r="F51" s="9"/>
      <c r="G51" s="9"/>
      <c r="I51" s="9"/>
      <c r="J51" s="1" t="s">
        <v>135</v>
      </c>
    </row>
    <row r="52" spans="1:14">
      <c r="B52" s="10" t="s">
        <v>116</v>
      </c>
      <c r="C52" s="14">
        <f>VLOOKUP($E$5,Data!$A$1:$GH$18,97,0)</f>
        <v>22.818542224270537</v>
      </c>
      <c r="D52" s="14">
        <f>VLOOKUP($E$5,Data!$A$1:$GH$18,98,0)</f>
        <v>25.852415097581588</v>
      </c>
      <c r="E52" s="14">
        <f>VLOOKUP($E$5,Data!$A$1:$GH$18,99,0)</f>
        <v>15.474398456956356</v>
      </c>
      <c r="F52" s="14">
        <f>E52-D52</f>
        <v>-10.378016640625232</v>
      </c>
      <c r="G52" s="14">
        <f>VLOOKUP("London",Data!$A$1:$GH$18,99,0)</f>
        <v>23.69057907066421</v>
      </c>
      <c r="I52" s="10" t="s">
        <v>136</v>
      </c>
      <c r="J52" s="1" t="s">
        <v>135</v>
      </c>
      <c r="M52" s="1">
        <v>73</v>
      </c>
      <c r="N52" s="1">
        <v>74</v>
      </c>
    </row>
    <row r="53" spans="1:14">
      <c r="B53" s="1" t="s">
        <v>117</v>
      </c>
      <c r="C53" s="18">
        <f>VLOOKUP($E$5,Data!$A$1:$GH$18,100,0)</f>
        <v>28.283482021403415</v>
      </c>
      <c r="D53" s="18">
        <f>VLOOKUP($E$5,Data!$A$1:$GH$18,101,0)</f>
        <v>23.949840328682921</v>
      </c>
      <c r="E53" s="18">
        <f>VLOOKUP($E$5,Data!$A$1:$GH$18,102,0)</f>
        <v>11.263021732425551</v>
      </c>
      <c r="F53" s="18">
        <f>E53-D53</f>
        <v>-12.686818596257369</v>
      </c>
      <c r="G53" s="18">
        <f>VLOOKUP("London",Data!$A$1:$GH$18,102,0)</f>
        <v>28.205175102080009</v>
      </c>
      <c r="I53" s="3" t="s">
        <v>136</v>
      </c>
      <c r="J53" s="1" t="s">
        <v>135</v>
      </c>
      <c r="M53" s="1">
        <v>75</v>
      </c>
      <c r="N53" s="1">
        <v>76</v>
      </c>
    </row>
    <row r="54" spans="1:14">
      <c r="B54" s="10" t="s">
        <v>119</v>
      </c>
      <c r="C54" s="14">
        <f>VLOOKUP($E$5,Data!$A$1:$GH$18,103,0)</f>
        <v>25.015995551815092</v>
      </c>
      <c r="D54" s="14">
        <f>VLOOKUP($E$5,Data!$A$1:$GH$18,104,0)</f>
        <v>28.667983857097273</v>
      </c>
      <c r="E54" s="14">
        <f>VLOOKUP($E$5,Data!$A$1:$GH$18,105,0)</f>
        <v>41.735141530062194</v>
      </c>
      <c r="F54" s="14">
        <f>E54-D54</f>
        <v>13.067157672964921</v>
      </c>
      <c r="G54" s="14">
        <f>VLOOKUP("London",Data!$A$1:$GH$18,105,0)</f>
        <v>23.174958809821021</v>
      </c>
      <c r="I54" s="10" t="s">
        <v>136</v>
      </c>
      <c r="J54" s="1" t="s">
        <v>135</v>
      </c>
      <c r="M54" s="1">
        <v>77</v>
      </c>
      <c r="N54" s="1">
        <v>78</v>
      </c>
    </row>
    <row r="55" spans="1:14">
      <c r="B55" s="1" t="s">
        <v>118</v>
      </c>
      <c r="C55" s="18">
        <f>VLOOKUP($E$5,Data!$A$1:$GH$18,106,0)</f>
        <v>23.881980202510942</v>
      </c>
      <c r="D55" s="18">
        <f>VLOOKUP($E$5,Data!$A$1:$GH$18,107,0)</f>
        <v>21.529760716638215</v>
      </c>
      <c r="E55" s="18">
        <f>VLOOKUP($E$5,Data!$A$1:$GH$18,108,0)</f>
        <v>31.527438280555902</v>
      </c>
      <c r="F55" s="18">
        <f>E55-D55</f>
        <v>9.9976775639176871</v>
      </c>
      <c r="G55" s="18">
        <f>VLOOKUP("London",Data!$A$1:$GH$18,108,0)</f>
        <v>24.929287017434763</v>
      </c>
      <c r="I55" s="3" t="s">
        <v>136</v>
      </c>
      <c r="J55" s="1" t="s">
        <v>135</v>
      </c>
      <c r="M55" s="1">
        <v>79</v>
      </c>
      <c r="N55" s="1">
        <v>80</v>
      </c>
    </row>
    <row r="56" spans="1:14" ht="4.5" customHeight="1">
      <c r="G56" s="3"/>
      <c r="I56" s="3"/>
      <c r="J56" s="1" t="s">
        <v>135</v>
      </c>
    </row>
    <row r="57" spans="1:14">
      <c r="A57" s="9" t="s">
        <v>121</v>
      </c>
      <c r="B57" s="9"/>
      <c r="C57" s="9"/>
      <c r="D57" s="9"/>
      <c r="E57" s="9"/>
      <c r="F57" s="9"/>
      <c r="G57" s="9"/>
      <c r="I57" s="9"/>
      <c r="J57" s="1" t="s">
        <v>135</v>
      </c>
    </row>
    <row r="58" spans="1:14">
      <c r="B58" s="10" t="s">
        <v>78</v>
      </c>
      <c r="C58" s="14">
        <f>VLOOKUP($E$5,Data!$A$1:$GH$18,109,0)</f>
        <v>130.49445594696178</v>
      </c>
      <c r="D58" s="14">
        <f>VLOOKUP($E$5,Data!$A$1:$GH$18,110,0)</f>
        <v>102.65611076838714</v>
      </c>
      <c r="E58" s="14">
        <f>VLOOKUP($E$5,Data!$A$1:$GH$18,111,0)</f>
        <v>90.284554112184949</v>
      </c>
      <c r="F58" s="14">
        <f>E58-D58</f>
        <v>-12.371556656202188</v>
      </c>
      <c r="G58" s="14">
        <f>VLOOKUP("London",Data!$A$1:$GH$18,111,0)</f>
        <v>86.488804077534624</v>
      </c>
      <c r="I58" s="10" t="s">
        <v>163</v>
      </c>
      <c r="J58" s="1" t="s">
        <v>135</v>
      </c>
      <c r="M58" s="1">
        <v>83</v>
      </c>
      <c r="N58" s="1">
        <v>84</v>
      </c>
    </row>
    <row r="59" spans="1:14" ht="3.75" customHeight="1">
      <c r="G59" s="3"/>
      <c r="I59" s="3"/>
      <c r="J59" s="1" t="s">
        <v>135</v>
      </c>
    </row>
    <row r="60" spans="1:14">
      <c r="A60" s="9" t="s">
        <v>122</v>
      </c>
      <c r="B60" s="9"/>
      <c r="C60" s="9"/>
      <c r="D60" s="9"/>
      <c r="E60" s="9"/>
      <c r="F60" s="9"/>
      <c r="G60" s="9"/>
      <c r="I60" s="9"/>
      <c r="J60" s="1" t="s">
        <v>135</v>
      </c>
    </row>
    <row r="61" spans="1:14">
      <c r="B61" s="10" t="s">
        <v>80</v>
      </c>
      <c r="C61" s="14">
        <f>VLOOKUP($E$5,Data!$A$1:$GH$18,112,0)</f>
        <v>10.969469680683064</v>
      </c>
      <c r="D61" s="14">
        <f>VLOOKUP($E$5,Data!$A$1:$GH$18,113,0)</f>
        <v>10.553703142366373</v>
      </c>
      <c r="E61" s="14">
        <f>VLOOKUP($E$5,Data!$A$1:$GH$18,114,0)</f>
        <v>7.8933678207303615</v>
      </c>
      <c r="F61" s="14">
        <f t="shared" ref="F61:F68" si="3">E61-D61</f>
        <v>-2.6603353216360119</v>
      </c>
      <c r="G61" s="14">
        <f>VLOOKUP("London",Data!$A$1:$GH$18,114,0)</f>
        <v>11.501350564695741</v>
      </c>
      <c r="I61" s="10" t="s">
        <v>164</v>
      </c>
      <c r="J61" s="1" t="s">
        <v>135</v>
      </c>
      <c r="M61" s="1">
        <v>85</v>
      </c>
      <c r="N61" s="1">
        <v>86</v>
      </c>
    </row>
    <row r="62" spans="1:14">
      <c r="B62" s="1" t="s">
        <v>81</v>
      </c>
      <c r="C62" s="18">
        <f>VLOOKUP($E$5,Data!$A$1:$GH$18,115,0)</f>
        <v>23.500583430571762</v>
      </c>
      <c r="D62" s="18">
        <f>VLOOKUP($E$5,Data!$A$1:$GH$18,116,0)</f>
        <v>23.189066059225514</v>
      </c>
      <c r="E62" s="18">
        <f>VLOOKUP($E$5,Data!$A$1:$GH$18,117,0)</f>
        <v>17.023192543132765</v>
      </c>
      <c r="F62" s="18">
        <f t="shared" si="3"/>
        <v>-6.1658735160927485</v>
      </c>
      <c r="G62" s="18">
        <f>VLOOKUP("London",Data!$A$1:$GH$18,117,0)</f>
        <v>18.7804979614396</v>
      </c>
      <c r="I62" s="3" t="s">
        <v>164</v>
      </c>
      <c r="J62" s="1" t="s">
        <v>135</v>
      </c>
      <c r="M62" s="1">
        <v>87</v>
      </c>
      <c r="N62" s="1">
        <v>88</v>
      </c>
    </row>
    <row r="63" spans="1:14">
      <c r="B63" s="10" t="s">
        <v>82</v>
      </c>
      <c r="C63" s="14">
        <f>VLOOKUP($E$5,Data!$A$1:$GH$18,118,0)</f>
        <v>29.675250398314368</v>
      </c>
      <c r="D63" s="14">
        <f>VLOOKUP($E$5,Data!$A$1:$GH$18,119,0)</f>
        <v>27.504332279463885</v>
      </c>
      <c r="E63" s="14">
        <f>VLOOKUP($E$5,Data!$A$1:$GH$18,120,0)</f>
        <v>19.570935393720205</v>
      </c>
      <c r="F63" s="14">
        <f t="shared" si="3"/>
        <v>-7.9333968857436794</v>
      </c>
      <c r="G63" s="14">
        <f>VLOOKUP("London",Data!$A$1:$GH$18,120,0)</f>
        <v>18</v>
      </c>
      <c r="I63" s="10" t="s">
        <v>165</v>
      </c>
      <c r="J63" s="1" t="s">
        <v>135</v>
      </c>
      <c r="M63" s="1">
        <v>89</v>
      </c>
      <c r="N63" s="1">
        <v>90</v>
      </c>
    </row>
    <row r="64" spans="1:14">
      <c r="B64" s="1" t="s">
        <v>83</v>
      </c>
      <c r="C64" s="18">
        <f>VLOOKUP($E$5,Data!$A$1:$GH$18,121,0)</f>
        <v>20</v>
      </c>
      <c r="D64" s="18">
        <f>VLOOKUP($E$5,Data!$A$1:$GH$18,122,0)</f>
        <v>12.827988338192419</v>
      </c>
      <c r="E64" s="18">
        <f>VLOOKUP($E$5,Data!$A$1:$GH$18,123,0)</f>
        <v>15.697674418604651</v>
      </c>
      <c r="F64" s="18">
        <f t="shared" si="3"/>
        <v>2.8696860804122313</v>
      </c>
      <c r="G64" s="18">
        <f>VLOOKUP("London",Data!$A$1:$GH$18,123,0)</f>
        <v>22.523267838676318</v>
      </c>
      <c r="I64" s="3" t="s">
        <v>166</v>
      </c>
      <c r="J64" s="1" t="s">
        <v>135</v>
      </c>
      <c r="M64" s="1">
        <v>91</v>
      </c>
      <c r="N64" s="1">
        <v>92</v>
      </c>
    </row>
    <row r="65" spans="1:14">
      <c r="B65" s="10" t="s">
        <v>84</v>
      </c>
      <c r="C65" s="14">
        <f>VLOOKUP($E$5,Data!$A$1:$GH$18,124,0)</f>
        <v>29</v>
      </c>
      <c r="D65" s="14">
        <f>VLOOKUP($E$5,Data!$A$1:$GH$18,125,0)</f>
        <v>23.906705539358601</v>
      </c>
      <c r="E65" s="14">
        <f>VLOOKUP($E$5,Data!$A$1:$GH$18,126,0)</f>
        <v>21.511627906976745</v>
      </c>
      <c r="F65" s="14">
        <f t="shared" si="3"/>
        <v>-2.3950776323818559</v>
      </c>
      <c r="G65" s="14">
        <f>VLOOKUP("London",Data!$A$1:$GH$18,126,0)</f>
        <v>29.555325749741467</v>
      </c>
      <c r="I65" s="10" t="s">
        <v>166</v>
      </c>
      <c r="J65" s="1" t="s">
        <v>135</v>
      </c>
      <c r="M65" s="1">
        <v>93</v>
      </c>
      <c r="N65" s="1">
        <v>94</v>
      </c>
    </row>
    <row r="66" spans="1:14">
      <c r="B66" s="1" t="s">
        <v>85</v>
      </c>
      <c r="C66" s="18">
        <f>VLOOKUP($E$5,Data!$A$1:$GH$18,127,0)</f>
        <v>33</v>
      </c>
      <c r="D66" s="18">
        <f>VLOOKUP($E$5,Data!$A$1:$GH$18,128,0)</f>
        <v>27.988338192419825</v>
      </c>
      <c r="E66" s="18">
        <f>VLOOKUP($E$5,Data!$A$1:$GH$18,129,0)</f>
        <v>25.581395348837212</v>
      </c>
      <c r="F66" s="18">
        <f t="shared" si="3"/>
        <v>-2.4069428435826126</v>
      </c>
      <c r="G66" s="18">
        <f>VLOOKUP("London",Data!$A$1:$GH$18,129,0)</f>
        <v>20.93071354705274</v>
      </c>
      <c r="I66" s="3" t="s">
        <v>166</v>
      </c>
      <c r="J66" s="1" t="s">
        <v>135</v>
      </c>
      <c r="M66" s="1">
        <v>95</v>
      </c>
      <c r="N66" s="1">
        <v>96</v>
      </c>
    </row>
    <row r="67" spans="1:14">
      <c r="B67" s="10" t="s">
        <v>86</v>
      </c>
      <c r="C67" s="14">
        <f>VLOOKUP($E$5,Data!$A$1:$GH$18,130,0)</f>
        <v>17</v>
      </c>
      <c r="D67" s="14">
        <f>VLOOKUP($E$5,Data!$A$1:$GH$18,131,0)</f>
        <v>26.530612244897959</v>
      </c>
      <c r="E67" s="14">
        <f>VLOOKUP($E$5,Data!$A$1:$GH$18,132,0)</f>
        <v>28.488372093023255</v>
      </c>
      <c r="F67" s="14">
        <f t="shared" si="3"/>
        <v>1.9577598481252956</v>
      </c>
      <c r="G67" s="14">
        <f>VLOOKUP("London",Data!$A$1:$GH$18,132,0)</f>
        <v>16.153050672182008</v>
      </c>
      <c r="I67" s="10" t="s">
        <v>166</v>
      </c>
      <c r="J67" s="1" t="s">
        <v>135</v>
      </c>
      <c r="M67" s="1">
        <v>97</v>
      </c>
      <c r="N67" s="1">
        <v>98</v>
      </c>
    </row>
    <row r="68" spans="1:14">
      <c r="B68" s="1" t="s">
        <v>87</v>
      </c>
      <c r="C68" s="18">
        <f>VLOOKUP($E$5,Data!$A$1:$GH$18,133,0)</f>
        <v>0</v>
      </c>
      <c r="D68" s="18">
        <f>VLOOKUP($E$5,Data!$A$1:$GH$18,134,0)</f>
        <v>8.7463556851311957</v>
      </c>
      <c r="E68" s="18">
        <f>VLOOKUP($E$5,Data!$A$1:$GH$18,135,0)</f>
        <v>8.720930232558139</v>
      </c>
      <c r="F68" s="18">
        <f t="shared" si="3"/>
        <v>-2.5425452573056617E-2</v>
      </c>
      <c r="G68" s="18">
        <f>VLOOKUP("London",Data!$A$1:$GH$18,135,0)</f>
        <v>10.837642192347467</v>
      </c>
      <c r="I68" s="3" t="s">
        <v>166</v>
      </c>
      <c r="J68" s="1" t="s">
        <v>135</v>
      </c>
      <c r="M68" s="1">
        <v>99</v>
      </c>
      <c r="N68" s="1">
        <v>100</v>
      </c>
    </row>
    <row r="69" spans="1:14" ht="4.5" customHeight="1">
      <c r="G69" s="3"/>
      <c r="I69" s="3"/>
      <c r="J69" s="1" t="s">
        <v>135</v>
      </c>
    </row>
    <row r="70" spans="1:14">
      <c r="A70" s="9" t="s">
        <v>123</v>
      </c>
      <c r="B70" s="9"/>
      <c r="C70" s="9"/>
      <c r="D70" s="9"/>
      <c r="E70" s="9"/>
      <c r="F70" s="9"/>
      <c r="G70" s="9"/>
      <c r="I70" s="9"/>
      <c r="J70" s="1" t="s">
        <v>135</v>
      </c>
    </row>
    <row r="71" spans="1:14">
      <c r="B71" s="10" t="s">
        <v>58</v>
      </c>
      <c r="C71" s="11">
        <f>VLOOKUP($E$5,Data!$A$1:$GH$18,136,0)</f>
        <v>374093</v>
      </c>
      <c r="D71" s="11">
        <f>VLOOKUP($E$5,Data!$A$1:$GH$18,137,0)</f>
        <v>395385</v>
      </c>
      <c r="E71" s="11">
        <f>VLOOKUP($E$5,Data!$A$1:$GH$18,138,0)</f>
        <v>384232</v>
      </c>
      <c r="F71" s="11">
        <f>E71-D71</f>
        <v>-11153</v>
      </c>
      <c r="G71" s="11">
        <f>VLOOKUP("London",Data!$A$1:$GH$18,138,0)</f>
        <v>5738498</v>
      </c>
      <c r="I71" s="10" t="s">
        <v>160</v>
      </c>
      <c r="J71" s="1" t="s">
        <v>135</v>
      </c>
      <c r="M71" s="1">
        <v>101</v>
      </c>
      <c r="N71" s="1">
        <v>102</v>
      </c>
    </row>
    <row r="72" spans="1:14">
      <c r="B72" s="1" t="s">
        <v>126</v>
      </c>
      <c r="C72" s="18">
        <f>VLOOKUP($E$5,Data!$A$1:$GH$18,140,0)</f>
        <v>47.884124431423125</v>
      </c>
      <c r="D72" s="18">
        <f>VLOOKUP($E$5,Data!$A$1:$GH$18,141,0)</f>
        <v>42.773876968820311</v>
      </c>
      <c r="E72" s="18">
        <f>VLOOKUP($E$5,Data!$A$1:$GH$18,142,0)</f>
        <v>48.070377505642696</v>
      </c>
      <c r="F72" s="18">
        <f>E72-D72</f>
        <v>5.2965005368223856</v>
      </c>
      <c r="G72" s="18">
        <f>VLOOKUP("London",Data!$A$1:$GH$18,142,0)</f>
        <v>46.107603783559235</v>
      </c>
      <c r="I72" s="3" t="s">
        <v>168</v>
      </c>
      <c r="J72" s="1" t="s">
        <v>135</v>
      </c>
      <c r="M72" s="1">
        <v>103</v>
      </c>
      <c r="N72" s="1">
        <v>104</v>
      </c>
    </row>
    <row r="73" spans="1:14" ht="7.5" customHeight="1">
      <c r="G73" s="3"/>
      <c r="I73" s="3"/>
      <c r="J73" s="1" t="s">
        <v>135</v>
      </c>
    </row>
    <row r="74" spans="1:14">
      <c r="A74" s="9" t="s">
        <v>124</v>
      </c>
      <c r="B74" s="9"/>
      <c r="C74" s="9"/>
      <c r="D74" s="9"/>
      <c r="E74" s="9"/>
      <c r="F74" s="9"/>
      <c r="G74" s="9"/>
      <c r="I74" s="9"/>
      <c r="J74" s="1" t="s">
        <v>135</v>
      </c>
    </row>
    <row r="75" spans="1:14">
      <c r="B75" s="10" t="s">
        <v>88</v>
      </c>
      <c r="C75" s="14">
        <f>VLOOKUP($E$5,Data!$A$1:$GH$18,144,0)</f>
        <v>41.15165039305861</v>
      </c>
      <c r="D75" s="14">
        <f>VLOOKUP($E$5,Data!$A$1:$GH$18,145,0)</f>
        <v>31.945658028607337</v>
      </c>
      <c r="E75" s="14">
        <f>VLOOKUP($E$5,Data!$A$1:$GH$18,146,0)</f>
        <v>35.461270457275482</v>
      </c>
      <c r="F75" s="14">
        <f t="shared" ref="F75:F80" si="4">E75-D75</f>
        <v>3.5156124286681454</v>
      </c>
      <c r="G75" s="14">
        <f>VLOOKUP("London",Data!$A$1:$GH$18,146,0)</f>
        <v>31.281826572350596</v>
      </c>
      <c r="I75" s="10" t="s">
        <v>168</v>
      </c>
      <c r="J75" s="1" t="s">
        <v>135</v>
      </c>
      <c r="M75" s="1">
        <v>105</v>
      </c>
      <c r="N75" s="1">
        <v>106</v>
      </c>
    </row>
    <row r="76" spans="1:14">
      <c r="B76" s="1" t="s">
        <v>91</v>
      </c>
      <c r="C76" s="18">
        <f>VLOOKUP($E$5,Data!$A$1:$GH$18,148,0)</f>
        <v>29.998187626016627</v>
      </c>
      <c r="D76" s="18">
        <f>VLOOKUP($E$5,Data!$A$1:$GH$18,149,0)</f>
        <v>44.6926805912981</v>
      </c>
      <c r="E76" s="18">
        <f>VLOOKUP($E$5,Data!$A$1:$GH$18,150,0)</f>
        <v>44.28826889733179</v>
      </c>
      <c r="F76" s="18">
        <f t="shared" si="4"/>
        <v>-0.40441169396630983</v>
      </c>
      <c r="G76" s="18">
        <f>VLOOKUP("London",Data!$A$1:$GH$18,150,0)</f>
        <v>43.840570362980316</v>
      </c>
      <c r="I76" s="3" t="s">
        <v>168</v>
      </c>
      <c r="J76" s="1" t="s">
        <v>135</v>
      </c>
      <c r="M76" s="1">
        <v>107</v>
      </c>
      <c r="N76" s="1">
        <v>108</v>
      </c>
    </row>
    <row r="77" spans="1:14">
      <c r="B77" s="10" t="s">
        <v>89</v>
      </c>
      <c r="C77" s="14">
        <f>VLOOKUP($E$5,Data!$A$1:$GH$18,152,0)</f>
        <v>12.580707278947012</v>
      </c>
      <c r="D77" s="14">
        <f>VLOOKUP($E$5,Data!$A$1:$GH$18,153,0)</f>
        <v>8.259022083906876</v>
      </c>
      <c r="E77" s="14">
        <f>VLOOKUP($E$5,Data!$A$1:$GH$18,154,0)</f>
        <v>6.0897592686201287</v>
      </c>
      <c r="F77" s="14">
        <f t="shared" si="4"/>
        <v>-2.1692628152867472</v>
      </c>
      <c r="G77" s="14">
        <f>VLOOKUP("London",Data!$A$1:$GH$18,154,0)</f>
        <v>7.5399977590242599</v>
      </c>
      <c r="I77" s="10" t="s">
        <v>168</v>
      </c>
      <c r="J77" s="1" t="s">
        <v>135</v>
      </c>
      <c r="M77" s="1">
        <v>109</v>
      </c>
      <c r="N77" s="1">
        <v>110</v>
      </c>
    </row>
    <row r="78" spans="1:14">
      <c r="B78" s="1" t="s">
        <v>152</v>
      </c>
      <c r="C78" s="18">
        <f>VLOOKUP($E$5,Data!$A$1:$GH$18,156,0)</f>
        <v>9.5047688090437461</v>
      </c>
      <c r="D78" s="18">
        <f>VLOOKUP($E$5,Data!$A$1:$GH$18,157,0)</f>
        <v>10.715183434077444</v>
      </c>
      <c r="E78" s="18">
        <f>VLOOKUP($E$5,Data!$A$1:$GH$18,158,0)</f>
        <v>9.2379104364037588</v>
      </c>
      <c r="F78" s="18">
        <f t="shared" si="4"/>
        <v>-1.4772729976736851</v>
      </c>
      <c r="G78" s="18">
        <f>VLOOKUP("London",Data!$A$1:$GH$18,158,0)</f>
        <v>9.1182684573423334</v>
      </c>
      <c r="I78" s="3" t="s">
        <v>168</v>
      </c>
    </row>
    <row r="79" spans="1:14">
      <c r="B79" s="10" t="s">
        <v>153</v>
      </c>
      <c r="C79" s="14">
        <f>VLOOKUP($E$5,Data!$A$1:$GH$18,160,0)</f>
        <v>2.0830973471375818</v>
      </c>
      <c r="D79" s="14">
        <f>VLOOKUP($E$5,Data!$A$1:$GH$18,161,0)</f>
        <v>4.3874558621102402</v>
      </c>
      <c r="E79" s="14">
        <f>VLOOKUP($E$5,Data!$A$1:$GH$18,162,0)</f>
        <v>4.9227909403688423</v>
      </c>
      <c r="F79" s="14">
        <f t="shared" si="4"/>
        <v>0.53533507825860216</v>
      </c>
      <c r="G79" s="14">
        <f>VLOOKUP("London",Data!$A$1:$GH$18,162,0)</f>
        <v>7.6796929478187641</v>
      </c>
      <c r="I79" s="10" t="s">
        <v>168</v>
      </c>
    </row>
    <row r="80" spans="1:14">
      <c r="B80" s="1" t="s">
        <v>90</v>
      </c>
      <c r="C80" s="18">
        <f>VLOOKUP($E$5,Data!$A$1:$GH$18,164,0)</f>
        <v>4.6815885457964228</v>
      </c>
      <c r="D80" s="18">
        <f>VLOOKUP($E$5,Data!$A$1:$GH$18,165,0)</f>
        <v>0</v>
      </c>
      <c r="E80" s="18">
        <f>VLOOKUP($E$5,Data!$A$1:$GH$18,166,0)</f>
        <v>0</v>
      </c>
      <c r="F80" s="18">
        <f t="shared" si="4"/>
        <v>0</v>
      </c>
      <c r="G80" s="18">
        <f>VLOOKUP("London",Data!$A$1:$GH$18,166,0)</f>
        <v>0.53964390048373512</v>
      </c>
      <c r="I80" s="3" t="s">
        <v>168</v>
      </c>
      <c r="J80" s="1" t="s">
        <v>135</v>
      </c>
      <c r="M80" s="1">
        <v>111</v>
      </c>
      <c r="N80" s="1">
        <v>112</v>
      </c>
    </row>
    <row r="81" spans="1:14" ht="7.5" customHeight="1">
      <c r="G81" s="3"/>
      <c r="I81" s="3"/>
    </row>
    <row r="82" spans="1:14">
      <c r="A82" s="9" t="s">
        <v>125</v>
      </c>
      <c r="B82" s="9"/>
      <c r="C82" s="9"/>
      <c r="D82" s="9"/>
      <c r="E82" s="9"/>
      <c r="F82" s="9"/>
      <c r="G82" s="9"/>
      <c r="I82" s="9"/>
      <c r="J82" s="1" t="s">
        <v>135</v>
      </c>
    </row>
    <row r="83" spans="1:14">
      <c r="B83" s="10" t="s">
        <v>92</v>
      </c>
      <c r="C83" s="14">
        <f>VLOOKUP($E$5,Data!$A$1:$GH$18,168,0)</f>
        <v>38.380034828233484</v>
      </c>
      <c r="D83" s="14">
        <f>VLOOKUP($E$5,Data!$A$1:$GH$18,169,0)</f>
        <v>36.262786942870591</v>
      </c>
      <c r="E83" s="14">
        <f>VLOOKUP($E$5,Data!$A$1:$GH$18,170,0)</f>
        <v>35.778674940365249</v>
      </c>
      <c r="F83" s="14">
        <f t="shared" ref="F83:F88" si="5">E83-D83</f>
        <v>-0.48411200250534137</v>
      </c>
      <c r="G83" s="14">
        <f>VLOOKUP("London",Data!$A$1:$GH$18,170,0)</f>
        <v>29.21730367216735</v>
      </c>
      <c r="I83" s="10" t="s">
        <v>168</v>
      </c>
      <c r="J83" s="1" t="s">
        <v>135</v>
      </c>
      <c r="M83" s="1">
        <v>113</v>
      </c>
      <c r="N83" s="1">
        <v>114</v>
      </c>
    </row>
    <row r="84" spans="1:14">
      <c r="B84" s="1" t="s">
        <v>93</v>
      </c>
      <c r="C84" s="18">
        <f>VLOOKUP($E$5,Data!$A$1:$GH$18,172,0)</f>
        <v>27.30793586177262</v>
      </c>
      <c r="D84" s="18">
        <f>VLOOKUP($E$5,Data!$A$1:$GH$18,173,0)</f>
        <v>37.944080025261101</v>
      </c>
      <c r="E84" s="18">
        <f>VLOOKUP($E$5,Data!$A$1:$GH$18,174,0)</f>
        <v>36.724136994191383</v>
      </c>
      <c r="F84" s="18">
        <f t="shared" si="5"/>
        <v>-1.2199430310697181</v>
      </c>
      <c r="G84" s="18">
        <f>VLOOKUP("London",Data!$A$1:$GH$18,174,0)</f>
        <v>40.326133664872863</v>
      </c>
      <c r="I84" s="3" t="s">
        <v>168</v>
      </c>
      <c r="J84" s="1" t="s">
        <v>135</v>
      </c>
      <c r="M84" s="1">
        <v>115</v>
      </c>
      <c r="N84" s="1">
        <v>116</v>
      </c>
    </row>
    <row r="85" spans="1:14">
      <c r="B85" s="10" t="s">
        <v>94</v>
      </c>
      <c r="C85" s="14">
        <f>VLOOKUP($E$5,Data!$A$1:$GH$18,176,0)</f>
        <v>11.299952506954339</v>
      </c>
      <c r="D85" s="14">
        <f>VLOOKUP($E$5,Data!$A$1:$GH$18,177,0)</f>
        <v>6.7061073477631421</v>
      </c>
      <c r="E85" s="14">
        <f>VLOOKUP($E$5,Data!$A$1:$GH$18,178,0)</f>
        <v>5.7097214147155189</v>
      </c>
      <c r="F85" s="14">
        <f t="shared" si="5"/>
        <v>-0.99638593304762324</v>
      </c>
      <c r="G85" s="14">
        <f>VLOOKUP("London",Data!$A$1:$GH$18,178,0)</f>
        <v>6.3302947306929456</v>
      </c>
      <c r="I85" s="10" t="s">
        <v>168</v>
      </c>
      <c r="J85" s="1" t="s">
        <v>135</v>
      </c>
      <c r="M85" s="1">
        <v>117</v>
      </c>
      <c r="N85" s="1">
        <v>118</v>
      </c>
    </row>
    <row r="86" spans="1:14">
      <c r="B86" s="1" t="s">
        <v>152</v>
      </c>
      <c r="C86" s="18">
        <f>VLOOKUP($E$5,Data!$A$1:$GH$18,180,0)</f>
        <v>10.208743243548861</v>
      </c>
      <c r="D86" s="18">
        <f>VLOOKUP($E$5,Data!$A$1:$GH$18,181,0)</f>
        <v>10.030563548946361</v>
      </c>
      <c r="E86" s="18">
        <f>VLOOKUP($E$5,Data!$A$1:$GH$18,182,0)</f>
        <v>8.4537348467971114</v>
      </c>
      <c r="F86" s="18">
        <f t="shared" si="5"/>
        <v>-1.5768287021492498</v>
      </c>
      <c r="G86" s="18">
        <f>VLOOKUP("London",Data!$A$1:$GH$18,182,0)</f>
        <v>7.9504877515410923</v>
      </c>
      <c r="I86" s="3" t="s">
        <v>168</v>
      </c>
    </row>
    <row r="87" spans="1:14">
      <c r="B87" s="10" t="s">
        <v>153</v>
      </c>
      <c r="C87" s="14">
        <f>VLOOKUP($E$5,Data!$A$1:$GH$18,184,0)</f>
        <v>1.2913585272632697</v>
      </c>
      <c r="D87" s="14">
        <f>VLOOKUP($E$5,Data!$A$1:$GH$18,185,0)</f>
        <v>3.8523178847402697</v>
      </c>
      <c r="E87" s="14">
        <f>VLOOKUP($E$5,Data!$A$1:$GH$18,186,0)</f>
        <v>4.4040057162418424</v>
      </c>
      <c r="F87" s="14">
        <f t="shared" si="5"/>
        <v>0.55168783150157275</v>
      </c>
      <c r="G87" s="14">
        <f>VLOOKUP("London",Data!$A$1:$GH$18,186,0)</f>
        <v>6.5401448803292155</v>
      </c>
      <c r="I87" s="10" t="s">
        <v>168</v>
      </c>
    </row>
    <row r="88" spans="1:14">
      <c r="B88" s="1" t="s">
        <v>95</v>
      </c>
      <c r="C88" s="18">
        <f>VLOOKUP($E$5,Data!$A$1:$GH$18,188,0)</f>
        <v>11.511975032227426</v>
      </c>
      <c r="D88" s="18">
        <f>VLOOKUP($E$5,Data!$A$1:$GH$18,189,0)</f>
        <v>5.2041442504185405</v>
      </c>
      <c r="E88" s="18">
        <f>VLOOKUP($E$5,Data!$A$1:$GH$18,190,0)</f>
        <v>8.9297260876888878</v>
      </c>
      <c r="F88" s="18">
        <f t="shared" si="5"/>
        <v>3.7255818372703473</v>
      </c>
      <c r="G88" s="18">
        <f>VLOOKUP("London",Data!$A$1:$GH$18,190,0)</f>
        <v>9.6356353003965332</v>
      </c>
      <c r="I88" s="3" t="s">
        <v>168</v>
      </c>
      <c r="J88" s="1" t="s">
        <v>135</v>
      </c>
      <c r="M88" s="1">
        <v>119</v>
      </c>
      <c r="N88" s="1">
        <v>120</v>
      </c>
    </row>
    <row r="89" spans="1:14" ht="5.25" customHeight="1">
      <c r="J89" s="1" t="s">
        <v>135</v>
      </c>
    </row>
    <row r="90" spans="1:14"/>
    <row r="91" spans="1:14"/>
    <row r="92" spans="1:14"/>
    <row r="93" spans="1:14"/>
    <row r="94" spans="1:14"/>
    <row r="95" spans="1:14"/>
    <row r="96" spans="1:14"/>
    <row r="97"/>
    <row r="98"/>
    <row r="99"/>
    <row r="100"/>
    <row r="101" hidden="1"/>
    <row r="102" hidden="1"/>
    <row r="103" hidden="1"/>
    <row r="104" hidden="1"/>
    <row r="105" hidden="1"/>
    <row r="106" hidden="1"/>
    <row r="107" hidden="1"/>
    <row r="108" hidden="1"/>
    <row r="109" hidden="1"/>
    <row r="110" hidden="1"/>
    <row r="111"/>
    <row r="112"/>
    <row r="113"/>
    <row r="114"/>
  </sheetData>
  <mergeCells count="1">
    <mergeCell ref="E5:G5"/>
  </mergeCells>
  <phoneticPr fontId="0" type="noConversion"/>
  <dataValidations count="1">
    <dataValidation type="list" allowBlank="1" showErrorMessage="1" sqref="E5:G5">
      <formula1>Constituencies</formula1>
    </dataValidation>
  </dataValidations>
  <hyperlinks>
    <hyperlink ref="I5" r:id="rId1"/>
  </hyperlinks>
  <printOptions horizontalCentered="1" verticalCentered="1"/>
  <pageMargins left="0.51181102362204722" right="0.51181102362204722" top="0.55118110236220474" bottom="0.35433070866141736" header="0.31496062992125984" footer="0.31496062992125984"/>
  <pageSetup paperSize="9" scale="38" orientation="portrait" r:id="rId2"/>
  <drawing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6"/>
  <sheetViews>
    <sheetView workbookViewId="0">
      <selection activeCell="G2" sqref="G2:G15"/>
    </sheetView>
  </sheetViews>
  <sheetFormatPr defaultRowHeight="15"/>
  <cols>
    <col min="1" max="1" width="22.5703125" bestFit="1" customWidth="1"/>
    <col min="3" max="3" width="22.5703125" bestFit="1" customWidth="1"/>
  </cols>
  <sheetData>
    <row r="2" spans="1:7">
      <c r="A2" t="s">
        <v>0</v>
      </c>
      <c r="B2" t="e">
        <f>#REF!</f>
        <v>#REF!</v>
      </c>
      <c r="C2" t="s">
        <v>0</v>
      </c>
      <c r="D2">
        <v>1</v>
      </c>
      <c r="E2" t="e">
        <f>LARGE(B$2:B$15,D2)</f>
        <v>#REF!</v>
      </c>
      <c r="F2" t="e">
        <f>VLOOKUP(E2,B$2:C$15,2,FALSE)</f>
        <v>#REF!</v>
      </c>
      <c r="G2" t="e">
        <f>E2</f>
        <v>#REF!</v>
      </c>
    </row>
    <row r="3" spans="1:7">
      <c r="A3" t="s">
        <v>1</v>
      </c>
      <c r="B3" t="e">
        <f>#REF!</f>
        <v>#REF!</v>
      </c>
      <c r="C3" t="s">
        <v>1</v>
      </c>
      <c r="D3">
        <v>2</v>
      </c>
      <c r="E3" t="e">
        <f t="shared" ref="E3:E14" si="0">LARGE(B$2:B$15,D3)</f>
        <v>#REF!</v>
      </c>
      <c r="F3" t="e">
        <f t="shared" ref="F3:F15" si="1">VLOOKUP(E3,B$2:C$15,2,FALSE)</f>
        <v>#REF!</v>
      </c>
      <c r="G3" t="e">
        <f t="shared" ref="G3:G15" si="2">E3</f>
        <v>#REF!</v>
      </c>
    </row>
    <row r="4" spans="1:7">
      <c r="A4" t="s">
        <v>2</v>
      </c>
      <c r="B4" t="e">
        <f>#REF!</f>
        <v>#REF!</v>
      </c>
      <c r="C4" t="s">
        <v>2</v>
      </c>
      <c r="D4">
        <v>3</v>
      </c>
      <c r="E4" t="e">
        <f t="shared" si="0"/>
        <v>#REF!</v>
      </c>
      <c r="F4" t="e">
        <f t="shared" si="1"/>
        <v>#REF!</v>
      </c>
      <c r="G4" t="e">
        <f t="shared" si="2"/>
        <v>#REF!</v>
      </c>
    </row>
    <row r="5" spans="1:7">
      <c r="A5" t="s">
        <v>3</v>
      </c>
      <c r="B5" t="e">
        <f>#REF!</f>
        <v>#REF!</v>
      </c>
      <c r="C5" t="s">
        <v>3</v>
      </c>
      <c r="D5">
        <v>4</v>
      </c>
      <c r="E5" t="e">
        <f t="shared" si="0"/>
        <v>#REF!</v>
      </c>
      <c r="F5" t="e">
        <f t="shared" si="1"/>
        <v>#REF!</v>
      </c>
      <c r="G5" t="e">
        <f t="shared" si="2"/>
        <v>#REF!</v>
      </c>
    </row>
    <row r="6" spans="1:7">
      <c r="A6" t="s">
        <v>4</v>
      </c>
      <c r="B6" t="e">
        <f>#REF!</f>
        <v>#REF!</v>
      </c>
      <c r="C6" t="s">
        <v>4</v>
      </c>
      <c r="D6">
        <v>5</v>
      </c>
      <c r="E6" t="e">
        <f t="shared" si="0"/>
        <v>#REF!</v>
      </c>
      <c r="F6" t="e">
        <f t="shared" si="1"/>
        <v>#REF!</v>
      </c>
      <c r="G6" t="e">
        <f t="shared" si="2"/>
        <v>#REF!</v>
      </c>
    </row>
    <row r="7" spans="1:7">
      <c r="A7" t="s">
        <v>5</v>
      </c>
      <c r="B7" t="e">
        <f>#REF!</f>
        <v>#REF!</v>
      </c>
      <c r="C7" t="s">
        <v>5</v>
      </c>
      <c r="D7">
        <v>6</v>
      </c>
      <c r="E7" t="e">
        <f t="shared" si="0"/>
        <v>#REF!</v>
      </c>
      <c r="F7" t="e">
        <f t="shared" si="1"/>
        <v>#REF!</v>
      </c>
      <c r="G7" t="e">
        <f t="shared" si="2"/>
        <v>#REF!</v>
      </c>
    </row>
    <row r="8" spans="1:7">
      <c r="A8" t="s">
        <v>6</v>
      </c>
      <c r="B8" t="e">
        <f>#REF!</f>
        <v>#REF!</v>
      </c>
      <c r="C8" t="s">
        <v>6</v>
      </c>
      <c r="D8">
        <v>7</v>
      </c>
      <c r="E8" t="e">
        <f t="shared" si="0"/>
        <v>#REF!</v>
      </c>
      <c r="F8" t="e">
        <f t="shared" si="1"/>
        <v>#REF!</v>
      </c>
      <c r="G8" t="e">
        <f t="shared" si="2"/>
        <v>#REF!</v>
      </c>
    </row>
    <row r="9" spans="1:7">
      <c r="A9" t="s">
        <v>7</v>
      </c>
      <c r="B9" t="e">
        <f>#REF!</f>
        <v>#REF!</v>
      </c>
      <c r="C9" t="s">
        <v>7</v>
      </c>
      <c r="D9">
        <v>8</v>
      </c>
      <c r="E9" t="e">
        <f t="shared" si="0"/>
        <v>#REF!</v>
      </c>
      <c r="F9" t="e">
        <f t="shared" si="1"/>
        <v>#REF!</v>
      </c>
      <c r="G9" t="e">
        <f t="shared" si="2"/>
        <v>#REF!</v>
      </c>
    </row>
    <row r="10" spans="1:7">
      <c r="A10" t="s">
        <v>8</v>
      </c>
      <c r="B10" t="e">
        <f>#REF!</f>
        <v>#REF!</v>
      </c>
      <c r="C10" t="s">
        <v>8</v>
      </c>
      <c r="D10">
        <v>9</v>
      </c>
      <c r="E10" t="e">
        <f t="shared" si="0"/>
        <v>#REF!</v>
      </c>
      <c r="F10" t="e">
        <f t="shared" si="1"/>
        <v>#REF!</v>
      </c>
      <c r="G10" t="e">
        <f t="shared" si="2"/>
        <v>#REF!</v>
      </c>
    </row>
    <row r="11" spans="1:7">
      <c r="A11" t="s">
        <v>9</v>
      </c>
      <c r="B11" t="e">
        <f>#REF!</f>
        <v>#REF!</v>
      </c>
      <c r="C11" t="s">
        <v>9</v>
      </c>
      <c r="D11">
        <v>10</v>
      </c>
      <c r="E11" t="e">
        <f t="shared" si="0"/>
        <v>#REF!</v>
      </c>
      <c r="F11" t="e">
        <f t="shared" si="1"/>
        <v>#REF!</v>
      </c>
      <c r="G11" t="e">
        <f t="shared" si="2"/>
        <v>#REF!</v>
      </c>
    </row>
    <row r="12" spans="1:7">
      <c r="A12" t="s">
        <v>10</v>
      </c>
      <c r="B12" t="e">
        <f>#REF!</f>
        <v>#REF!</v>
      </c>
      <c r="C12" t="s">
        <v>10</v>
      </c>
      <c r="D12">
        <v>11</v>
      </c>
      <c r="E12" t="e">
        <f t="shared" si="0"/>
        <v>#REF!</v>
      </c>
      <c r="F12" t="e">
        <f t="shared" si="1"/>
        <v>#REF!</v>
      </c>
      <c r="G12" t="e">
        <f t="shared" si="2"/>
        <v>#REF!</v>
      </c>
    </row>
    <row r="13" spans="1:7">
      <c r="A13" t="s">
        <v>11</v>
      </c>
      <c r="B13" t="e">
        <f>#REF!</f>
        <v>#REF!</v>
      </c>
      <c r="C13" t="s">
        <v>11</v>
      </c>
      <c r="D13">
        <v>12</v>
      </c>
      <c r="E13" t="e">
        <f t="shared" si="0"/>
        <v>#REF!</v>
      </c>
      <c r="F13" t="e">
        <f t="shared" si="1"/>
        <v>#REF!</v>
      </c>
      <c r="G13" t="e">
        <f t="shared" si="2"/>
        <v>#REF!</v>
      </c>
    </row>
    <row r="14" spans="1:7">
      <c r="A14" t="s">
        <v>12</v>
      </c>
      <c r="B14" t="e">
        <f>#REF!</f>
        <v>#REF!</v>
      </c>
      <c r="C14" t="s">
        <v>12</v>
      </c>
      <c r="D14">
        <v>13</v>
      </c>
      <c r="E14" t="e">
        <f t="shared" si="0"/>
        <v>#REF!</v>
      </c>
      <c r="F14" t="e">
        <f t="shared" si="1"/>
        <v>#REF!</v>
      </c>
      <c r="G14" t="e">
        <f t="shared" si="2"/>
        <v>#REF!</v>
      </c>
    </row>
    <row r="15" spans="1:7">
      <c r="A15" t="s">
        <v>13</v>
      </c>
      <c r="B15" t="e">
        <f>#REF!</f>
        <v>#REF!</v>
      </c>
      <c r="C15" t="s">
        <v>13</v>
      </c>
      <c r="D15">
        <v>14</v>
      </c>
      <c r="E15" t="e">
        <f>LARGE(B$2:B$15,D15)</f>
        <v>#REF!</v>
      </c>
      <c r="F15" t="e">
        <f t="shared" si="1"/>
        <v>#REF!</v>
      </c>
      <c r="G15" t="e">
        <f t="shared" si="2"/>
        <v>#REF!</v>
      </c>
    </row>
    <row r="16" spans="1:7">
      <c r="A16" t="s">
        <v>14</v>
      </c>
      <c r="B16" t="e">
        <f>#REF!</f>
        <v>#REF!</v>
      </c>
      <c r="C16" t="s">
        <v>14</v>
      </c>
    </row>
  </sheetData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H18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EE7" sqref="EE7"/>
    </sheetView>
  </sheetViews>
  <sheetFormatPr defaultRowHeight="15"/>
  <cols>
    <col min="1" max="1" width="25.140625" bestFit="1" customWidth="1"/>
    <col min="2" max="8" width="13.28515625" bestFit="1" customWidth="1"/>
    <col min="12" max="14" width="11.5703125" bestFit="1" customWidth="1"/>
    <col min="16" max="16" width="10.7109375" customWidth="1"/>
    <col min="22" max="22" width="11.5703125" bestFit="1" customWidth="1"/>
    <col min="25" max="25" width="11.28515625" customWidth="1"/>
    <col min="26" max="26" width="11.42578125" customWidth="1"/>
    <col min="27" max="27" width="14.28515625" bestFit="1" customWidth="1"/>
    <col min="28" max="29" width="11" customWidth="1"/>
    <col min="36" max="38" width="13.28515625" bestFit="1" customWidth="1"/>
    <col min="39" max="41" width="11.5703125" bestFit="1" customWidth="1"/>
    <col min="93" max="94" width="11.28515625" customWidth="1"/>
    <col min="136" max="138" width="13.28515625" bestFit="1" customWidth="1"/>
  </cols>
  <sheetData>
    <row r="1" spans="1:190">
      <c r="B1" t="s">
        <v>51</v>
      </c>
      <c r="C1" t="s">
        <v>51</v>
      </c>
      <c r="D1" t="s">
        <v>51</v>
      </c>
      <c r="E1" t="s">
        <v>51</v>
      </c>
      <c r="F1" t="s">
        <v>52</v>
      </c>
      <c r="G1" t="s">
        <v>52</v>
      </c>
      <c r="H1" t="s">
        <v>52</v>
      </c>
      <c r="I1" t="s">
        <v>52</v>
      </c>
      <c r="J1" t="s">
        <v>52</v>
      </c>
      <c r="K1" t="s">
        <v>52</v>
      </c>
      <c r="L1" t="s">
        <v>53</v>
      </c>
      <c r="M1" t="s">
        <v>53</v>
      </c>
      <c r="N1" t="s">
        <v>53</v>
      </c>
      <c r="O1" t="s">
        <v>53</v>
      </c>
      <c r="P1" t="s">
        <v>53</v>
      </c>
      <c r="Q1" t="s">
        <v>53</v>
      </c>
      <c r="R1" t="s">
        <v>55</v>
      </c>
      <c r="S1" t="s">
        <v>55</v>
      </c>
      <c r="T1" t="s">
        <v>55</v>
      </c>
      <c r="U1" t="s">
        <v>55</v>
      </c>
      <c r="V1" t="s">
        <v>50</v>
      </c>
      <c r="W1" t="s">
        <v>54</v>
      </c>
      <c r="X1" t="s">
        <v>54</v>
      </c>
      <c r="Y1" t="s">
        <v>54</v>
      </c>
      <c r="Z1" t="s">
        <v>59</v>
      </c>
      <c r="AA1" t="s">
        <v>59</v>
      </c>
      <c r="AB1" t="s">
        <v>57</v>
      </c>
      <c r="AC1" t="s">
        <v>57</v>
      </c>
      <c r="AD1" t="s">
        <v>56</v>
      </c>
      <c r="AE1" t="s">
        <v>56</v>
      </c>
      <c r="AF1" t="s">
        <v>149</v>
      </c>
      <c r="AG1" t="s">
        <v>149</v>
      </c>
      <c r="AH1" t="s">
        <v>150</v>
      </c>
      <c r="AI1" t="s">
        <v>150</v>
      </c>
      <c r="AJ1" t="s">
        <v>60</v>
      </c>
      <c r="AK1" t="s">
        <v>60</v>
      </c>
      <c r="AL1" t="s">
        <v>60</v>
      </c>
      <c r="AM1" t="s">
        <v>79</v>
      </c>
      <c r="AN1" t="s">
        <v>79</v>
      </c>
      <c r="AO1" t="s">
        <v>79</v>
      </c>
      <c r="AP1" t="s">
        <v>151</v>
      </c>
      <c r="AQ1" t="s">
        <v>151</v>
      </c>
      <c r="AR1" t="s">
        <v>151</v>
      </c>
      <c r="AS1" t="s">
        <v>16</v>
      </c>
      <c r="AT1" t="s">
        <v>16</v>
      </c>
      <c r="AU1" t="s">
        <v>16</v>
      </c>
      <c r="AV1" t="s">
        <v>19</v>
      </c>
      <c r="AW1" t="s">
        <v>19</v>
      </c>
      <c r="AX1" t="s">
        <v>19</v>
      </c>
      <c r="AY1" t="s">
        <v>20</v>
      </c>
      <c r="AZ1" t="s">
        <v>20</v>
      </c>
      <c r="BA1" t="s">
        <v>20</v>
      </c>
      <c r="BB1" t="s">
        <v>21</v>
      </c>
      <c r="BC1" t="s">
        <v>21</v>
      </c>
      <c r="BD1" t="s">
        <v>21</v>
      </c>
      <c r="BE1" t="s">
        <v>26</v>
      </c>
      <c r="BF1" t="s">
        <v>26</v>
      </c>
      <c r="BG1" t="s">
        <v>26</v>
      </c>
      <c r="BH1" t="s">
        <v>27</v>
      </c>
      <c r="BI1" t="s">
        <v>27</v>
      </c>
      <c r="BJ1" t="s">
        <v>27</v>
      </c>
      <c r="BK1" t="s">
        <v>137</v>
      </c>
      <c r="BL1" t="s">
        <v>137</v>
      </c>
      <c r="BM1" t="s">
        <v>137</v>
      </c>
      <c r="BN1" t="s">
        <v>43</v>
      </c>
      <c r="BO1" t="s">
        <v>43</v>
      </c>
      <c r="BP1" t="s">
        <v>43</v>
      </c>
      <c r="BQ1" t="s">
        <v>44</v>
      </c>
      <c r="BR1" t="s">
        <v>44</v>
      </c>
      <c r="BS1" t="s">
        <v>44</v>
      </c>
      <c r="BT1" t="s">
        <v>61</v>
      </c>
      <c r="BU1" t="s">
        <v>61</v>
      </c>
      <c r="BV1" t="s">
        <v>61</v>
      </c>
      <c r="BW1" t="s">
        <v>71</v>
      </c>
      <c r="BX1" t="s">
        <v>71</v>
      </c>
      <c r="BY1" t="s">
        <v>71</v>
      </c>
      <c r="BZ1" t="s">
        <v>70</v>
      </c>
      <c r="CA1" t="s">
        <v>73</v>
      </c>
      <c r="CB1" t="s">
        <v>73</v>
      </c>
      <c r="CC1" t="s">
        <v>73</v>
      </c>
      <c r="CD1" t="s">
        <v>75</v>
      </c>
      <c r="CE1" t="s">
        <v>75</v>
      </c>
      <c r="CF1" t="s">
        <v>75</v>
      </c>
      <c r="CG1" t="s">
        <v>74</v>
      </c>
      <c r="CH1" t="s">
        <v>74</v>
      </c>
      <c r="CI1" t="s">
        <v>74</v>
      </c>
      <c r="CJ1" t="s">
        <v>72</v>
      </c>
      <c r="CK1" t="s">
        <v>72</v>
      </c>
      <c r="CL1" t="s">
        <v>72</v>
      </c>
      <c r="CM1" t="s">
        <v>48</v>
      </c>
      <c r="CN1" t="s">
        <v>48</v>
      </c>
      <c r="CO1" t="s">
        <v>48</v>
      </c>
      <c r="CP1" t="s">
        <v>49</v>
      </c>
      <c r="CQ1" t="s">
        <v>49</v>
      </c>
      <c r="CR1" t="s">
        <v>49</v>
      </c>
      <c r="CS1" t="s">
        <v>22</v>
      </c>
      <c r="CT1" t="s">
        <v>22</v>
      </c>
      <c r="CU1" t="s">
        <v>22</v>
      </c>
      <c r="CV1" t="s">
        <v>23</v>
      </c>
      <c r="CW1" t="s">
        <v>23</v>
      </c>
      <c r="CX1" t="s">
        <v>23</v>
      </c>
      <c r="CY1" t="s">
        <v>24</v>
      </c>
      <c r="CZ1" t="s">
        <v>24</v>
      </c>
      <c r="DA1" t="s">
        <v>24</v>
      </c>
      <c r="DB1" t="s">
        <v>25</v>
      </c>
      <c r="DC1" t="s">
        <v>25</v>
      </c>
      <c r="DD1" t="s">
        <v>25</v>
      </c>
      <c r="DE1" t="s">
        <v>78</v>
      </c>
      <c r="DF1" t="s">
        <v>78</v>
      </c>
      <c r="DG1" t="s">
        <v>78</v>
      </c>
      <c r="DH1" t="s">
        <v>80</v>
      </c>
      <c r="DI1" t="s">
        <v>80</v>
      </c>
      <c r="DJ1" t="s">
        <v>80</v>
      </c>
      <c r="DK1" t="s">
        <v>81</v>
      </c>
      <c r="DL1" t="s">
        <v>81</v>
      </c>
      <c r="DM1" t="s">
        <v>81</v>
      </c>
      <c r="DN1" t="s">
        <v>82</v>
      </c>
      <c r="DO1" t="s">
        <v>82</v>
      </c>
      <c r="DP1" t="s">
        <v>82</v>
      </c>
      <c r="DQ1" t="s">
        <v>83</v>
      </c>
      <c r="DR1" t="s">
        <v>83</v>
      </c>
      <c r="DS1" t="s">
        <v>83</v>
      </c>
      <c r="DT1" t="s">
        <v>84</v>
      </c>
      <c r="DU1" t="s">
        <v>84</v>
      </c>
      <c r="DV1" t="s">
        <v>84</v>
      </c>
      <c r="DW1" t="s">
        <v>85</v>
      </c>
      <c r="DX1" t="s">
        <v>85</v>
      </c>
      <c r="DY1" t="s">
        <v>85</v>
      </c>
      <c r="DZ1" t="s">
        <v>86</v>
      </c>
      <c r="EA1" t="s">
        <v>86</v>
      </c>
      <c r="EB1" t="s">
        <v>86</v>
      </c>
      <c r="EC1" t="s">
        <v>87</v>
      </c>
      <c r="ED1" t="s">
        <v>87</v>
      </c>
      <c r="EE1" t="s">
        <v>87</v>
      </c>
      <c r="EF1" t="s">
        <v>58</v>
      </c>
      <c r="EG1" t="s">
        <v>58</v>
      </c>
      <c r="EH1" t="s">
        <v>58</v>
      </c>
      <c r="EI1" t="s">
        <v>126</v>
      </c>
      <c r="EJ1" t="s">
        <v>126</v>
      </c>
      <c r="EK1" t="s">
        <v>126</v>
      </c>
      <c r="EL1" t="s">
        <v>126</v>
      </c>
      <c r="EM1" t="s">
        <v>88</v>
      </c>
      <c r="EN1" t="s">
        <v>88</v>
      </c>
      <c r="EO1" t="s">
        <v>88</v>
      </c>
      <c r="EP1" t="s">
        <v>88</v>
      </c>
      <c r="EQ1" t="s">
        <v>91</v>
      </c>
      <c r="ER1" t="s">
        <v>91</v>
      </c>
      <c r="ES1" t="s">
        <v>91</v>
      </c>
      <c r="ET1" t="s">
        <v>91</v>
      </c>
      <c r="EU1" t="s">
        <v>89</v>
      </c>
      <c r="EV1" t="s">
        <v>89</v>
      </c>
      <c r="EW1" t="s">
        <v>89</v>
      </c>
      <c r="EX1" t="s">
        <v>89</v>
      </c>
      <c r="EY1" t="s">
        <v>139</v>
      </c>
      <c r="EZ1" t="s">
        <v>139</v>
      </c>
      <c r="FA1" t="s">
        <v>139</v>
      </c>
      <c r="FB1" t="s">
        <v>139</v>
      </c>
      <c r="FC1" t="s">
        <v>140</v>
      </c>
      <c r="FD1" t="s">
        <v>140</v>
      </c>
      <c r="FE1" t="s">
        <v>140</v>
      </c>
      <c r="FF1" t="s">
        <v>140</v>
      </c>
      <c r="FG1" t="s">
        <v>90</v>
      </c>
      <c r="FH1" t="s">
        <v>90</v>
      </c>
      <c r="FI1" t="s">
        <v>90</v>
      </c>
      <c r="FJ1" t="s">
        <v>90</v>
      </c>
      <c r="FK1" t="s">
        <v>92</v>
      </c>
      <c r="FL1" t="s">
        <v>92</v>
      </c>
      <c r="FM1" t="s">
        <v>92</v>
      </c>
      <c r="FN1" t="s">
        <v>92</v>
      </c>
      <c r="FO1" t="s">
        <v>93</v>
      </c>
      <c r="FP1" t="s">
        <v>93</v>
      </c>
      <c r="FQ1" t="s">
        <v>93</v>
      </c>
      <c r="FR1" t="s">
        <v>93</v>
      </c>
      <c r="FS1" t="s">
        <v>94</v>
      </c>
      <c r="FT1" t="s">
        <v>94</v>
      </c>
      <c r="FU1" t="s">
        <v>94</v>
      </c>
      <c r="FV1" t="s">
        <v>94</v>
      </c>
      <c r="FW1" t="s">
        <v>139</v>
      </c>
      <c r="FX1" t="s">
        <v>139</v>
      </c>
      <c r="FY1" t="s">
        <v>139</v>
      </c>
      <c r="FZ1" t="s">
        <v>139</v>
      </c>
      <c r="GA1" t="s">
        <v>140</v>
      </c>
      <c r="GB1" t="s">
        <v>140</v>
      </c>
      <c r="GC1" t="s">
        <v>140</v>
      </c>
      <c r="GD1" t="s">
        <v>140</v>
      </c>
      <c r="GE1" t="s">
        <v>95</v>
      </c>
      <c r="GF1" t="s">
        <v>95</v>
      </c>
      <c r="GG1" t="s">
        <v>95</v>
      </c>
      <c r="GH1" t="s">
        <v>95</v>
      </c>
    </row>
    <row r="2" spans="1:190">
      <c r="B2">
        <v>2008</v>
      </c>
      <c r="C2">
        <v>2012</v>
      </c>
      <c r="D2">
        <v>2016</v>
      </c>
      <c r="E2">
        <v>2031</v>
      </c>
      <c r="F2">
        <v>2008</v>
      </c>
      <c r="G2">
        <v>2012</v>
      </c>
      <c r="H2">
        <v>2016</v>
      </c>
      <c r="I2">
        <v>2008</v>
      </c>
      <c r="J2">
        <v>2012</v>
      </c>
      <c r="K2">
        <v>2016</v>
      </c>
      <c r="L2">
        <v>2008</v>
      </c>
      <c r="M2">
        <v>2012</v>
      </c>
      <c r="N2">
        <v>2016</v>
      </c>
      <c r="O2">
        <v>2008</v>
      </c>
      <c r="P2">
        <v>2012</v>
      </c>
      <c r="Q2">
        <v>2016</v>
      </c>
      <c r="R2">
        <v>2008</v>
      </c>
      <c r="S2">
        <v>2012</v>
      </c>
      <c r="T2">
        <v>2016</v>
      </c>
      <c r="U2">
        <v>2031</v>
      </c>
      <c r="V2">
        <v>2016</v>
      </c>
      <c r="W2">
        <v>2008</v>
      </c>
      <c r="X2">
        <v>2012</v>
      </c>
      <c r="Y2">
        <v>2016</v>
      </c>
      <c r="Z2">
        <v>2012</v>
      </c>
      <c r="AA2">
        <v>2016</v>
      </c>
      <c r="AB2">
        <v>2011</v>
      </c>
      <c r="AC2" t="s">
        <v>141</v>
      </c>
      <c r="AD2">
        <v>2011</v>
      </c>
      <c r="AE2" t="s">
        <v>141</v>
      </c>
      <c r="AF2">
        <v>2011</v>
      </c>
      <c r="AG2" t="s">
        <v>141</v>
      </c>
      <c r="AH2">
        <v>2011</v>
      </c>
      <c r="AI2" t="s">
        <v>141</v>
      </c>
      <c r="AJ2">
        <v>2006</v>
      </c>
      <c r="AK2">
        <v>2010</v>
      </c>
      <c r="AL2">
        <v>2014</v>
      </c>
      <c r="AM2">
        <v>2006</v>
      </c>
      <c r="AN2">
        <v>2010</v>
      </c>
      <c r="AO2">
        <v>2014</v>
      </c>
      <c r="AP2">
        <v>2005</v>
      </c>
      <c r="AQ2">
        <v>2009</v>
      </c>
      <c r="AR2">
        <v>2013</v>
      </c>
      <c r="AS2" t="s">
        <v>17</v>
      </c>
      <c r="AT2" t="s">
        <v>18</v>
      </c>
      <c r="AU2" t="s">
        <v>142</v>
      </c>
      <c r="AV2" t="s">
        <v>17</v>
      </c>
      <c r="AW2" t="s">
        <v>18</v>
      </c>
      <c r="AX2" t="s">
        <v>142</v>
      </c>
      <c r="AY2" t="s">
        <v>17</v>
      </c>
      <c r="AZ2" t="s">
        <v>18</v>
      </c>
      <c r="BA2" t="s">
        <v>142</v>
      </c>
      <c r="BB2" t="s">
        <v>17</v>
      </c>
      <c r="BC2" t="s">
        <v>18</v>
      </c>
      <c r="BD2" t="s">
        <v>142</v>
      </c>
      <c r="BE2">
        <v>2006</v>
      </c>
      <c r="BF2">
        <v>2010</v>
      </c>
      <c r="BG2">
        <v>2016</v>
      </c>
      <c r="BH2">
        <v>2006</v>
      </c>
      <c r="BI2">
        <v>2010</v>
      </c>
      <c r="BJ2">
        <v>2014</v>
      </c>
      <c r="BK2">
        <v>2006</v>
      </c>
      <c r="BL2">
        <v>2010</v>
      </c>
      <c r="BN2">
        <v>2006</v>
      </c>
      <c r="BO2">
        <v>2010</v>
      </c>
      <c r="BQ2">
        <v>2006</v>
      </c>
      <c r="BR2">
        <v>2010</v>
      </c>
      <c r="BT2">
        <v>2009</v>
      </c>
      <c r="BU2">
        <v>2012</v>
      </c>
      <c r="BV2">
        <v>2015</v>
      </c>
      <c r="BW2">
        <v>2007</v>
      </c>
      <c r="BX2">
        <v>2011</v>
      </c>
      <c r="BY2">
        <v>2015</v>
      </c>
      <c r="BZ2">
        <v>2008</v>
      </c>
      <c r="CA2">
        <v>2007</v>
      </c>
      <c r="CB2">
        <v>2011</v>
      </c>
      <c r="CC2">
        <v>2015</v>
      </c>
      <c r="CD2">
        <v>2007</v>
      </c>
      <c r="CE2">
        <v>2011</v>
      </c>
      <c r="CF2">
        <v>2015</v>
      </c>
      <c r="CG2">
        <v>2007</v>
      </c>
      <c r="CH2">
        <v>2011</v>
      </c>
      <c r="CI2">
        <v>2015</v>
      </c>
      <c r="CJ2">
        <v>2007</v>
      </c>
      <c r="CK2">
        <v>2010</v>
      </c>
      <c r="CL2">
        <v>2015</v>
      </c>
      <c r="CM2">
        <v>2007</v>
      </c>
      <c r="CN2">
        <v>2011</v>
      </c>
      <c r="CO2">
        <v>2015</v>
      </c>
      <c r="CP2">
        <v>2007</v>
      </c>
      <c r="CQ2">
        <v>2011</v>
      </c>
      <c r="CR2">
        <v>2015</v>
      </c>
      <c r="CS2">
        <v>2006</v>
      </c>
      <c r="CT2">
        <v>2010</v>
      </c>
      <c r="CU2">
        <v>2014</v>
      </c>
      <c r="CV2">
        <v>2006</v>
      </c>
      <c r="CW2">
        <v>2010</v>
      </c>
      <c r="CX2">
        <v>2014</v>
      </c>
      <c r="CY2">
        <v>2006</v>
      </c>
      <c r="CZ2">
        <v>2010</v>
      </c>
      <c r="DA2">
        <v>2014</v>
      </c>
      <c r="DB2">
        <v>2006</v>
      </c>
      <c r="DC2">
        <v>2010</v>
      </c>
      <c r="DD2">
        <v>2014</v>
      </c>
      <c r="DE2" t="s">
        <v>76</v>
      </c>
      <c r="DF2" t="s">
        <v>77</v>
      </c>
      <c r="DG2" t="s">
        <v>143</v>
      </c>
      <c r="DH2">
        <v>2007</v>
      </c>
      <c r="DI2">
        <v>2011</v>
      </c>
      <c r="DJ2">
        <v>2015</v>
      </c>
      <c r="DK2">
        <v>2007</v>
      </c>
      <c r="DL2">
        <v>2011</v>
      </c>
      <c r="DM2">
        <v>2015</v>
      </c>
      <c r="DN2">
        <v>2006</v>
      </c>
      <c r="DO2">
        <v>2009</v>
      </c>
      <c r="DP2">
        <v>2013</v>
      </c>
      <c r="DQ2">
        <v>2007</v>
      </c>
      <c r="DR2">
        <v>2010</v>
      </c>
      <c r="DS2">
        <v>2015</v>
      </c>
      <c r="DT2">
        <v>2007</v>
      </c>
      <c r="DU2">
        <v>2010</v>
      </c>
      <c r="DV2">
        <v>2015</v>
      </c>
      <c r="DW2">
        <v>2007</v>
      </c>
      <c r="DX2">
        <v>2010</v>
      </c>
      <c r="DY2">
        <v>2015</v>
      </c>
      <c r="DZ2">
        <v>2007</v>
      </c>
      <c r="EA2">
        <v>2010</v>
      </c>
      <c r="EB2">
        <v>2015</v>
      </c>
      <c r="EC2">
        <v>2007</v>
      </c>
      <c r="ED2">
        <v>2010</v>
      </c>
      <c r="EE2">
        <v>2015</v>
      </c>
      <c r="EF2">
        <v>2007</v>
      </c>
      <c r="EG2">
        <v>2011</v>
      </c>
      <c r="EH2" t="s">
        <v>144</v>
      </c>
      <c r="EI2">
        <v>2004</v>
      </c>
      <c r="EJ2">
        <v>2008</v>
      </c>
      <c r="EK2">
        <v>2012</v>
      </c>
      <c r="EL2">
        <v>2016</v>
      </c>
      <c r="EM2">
        <v>2004</v>
      </c>
      <c r="EN2">
        <v>2008</v>
      </c>
      <c r="EO2">
        <v>2012</v>
      </c>
      <c r="EP2">
        <v>2016</v>
      </c>
      <c r="EQ2">
        <v>2004</v>
      </c>
      <c r="ER2">
        <v>2008</v>
      </c>
      <c r="ES2">
        <v>2012</v>
      </c>
      <c r="ET2">
        <v>2016</v>
      </c>
      <c r="EU2">
        <v>2004</v>
      </c>
      <c r="EV2">
        <v>2008</v>
      </c>
      <c r="EW2">
        <v>2012</v>
      </c>
      <c r="EX2">
        <v>2016</v>
      </c>
      <c r="EY2">
        <v>2004</v>
      </c>
      <c r="EZ2">
        <v>2008</v>
      </c>
      <c r="FA2">
        <v>2012</v>
      </c>
      <c r="FB2">
        <v>2016</v>
      </c>
      <c r="FC2">
        <v>2004</v>
      </c>
      <c r="FD2">
        <v>2008</v>
      </c>
      <c r="FE2">
        <v>2012</v>
      </c>
      <c r="FF2">
        <v>2016</v>
      </c>
      <c r="FG2">
        <v>2004</v>
      </c>
      <c r="FH2">
        <v>2008</v>
      </c>
      <c r="FI2">
        <v>2012</v>
      </c>
      <c r="FJ2">
        <v>2016</v>
      </c>
      <c r="FK2">
        <v>2004</v>
      </c>
      <c r="FL2">
        <v>2008</v>
      </c>
      <c r="FM2">
        <v>2012</v>
      </c>
      <c r="FN2">
        <v>2016</v>
      </c>
      <c r="FO2">
        <v>2004</v>
      </c>
      <c r="FP2">
        <v>2008</v>
      </c>
      <c r="FQ2">
        <v>2012</v>
      </c>
      <c r="FR2">
        <v>2016</v>
      </c>
      <c r="FS2">
        <v>2004</v>
      </c>
      <c r="FT2">
        <v>2008</v>
      </c>
      <c r="FU2">
        <v>2012</v>
      </c>
      <c r="FV2">
        <v>2016</v>
      </c>
      <c r="FW2">
        <v>2004</v>
      </c>
      <c r="FX2">
        <v>2008</v>
      </c>
      <c r="FY2">
        <v>2012</v>
      </c>
      <c r="FZ2">
        <v>2016</v>
      </c>
      <c r="GA2">
        <v>2004</v>
      </c>
      <c r="GB2">
        <v>2008</v>
      </c>
      <c r="GC2">
        <v>2012</v>
      </c>
      <c r="GD2">
        <v>2016</v>
      </c>
      <c r="GE2">
        <v>2004</v>
      </c>
      <c r="GF2">
        <v>2008</v>
      </c>
      <c r="GG2">
        <v>2012</v>
      </c>
      <c r="GH2">
        <v>2016</v>
      </c>
    </row>
    <row r="3" spans="1:190">
      <c r="A3" t="s">
        <v>0</v>
      </c>
      <c r="B3">
        <v>536500</v>
      </c>
      <c r="C3">
        <v>588991.28719276947</v>
      </c>
      <c r="D3">
        <v>625702.84484354791</v>
      </c>
      <c r="E3">
        <v>728174.32121424587</v>
      </c>
      <c r="F3">
        <v>109200</v>
      </c>
      <c r="G3">
        <v>118699.26645172654</v>
      </c>
      <c r="H3">
        <v>125438.31009384427</v>
      </c>
      <c r="I3">
        <v>20.354147250698976</v>
      </c>
      <c r="J3">
        <f>G3/C3*100</f>
        <v>20.152974930659333</v>
      </c>
      <c r="K3">
        <f>H3/D3*100</f>
        <v>20.047585068149903</v>
      </c>
      <c r="L3">
        <v>31000</v>
      </c>
      <c r="M3">
        <v>35433.564904007741</v>
      </c>
      <c r="N3">
        <v>37720.325110205384</v>
      </c>
      <c r="O3">
        <v>5.7781919850885366</v>
      </c>
      <c r="P3">
        <f>M3/C3*100</f>
        <v>6.0159743742373522</v>
      </c>
      <c r="Q3">
        <f>N3/D3*100</f>
        <v>6.0284726881235535</v>
      </c>
      <c r="R3">
        <v>36.739970441255039</v>
      </c>
      <c r="S3">
        <v>33.509454232955513</v>
      </c>
      <c r="T3">
        <v>36.785812356007625</v>
      </c>
      <c r="U3">
        <v>39.024391545844097</v>
      </c>
      <c r="V3">
        <v>10853.760899999999</v>
      </c>
      <c r="W3">
        <v>49.430148244377499</v>
      </c>
      <c r="X3">
        <v>51.74272367948258</v>
      </c>
      <c r="Y3">
        <v>57.583726577208822</v>
      </c>
      <c r="Z3">
        <v>781494.65821021725</v>
      </c>
      <c r="AA3">
        <v>851335</v>
      </c>
      <c r="AB3">
        <v>233816.85104309779</v>
      </c>
      <c r="AC3">
        <v>255664.80837825281</v>
      </c>
      <c r="AD3">
        <v>106400.82961937727</v>
      </c>
      <c r="AE3">
        <v>113727.49441569323</v>
      </c>
      <c r="AF3">
        <v>67079.211934222854</v>
      </c>
      <c r="AG3">
        <v>78497.422247536102</v>
      </c>
      <c r="AH3">
        <v>60336.809489497653</v>
      </c>
      <c r="AI3">
        <v>63439.891715023477</v>
      </c>
      <c r="AJ3">
        <v>418000</v>
      </c>
      <c r="AK3">
        <v>449000</v>
      </c>
      <c r="AL3">
        <v>543000</v>
      </c>
      <c r="AM3">
        <v>41315</v>
      </c>
      <c r="AN3">
        <v>46045</v>
      </c>
      <c r="AO3">
        <v>53575</v>
      </c>
      <c r="AP3">
        <v>94.694694694694689</v>
      </c>
      <c r="AQ3">
        <v>84.450923226433432</v>
      </c>
      <c r="AR3">
        <v>86.715566422167882</v>
      </c>
      <c r="AS3">
        <v>67.900000000000006</v>
      </c>
      <c r="AT3">
        <v>67.5</v>
      </c>
      <c r="AU3">
        <v>66.3</v>
      </c>
      <c r="AV3">
        <v>74.8</v>
      </c>
      <c r="AW3">
        <v>74.2</v>
      </c>
      <c r="AX3">
        <v>73.099999999999994</v>
      </c>
      <c r="AY3">
        <v>61.3</v>
      </c>
      <c r="AZ3">
        <v>61</v>
      </c>
      <c r="BA3">
        <v>59.8</v>
      </c>
      <c r="BB3">
        <v>7.1</v>
      </c>
      <c r="BC3">
        <v>8.9</v>
      </c>
      <c r="BD3">
        <v>6.6</v>
      </c>
      <c r="BE3">
        <v>29.962580678492746</v>
      </c>
      <c r="BF3">
        <v>29.913754754523481</v>
      </c>
      <c r="BG3">
        <v>37.142756564830655</v>
      </c>
      <c r="BH3">
        <v>37.929602154826952</v>
      </c>
      <c r="BI3">
        <v>35.827298021381267</v>
      </c>
      <c r="BJ3">
        <v>37.571645748159582</v>
      </c>
      <c r="BK3" t="s">
        <v>28</v>
      </c>
      <c r="BL3" t="s">
        <v>41</v>
      </c>
      <c r="BM3" t="s">
        <v>29</v>
      </c>
      <c r="BN3" t="s">
        <v>33</v>
      </c>
      <c r="BO3" t="s">
        <v>29</v>
      </c>
      <c r="BP3" t="s">
        <v>41</v>
      </c>
      <c r="BQ3" t="s">
        <v>29</v>
      </c>
      <c r="BR3" t="s">
        <v>33</v>
      </c>
      <c r="BS3" t="s">
        <v>145</v>
      </c>
      <c r="BT3">
        <v>23.843980321749221</v>
      </c>
      <c r="BU3">
        <v>21.751162248075044</v>
      </c>
      <c r="BV3">
        <v>19.06784517257752</v>
      </c>
      <c r="BW3">
        <v>42.798494697228875</v>
      </c>
      <c r="BX3">
        <v>45.021504503773428</v>
      </c>
      <c r="BY3">
        <v>46.895214433957975</v>
      </c>
      <c r="BZ3" t="s">
        <v>62</v>
      </c>
      <c r="CA3">
        <v>243</v>
      </c>
      <c r="CB3">
        <v>245</v>
      </c>
      <c r="CC3">
        <v>256</v>
      </c>
      <c r="CD3">
        <v>64</v>
      </c>
      <c r="CE3">
        <v>65</v>
      </c>
      <c r="CF3">
        <v>70</v>
      </c>
      <c r="CG3">
        <v>16.794441782462865</v>
      </c>
      <c r="CH3">
        <v>16.316962481379264</v>
      </c>
      <c r="CI3">
        <v>17.436726704043746</v>
      </c>
      <c r="CJ3">
        <v>55.326128266033251</v>
      </c>
      <c r="CK3">
        <v>63.635042353990187</v>
      </c>
      <c r="CL3">
        <v>66.218653576437589</v>
      </c>
      <c r="CM3">
        <v>44.2</v>
      </c>
      <c r="CN3">
        <v>52.4</v>
      </c>
      <c r="CO3">
        <v>53.9</v>
      </c>
      <c r="CP3">
        <v>11</v>
      </c>
      <c r="CQ3">
        <v>7.1</v>
      </c>
      <c r="CR3">
        <v>5.6</v>
      </c>
      <c r="CS3">
        <v>22.818542224270537</v>
      </c>
      <c r="CT3">
        <v>25.852415097581588</v>
      </c>
      <c r="CU3">
        <v>15.474398456956356</v>
      </c>
      <c r="CV3">
        <v>28.283482021403415</v>
      </c>
      <c r="CW3">
        <v>23.949840328682921</v>
      </c>
      <c r="CX3">
        <v>11.263021732425551</v>
      </c>
      <c r="CY3">
        <v>25.015995551815092</v>
      </c>
      <c r="CZ3">
        <v>28.667983857097273</v>
      </c>
      <c r="DA3">
        <v>41.735141530062194</v>
      </c>
      <c r="DB3">
        <v>23.881980202510942</v>
      </c>
      <c r="DC3">
        <v>21.529760716638215</v>
      </c>
      <c r="DD3">
        <v>31.527438280555902</v>
      </c>
      <c r="DE3">
        <v>130.49445594696178</v>
      </c>
      <c r="DF3">
        <v>102.65611076838714</v>
      </c>
      <c r="DG3">
        <v>90.284554112184949</v>
      </c>
      <c r="DH3">
        <v>10.969469680683064</v>
      </c>
      <c r="DI3">
        <v>10.553703142366373</v>
      </c>
      <c r="DJ3">
        <v>7.8933678207303615</v>
      </c>
      <c r="DK3">
        <v>23.500583430571762</v>
      </c>
      <c r="DL3">
        <v>23.189066059225514</v>
      </c>
      <c r="DM3">
        <v>17.023192543132765</v>
      </c>
      <c r="DN3">
        <v>29.675250398314368</v>
      </c>
      <c r="DO3">
        <v>27.504332279463885</v>
      </c>
      <c r="DP3">
        <v>19.570935393720205</v>
      </c>
      <c r="DQ3">
        <v>20</v>
      </c>
      <c r="DR3">
        <v>12.827988338192419</v>
      </c>
      <c r="DS3">
        <v>15.697674418604651</v>
      </c>
      <c r="DT3">
        <v>29</v>
      </c>
      <c r="DU3">
        <v>23.906705539358601</v>
      </c>
      <c r="DV3">
        <v>21.511627906976745</v>
      </c>
      <c r="DW3">
        <v>33</v>
      </c>
      <c r="DX3">
        <v>27.988338192419825</v>
      </c>
      <c r="DY3">
        <v>25.581395348837212</v>
      </c>
      <c r="DZ3">
        <v>17</v>
      </c>
      <c r="EA3">
        <v>26.530612244897959</v>
      </c>
      <c r="EB3">
        <v>28.488372093023255</v>
      </c>
      <c r="ED3">
        <v>8.7463556851311957</v>
      </c>
      <c r="EE3">
        <v>8.720930232558139</v>
      </c>
      <c r="EF3">
        <v>374093</v>
      </c>
      <c r="EG3">
        <v>395385</v>
      </c>
      <c r="EH3">
        <v>384232</v>
      </c>
      <c r="EI3">
        <v>38.38162091108908</v>
      </c>
      <c r="EJ3">
        <v>47.884124431423125</v>
      </c>
      <c r="EK3">
        <v>42.773876968820311</v>
      </c>
      <c r="EL3">
        <v>48.070377505642696</v>
      </c>
      <c r="EM3">
        <v>35.280003554660304</v>
      </c>
      <c r="EN3">
        <v>41.15165039305861</v>
      </c>
      <c r="EO3">
        <v>31.945658028607337</v>
      </c>
      <c r="EP3">
        <v>35.461270457275482</v>
      </c>
      <c r="EQ3">
        <v>26.749559370232685</v>
      </c>
      <c r="ER3">
        <v>29.998187626016627</v>
      </c>
      <c r="ES3">
        <v>44.6926805912981</v>
      </c>
      <c r="ET3">
        <v>44.28826889733179</v>
      </c>
      <c r="EU3">
        <v>17.479301509249524</v>
      </c>
      <c r="EV3">
        <v>12.580707278947012</v>
      </c>
      <c r="EW3">
        <v>8.259022083906876</v>
      </c>
      <c r="EX3">
        <v>6.0897592686201287</v>
      </c>
      <c r="EY3">
        <v>8.8281469852037269</v>
      </c>
      <c r="EZ3">
        <v>9.5047688090437461</v>
      </c>
      <c r="FA3">
        <v>10.715183434077444</v>
      </c>
      <c r="FB3">
        <v>9.2379104364037588</v>
      </c>
      <c r="FC3">
        <v>6.4317134943791929</v>
      </c>
      <c r="FD3">
        <v>2.0830973471375818</v>
      </c>
      <c r="FE3">
        <v>4.3874558621102402</v>
      </c>
      <c r="FF3">
        <v>4.9227909403688423</v>
      </c>
      <c r="FG3">
        <v>5.2312750862745574</v>
      </c>
      <c r="FH3">
        <v>4.6815885457964228</v>
      </c>
      <c r="FI3">
        <v>0</v>
      </c>
      <c r="FJ3">
        <v>0</v>
      </c>
      <c r="FK3">
        <v>32.827713877747243</v>
      </c>
      <c r="FL3">
        <v>38.380034828233484</v>
      </c>
      <c r="FM3">
        <v>36.262786942870591</v>
      </c>
      <c r="FN3">
        <v>35.778674940365249</v>
      </c>
      <c r="FO3">
        <v>25.08987062934554</v>
      </c>
      <c r="FP3">
        <v>27.30793586177262</v>
      </c>
      <c r="FQ3">
        <v>37.944080025261101</v>
      </c>
      <c r="FR3">
        <v>36.724136994191383</v>
      </c>
      <c r="FS3">
        <v>16.964561194543904</v>
      </c>
      <c r="FT3">
        <v>11.299952506954339</v>
      </c>
      <c r="FU3">
        <v>6.7061073477631421</v>
      </c>
      <c r="FV3">
        <v>5.7097214147155189</v>
      </c>
      <c r="FW3">
        <v>10.032504107859106</v>
      </c>
      <c r="FX3">
        <v>10.208743243548861</v>
      </c>
      <c r="FY3">
        <v>10.030563548946361</v>
      </c>
      <c r="FZ3">
        <v>8.4537348467971114</v>
      </c>
      <c r="GA3">
        <v>5.8471517647649733</v>
      </c>
      <c r="GB3">
        <v>1.2913585272632697</v>
      </c>
      <c r="GC3">
        <v>3.8523178847402697</v>
      </c>
      <c r="GD3">
        <v>4.4040057162418424</v>
      </c>
      <c r="GE3">
        <v>9.2381984257392276</v>
      </c>
      <c r="GF3">
        <v>11.511975032227426</v>
      </c>
      <c r="GG3">
        <v>5.2041442504185405</v>
      </c>
      <c r="GH3">
        <v>8.9297260876888878</v>
      </c>
    </row>
    <row r="4" spans="1:190">
      <c r="A4" t="s">
        <v>1</v>
      </c>
      <c r="B4">
        <v>531700</v>
      </c>
      <c r="C4">
        <v>549076.7631312462</v>
      </c>
      <c r="D4">
        <v>569862.1799739335</v>
      </c>
      <c r="E4">
        <v>605420.34926857392</v>
      </c>
      <c r="F4">
        <v>112300</v>
      </c>
      <c r="G4">
        <v>117768.34846785726</v>
      </c>
      <c r="H4">
        <v>123498.25725031443</v>
      </c>
      <c r="I4">
        <v>21.120932856874177</v>
      </c>
      <c r="J4">
        <f t="shared" ref="J4:J17" si="0">G4/C4*100</f>
        <v>21.448430597618824</v>
      </c>
      <c r="K4">
        <f t="shared" ref="K4:K17" si="1">H4/D4*100</f>
        <v>21.671600887071232</v>
      </c>
      <c r="L4">
        <v>40500</v>
      </c>
      <c r="M4">
        <v>45428.782416866379</v>
      </c>
      <c r="N4">
        <v>46691.684439462973</v>
      </c>
      <c r="O4">
        <v>7.6170772992288889</v>
      </c>
      <c r="P4">
        <f t="shared" ref="P4:P17" si="2">M4/C4*100</f>
        <v>8.2736669018367301</v>
      </c>
      <c r="Q4">
        <f t="shared" ref="Q4:Q17" si="3">N4/D4*100</f>
        <v>8.1935046894318777</v>
      </c>
      <c r="R4">
        <v>38.97331837644024</v>
      </c>
      <c r="S4">
        <v>36.705587232633192</v>
      </c>
      <c r="T4">
        <v>39.573278965486757</v>
      </c>
      <c r="U4">
        <v>41.629210451666317</v>
      </c>
      <c r="V4">
        <v>21442.077100000002</v>
      </c>
      <c r="W4">
        <v>25.233015053436855</v>
      </c>
      <c r="X4">
        <v>25.679113119079712</v>
      </c>
      <c r="Y4">
        <v>26.92729478544441</v>
      </c>
      <c r="Z4">
        <v>484762.62250984972</v>
      </c>
      <c r="AA4">
        <v>514895</v>
      </c>
      <c r="AB4">
        <v>224328.23679334496</v>
      </c>
      <c r="AC4">
        <v>236886.69489801597</v>
      </c>
      <c r="AD4">
        <v>121110.91729384544</v>
      </c>
      <c r="AE4">
        <v>125572.10633577631</v>
      </c>
      <c r="AF4">
        <v>41306.2498766844</v>
      </c>
      <c r="AG4">
        <v>48458.161647735935</v>
      </c>
      <c r="AH4">
        <v>61911.069622815121</v>
      </c>
      <c r="AI4">
        <v>62856.426914503732</v>
      </c>
      <c r="AJ4">
        <v>199000</v>
      </c>
      <c r="AK4">
        <v>199000</v>
      </c>
      <c r="AL4">
        <v>207000</v>
      </c>
      <c r="AM4">
        <v>18670</v>
      </c>
      <c r="AN4">
        <v>20130</v>
      </c>
      <c r="AO4">
        <v>23255</v>
      </c>
      <c r="AP4">
        <v>95</v>
      </c>
      <c r="AQ4">
        <v>91.666666666666657</v>
      </c>
      <c r="AR4">
        <v>92.982456140350877</v>
      </c>
      <c r="AS4">
        <v>74.5</v>
      </c>
      <c r="AT4">
        <v>72.900000000000006</v>
      </c>
      <c r="AU4">
        <v>74</v>
      </c>
      <c r="AV4">
        <v>82.5</v>
      </c>
      <c r="AW4">
        <v>76.3</v>
      </c>
      <c r="AX4">
        <v>82.2</v>
      </c>
      <c r="AY4">
        <v>66.900000000000006</v>
      </c>
      <c r="AZ4">
        <v>69.7</v>
      </c>
      <c r="BA4">
        <v>66.400000000000006</v>
      </c>
      <c r="BB4">
        <v>4.5</v>
      </c>
      <c r="BC4">
        <v>6.3</v>
      </c>
      <c r="BD4">
        <v>5.9</v>
      </c>
      <c r="BE4">
        <v>11.523752966823801</v>
      </c>
      <c r="BF4">
        <v>15.967578223764486</v>
      </c>
      <c r="BG4">
        <v>20.083570663207759</v>
      </c>
      <c r="BH4">
        <v>11.464561567759644</v>
      </c>
      <c r="BI4">
        <v>13.943799520913949</v>
      </c>
      <c r="BJ4">
        <v>17.280264623679717</v>
      </c>
      <c r="BK4" t="s">
        <v>29</v>
      </c>
      <c r="BL4" t="s">
        <v>29</v>
      </c>
      <c r="BM4" t="s">
        <v>31</v>
      </c>
      <c r="BN4" t="s">
        <v>32</v>
      </c>
      <c r="BO4" t="s">
        <v>31</v>
      </c>
      <c r="BP4" t="s">
        <v>29</v>
      </c>
      <c r="BQ4" t="s">
        <v>45</v>
      </c>
      <c r="BR4" t="s">
        <v>45</v>
      </c>
      <c r="BS4" t="s">
        <v>45</v>
      </c>
      <c r="BT4">
        <v>4.0377863917705756</v>
      </c>
      <c r="BU4">
        <v>6.4906128250753525</v>
      </c>
      <c r="BV4">
        <v>11.949354893846241</v>
      </c>
      <c r="BW4">
        <v>8.511192087454452</v>
      </c>
      <c r="BX4">
        <v>9.7468837445942516</v>
      </c>
      <c r="BY4">
        <v>12.757059923251008</v>
      </c>
      <c r="BZ4" t="s">
        <v>63</v>
      </c>
      <c r="CA4">
        <v>202</v>
      </c>
      <c r="CB4">
        <v>195</v>
      </c>
      <c r="CC4">
        <v>202</v>
      </c>
      <c r="CD4">
        <v>18</v>
      </c>
      <c r="CE4">
        <v>20</v>
      </c>
      <c r="CF4">
        <v>24</v>
      </c>
      <c r="CG4">
        <v>5.5772146415421266</v>
      </c>
      <c r="CH4">
        <v>5.3517655253710554</v>
      </c>
      <c r="CI4">
        <v>5.7027915118385897</v>
      </c>
      <c r="CJ4">
        <v>54.431386154590932</v>
      </c>
      <c r="CK4">
        <v>63.423414634146333</v>
      </c>
      <c r="CL4">
        <v>61.482251213592242</v>
      </c>
      <c r="CM4">
        <v>29.5</v>
      </c>
      <c r="CN4">
        <v>36.6</v>
      </c>
      <c r="CO4">
        <v>41</v>
      </c>
      <c r="CP4">
        <v>10.199999999999999</v>
      </c>
      <c r="CQ4">
        <v>7.9</v>
      </c>
      <c r="CR4">
        <v>7.1</v>
      </c>
      <c r="CS4">
        <v>31.677981910488214</v>
      </c>
      <c r="CT4">
        <v>33.428925916833883</v>
      </c>
      <c r="CU4">
        <v>30.64825985470377</v>
      </c>
      <c r="CV4">
        <v>43.384279342169719</v>
      </c>
      <c r="CW4">
        <v>39.028437082414932</v>
      </c>
      <c r="CX4">
        <v>25.166539904010072</v>
      </c>
      <c r="CY4">
        <v>10.740723418821274</v>
      </c>
      <c r="CZ4">
        <v>13.482456152592528</v>
      </c>
      <c r="DA4">
        <v>20.259185921477091</v>
      </c>
      <c r="DB4">
        <v>14.197015328520804</v>
      </c>
      <c r="DC4">
        <v>14.060180848158655</v>
      </c>
      <c r="DD4">
        <v>23.92601431980907</v>
      </c>
      <c r="DE4">
        <v>86.259547783546864</v>
      </c>
      <c r="DF4">
        <v>66.199427394385353</v>
      </c>
      <c r="DG4">
        <v>60.043518318859903</v>
      </c>
      <c r="DH4">
        <v>8.6520906488919067</v>
      </c>
      <c r="DI4">
        <v>9.3716855703861697</v>
      </c>
      <c r="DJ4">
        <v>6.8845006392953545</v>
      </c>
      <c r="DK4">
        <v>15.191605839416059</v>
      </c>
      <c r="DL4">
        <v>14.586330935251798</v>
      </c>
      <c r="DM4">
        <v>10.420203392022763</v>
      </c>
      <c r="DN4">
        <v>17.465809125665487</v>
      </c>
      <c r="DO4">
        <v>18.111027091733558</v>
      </c>
      <c r="DP4">
        <v>15.735096191908795</v>
      </c>
      <c r="DQ4">
        <v>8</v>
      </c>
      <c r="DR4">
        <v>8.1632653061224492</v>
      </c>
      <c r="DS4">
        <v>7.2886297376093294</v>
      </c>
      <c r="DT4">
        <v>17</v>
      </c>
      <c r="DU4">
        <v>18.950437317784257</v>
      </c>
      <c r="DV4">
        <v>18.075801749271136</v>
      </c>
      <c r="DW4">
        <v>19</v>
      </c>
      <c r="DX4">
        <v>14.868804664723031</v>
      </c>
      <c r="DY4">
        <v>13.411078717201166</v>
      </c>
      <c r="DZ4">
        <v>24</v>
      </c>
      <c r="EA4">
        <v>26.822157434402332</v>
      </c>
      <c r="EB4">
        <v>28.862973760932949</v>
      </c>
      <c r="EC4">
        <v>32</v>
      </c>
      <c r="ED4">
        <v>31.195335276967928</v>
      </c>
      <c r="EE4">
        <v>32.361516034985421</v>
      </c>
      <c r="EF4">
        <v>409458</v>
      </c>
      <c r="EG4">
        <v>415643</v>
      </c>
      <c r="EH4">
        <v>413830</v>
      </c>
      <c r="EI4">
        <v>41.482087766794685</v>
      </c>
      <c r="EJ4">
        <v>49.912654206480049</v>
      </c>
      <c r="EK4">
        <v>38.129015677203803</v>
      </c>
      <c r="EL4">
        <v>47.373302434403669</v>
      </c>
      <c r="EM4">
        <v>40.424594785059902</v>
      </c>
      <c r="EN4">
        <v>52.594148537134288</v>
      </c>
      <c r="EO4">
        <v>52.625568739405836</v>
      </c>
      <c r="EP4">
        <v>46.077899361990212</v>
      </c>
      <c r="EQ4">
        <v>15.63475284405517</v>
      </c>
      <c r="ER4">
        <v>14.966241560390097</v>
      </c>
      <c r="ES4">
        <v>24.215065274927884</v>
      </c>
      <c r="ET4">
        <v>24.124778066371984</v>
      </c>
      <c r="EU4">
        <v>18.871438638880498</v>
      </c>
      <c r="EV4">
        <v>10.62465616404101</v>
      </c>
      <c r="EW4">
        <v>6.7778868171409883</v>
      </c>
      <c r="EX4">
        <v>6.3985374771480803</v>
      </c>
      <c r="EY4">
        <v>5.0771418503976644</v>
      </c>
      <c r="EZ4">
        <v>4.6316579144786196</v>
      </c>
      <c r="FA4">
        <v>5.4771463407380976</v>
      </c>
      <c r="FB4">
        <v>6.6830339973341619</v>
      </c>
      <c r="FC4">
        <v>16.801948051948052</v>
      </c>
      <c r="FD4">
        <v>4.0115028757189295</v>
      </c>
      <c r="FE4">
        <v>6.4061617152883095</v>
      </c>
      <c r="FF4">
        <v>16.060882255319822</v>
      </c>
      <c r="FG4">
        <v>3.1901238296587167</v>
      </c>
      <c r="FH4">
        <v>13.171792948237041</v>
      </c>
      <c r="FI4">
        <v>4.4981711124988806</v>
      </c>
      <c r="FJ4">
        <v>0.41778840834733866</v>
      </c>
      <c r="FK4">
        <v>37.633369868782005</v>
      </c>
      <c r="FL4">
        <v>49.101583970419227</v>
      </c>
      <c r="FM4">
        <v>48.880940093368686</v>
      </c>
      <c r="FN4">
        <v>42.529601779004999</v>
      </c>
      <c r="FO4">
        <v>16.27561351687752</v>
      </c>
      <c r="FP4">
        <v>15.4399640233848</v>
      </c>
      <c r="FQ4">
        <v>23.02896564815309</v>
      </c>
      <c r="FR4">
        <v>22.565329426829461</v>
      </c>
      <c r="FS4">
        <v>16.462625474496399</v>
      </c>
      <c r="FT4">
        <v>9.6127517113875971</v>
      </c>
      <c r="FU4">
        <v>5.4989055576317334</v>
      </c>
      <c r="FV4">
        <v>6.0252201360601578</v>
      </c>
      <c r="FW4">
        <v>5.3385102206369552</v>
      </c>
      <c r="FX4">
        <v>5.2500874431619442</v>
      </c>
      <c r="FY4">
        <v>5.7866044999673747</v>
      </c>
      <c r="FZ4">
        <v>5.8507975485985595</v>
      </c>
      <c r="GA4">
        <v>13.617814437075429</v>
      </c>
      <c r="GB4">
        <v>3.5831709388897215</v>
      </c>
      <c r="GC4">
        <v>8.1718363497232751</v>
      </c>
      <c r="GD4">
        <v>14.103462630882809</v>
      </c>
      <c r="GE4">
        <v>10.672066482131697</v>
      </c>
      <c r="GF4">
        <v>17.012441912756699</v>
      </c>
      <c r="GG4">
        <v>8.6327478511558393</v>
      </c>
      <c r="GH4">
        <v>8.9255884786240109</v>
      </c>
    </row>
    <row r="5" spans="1:190">
      <c r="A5" t="s">
        <v>2</v>
      </c>
      <c r="B5">
        <v>505800</v>
      </c>
      <c r="C5">
        <v>558453.29612702783</v>
      </c>
      <c r="D5">
        <v>579270.65960521391</v>
      </c>
      <c r="E5">
        <v>643852.88500328083</v>
      </c>
      <c r="F5">
        <v>111600</v>
      </c>
      <c r="G5">
        <v>121068.19207582623</v>
      </c>
      <c r="H5">
        <v>126871.1335387905</v>
      </c>
      <c r="I5">
        <v>22.064056939501782</v>
      </c>
      <c r="J5">
        <f t="shared" si="0"/>
        <v>21.679197332248819</v>
      </c>
      <c r="K5">
        <f t="shared" si="1"/>
        <v>21.901874613372623</v>
      </c>
      <c r="L5">
        <v>30400</v>
      </c>
      <c r="M5">
        <v>31931.161345450135</v>
      </c>
      <c r="N5">
        <v>34465.429454950383</v>
      </c>
      <c r="O5">
        <v>6.0102807433768284</v>
      </c>
      <c r="P5">
        <f t="shared" si="2"/>
        <v>5.7177854561694543</v>
      </c>
      <c r="Q5">
        <f t="shared" si="3"/>
        <v>5.9497971947067638</v>
      </c>
      <c r="R5">
        <v>36.838748002154773</v>
      </c>
      <c r="S5">
        <v>36.83159857187686</v>
      </c>
      <c r="T5">
        <v>36.617588353594414</v>
      </c>
      <c r="U5">
        <v>38.712503378085067</v>
      </c>
      <c r="V5">
        <v>9369.5381000000016</v>
      </c>
      <c r="W5">
        <v>53.983094262295083</v>
      </c>
      <c r="X5">
        <v>55.893528005464482</v>
      </c>
      <c r="Y5">
        <v>61.924077132468241</v>
      </c>
      <c r="Z5">
        <v>463851.87088048743</v>
      </c>
      <c r="AA5">
        <v>523170</v>
      </c>
      <c r="AB5">
        <v>195535.08663452946</v>
      </c>
      <c r="AC5">
        <v>210555.92506974569</v>
      </c>
      <c r="AD5">
        <v>104130.66942533889</v>
      </c>
      <c r="AE5">
        <v>110689.75460386177</v>
      </c>
      <c r="AF5">
        <v>40856.999218447854</v>
      </c>
      <c r="AG5">
        <v>47395.243562941469</v>
      </c>
      <c r="AH5">
        <v>50547.417990742746</v>
      </c>
      <c r="AI5">
        <v>52470.926902942432</v>
      </c>
      <c r="AJ5">
        <v>193000</v>
      </c>
      <c r="AK5">
        <v>195000</v>
      </c>
      <c r="AL5">
        <v>220000</v>
      </c>
      <c r="AM5">
        <v>21240</v>
      </c>
      <c r="AN5">
        <v>24240</v>
      </c>
      <c r="AO5">
        <v>28680</v>
      </c>
      <c r="AP5">
        <v>94.290375203915161</v>
      </c>
      <c r="AQ5">
        <v>91.082802547770697</v>
      </c>
      <c r="AR5">
        <v>92.172739541160595</v>
      </c>
      <c r="AS5">
        <v>67.900000000000006</v>
      </c>
      <c r="AT5">
        <v>66.8</v>
      </c>
      <c r="AU5">
        <v>72.599999999999994</v>
      </c>
      <c r="AV5">
        <v>75.599999999999994</v>
      </c>
      <c r="AW5">
        <v>75.8</v>
      </c>
      <c r="AX5">
        <v>81.2</v>
      </c>
      <c r="AY5">
        <v>60.1</v>
      </c>
      <c r="AZ5">
        <v>57.9</v>
      </c>
      <c r="BA5">
        <v>63.7</v>
      </c>
      <c r="BB5">
        <v>9.5</v>
      </c>
      <c r="BC5">
        <v>8.6999999999999993</v>
      </c>
      <c r="BD5">
        <v>5.0999999999999996</v>
      </c>
      <c r="BE5">
        <v>59.435327084982816</v>
      </c>
      <c r="BF5">
        <v>56.639971181176385</v>
      </c>
      <c r="BG5">
        <v>63.422323654027146</v>
      </c>
      <c r="BH5">
        <v>46.191131565126597</v>
      </c>
      <c r="BI5">
        <v>51.839436855778096</v>
      </c>
      <c r="BJ5">
        <v>52.314212365097099</v>
      </c>
      <c r="BK5" t="s">
        <v>29</v>
      </c>
      <c r="BL5" t="s">
        <v>29</v>
      </c>
      <c r="BM5" t="s">
        <v>29</v>
      </c>
      <c r="BN5" t="s">
        <v>34</v>
      </c>
      <c r="BO5" t="s">
        <v>45</v>
      </c>
      <c r="BP5" t="s">
        <v>39</v>
      </c>
      <c r="BQ5" t="s">
        <v>39</v>
      </c>
      <c r="BR5" t="s">
        <v>47</v>
      </c>
      <c r="BS5" t="s">
        <v>34</v>
      </c>
      <c r="BT5">
        <v>35.080774959489766</v>
      </c>
      <c r="BU5">
        <v>50.553389345746325</v>
      </c>
      <c r="BV5">
        <v>43.641209630569961</v>
      </c>
      <c r="BW5">
        <v>53.685092127303179</v>
      </c>
      <c r="BX5">
        <v>56.364769098979828</v>
      </c>
      <c r="BY5">
        <v>62.22853372349887</v>
      </c>
      <c r="BZ5" t="s">
        <v>64</v>
      </c>
      <c r="CA5">
        <v>183</v>
      </c>
      <c r="CB5">
        <v>185</v>
      </c>
      <c r="CC5">
        <v>176</v>
      </c>
      <c r="CD5">
        <v>28</v>
      </c>
      <c r="CE5">
        <v>33</v>
      </c>
      <c r="CF5">
        <v>30</v>
      </c>
      <c r="CG5">
        <v>8.6502513858450421</v>
      </c>
      <c r="CH5">
        <v>8.5489996238731365</v>
      </c>
      <c r="CI5">
        <v>7.1898528115037648</v>
      </c>
      <c r="CJ5">
        <v>55.374343357441944</v>
      </c>
      <c r="CK5">
        <v>61.130063173541437</v>
      </c>
      <c r="CL5">
        <v>60.205371093750003</v>
      </c>
      <c r="CM5">
        <v>30.2</v>
      </c>
      <c r="CN5">
        <v>35.700000000000003</v>
      </c>
      <c r="CO5">
        <v>46.3</v>
      </c>
      <c r="CP5">
        <v>8.4</v>
      </c>
      <c r="CQ5">
        <v>9.6999999999999993</v>
      </c>
      <c r="CR5">
        <v>5.4</v>
      </c>
      <c r="CS5">
        <v>26.051465250579835</v>
      </c>
      <c r="CT5">
        <v>23.211956712873196</v>
      </c>
      <c r="CU5">
        <v>13.931271606693146</v>
      </c>
      <c r="CV5">
        <v>34.99560710200177</v>
      </c>
      <c r="CW5">
        <v>30.915186690314577</v>
      </c>
      <c r="CX5">
        <v>14.354756087421785</v>
      </c>
      <c r="CY5">
        <v>21.381916311001593</v>
      </c>
      <c r="CZ5">
        <v>28.751743642017491</v>
      </c>
      <c r="DA5">
        <v>53.111497912079365</v>
      </c>
      <c r="DB5">
        <v>17.571011336416806</v>
      </c>
      <c r="DC5">
        <v>17.121112954794746</v>
      </c>
      <c r="DD5">
        <v>18.6024743938057</v>
      </c>
      <c r="DE5">
        <v>96.797455019731117</v>
      </c>
      <c r="DF5">
        <v>91.376514807454782</v>
      </c>
      <c r="DG5">
        <v>69.14408413950558</v>
      </c>
      <c r="DH5">
        <v>11.390268238351588</v>
      </c>
      <c r="DI5">
        <v>10.692776707937032</v>
      </c>
      <c r="DJ5">
        <v>8.0347953997687718</v>
      </c>
      <c r="DK5">
        <v>23.974056603773587</v>
      </c>
      <c r="DL5">
        <v>23.782559456398641</v>
      </c>
      <c r="DM5">
        <v>19.120537597892419</v>
      </c>
      <c r="DN5">
        <v>29.564663438742141</v>
      </c>
      <c r="DO5">
        <v>28.161186150346808</v>
      </c>
      <c r="DP5">
        <v>18.614473733831126</v>
      </c>
      <c r="DQ5">
        <v>14</v>
      </c>
      <c r="DR5">
        <v>15.434083601286176</v>
      </c>
      <c r="DS5">
        <v>12.258064516129032</v>
      </c>
      <c r="DT5">
        <v>38</v>
      </c>
      <c r="DU5">
        <v>36.977491961414792</v>
      </c>
      <c r="DV5">
        <v>28.70967741935484</v>
      </c>
      <c r="DW5">
        <v>27</v>
      </c>
      <c r="DX5">
        <v>26.366559485530544</v>
      </c>
      <c r="DY5">
        <v>29.677419354838708</v>
      </c>
      <c r="DZ5">
        <v>14</v>
      </c>
      <c r="EA5">
        <v>13.826366559485532</v>
      </c>
      <c r="EB5">
        <v>19.677419354838712</v>
      </c>
      <c r="EC5">
        <v>7</v>
      </c>
      <c r="ED5">
        <v>7.395498392282958</v>
      </c>
      <c r="EE5">
        <v>9.67741935483871</v>
      </c>
      <c r="EF5">
        <v>365961</v>
      </c>
      <c r="EG5">
        <v>389809</v>
      </c>
      <c r="EH5">
        <v>385610</v>
      </c>
      <c r="EI5">
        <v>37.972427514779561</v>
      </c>
      <c r="EJ5">
        <v>42.950110810679007</v>
      </c>
      <c r="EK5">
        <v>38.152786651374143</v>
      </c>
      <c r="EL5">
        <v>45.964866825577779</v>
      </c>
      <c r="EM5">
        <v>33.989266547406082</v>
      </c>
      <c r="EN5">
        <v>36.207531207821816</v>
      </c>
      <c r="EO5">
        <v>27.989246570621081</v>
      </c>
      <c r="EP5">
        <v>33.85613133296318</v>
      </c>
      <c r="EQ5">
        <v>29.997444416049067</v>
      </c>
      <c r="ER5">
        <v>37.272439602451421</v>
      </c>
      <c r="ES5">
        <v>48.528296684359276</v>
      </c>
      <c r="ET5">
        <v>45.736429671266912</v>
      </c>
      <c r="EU5">
        <v>17.703381889428403</v>
      </c>
      <c r="EV5">
        <v>12.463109222532918</v>
      </c>
      <c r="EW5">
        <v>10.815468394568139</v>
      </c>
      <c r="EX5">
        <v>6.6021373661284137</v>
      </c>
      <c r="EY5">
        <v>5.9417326859187325</v>
      </c>
      <c r="EZ5">
        <v>6.5412111153446268</v>
      </c>
      <c r="FA5">
        <v>7.2695939891087065</v>
      </c>
      <c r="FB5">
        <v>5.6519424616916902</v>
      </c>
      <c r="FC5">
        <v>6.1325496209217141</v>
      </c>
      <c r="FD5">
        <v>1.9509328442547256</v>
      </c>
      <c r="FE5">
        <v>5.3973943613427995</v>
      </c>
      <c r="FF5">
        <v>5.1940172065414627</v>
      </c>
      <c r="FG5">
        <v>6.2356248402760102</v>
      </c>
      <c r="FH5">
        <v>5.5647760075944959</v>
      </c>
      <c r="FI5">
        <v>0</v>
      </c>
      <c r="FJ5">
        <v>0.29593419614083488</v>
      </c>
      <c r="FK5">
        <v>31.097253203510427</v>
      </c>
      <c r="FL5">
        <v>33.343005261528944</v>
      </c>
      <c r="FM5">
        <v>29.794355780994401</v>
      </c>
      <c r="FN5">
        <v>33.336196333069942</v>
      </c>
      <c r="FO5">
        <v>30.11788267092173</v>
      </c>
      <c r="FP5">
        <v>34.468817703497365</v>
      </c>
      <c r="FQ5">
        <v>47.516048771770656</v>
      </c>
      <c r="FR5">
        <v>42.388428900264543</v>
      </c>
      <c r="FS5">
        <v>16.484849471644658</v>
      </c>
      <c r="FT5">
        <v>10.751960177447643</v>
      </c>
      <c r="FU5">
        <v>6.328096003958926</v>
      </c>
      <c r="FV5">
        <v>4.888858350225032</v>
      </c>
      <c r="FW5">
        <v>6.5649575850334596</v>
      </c>
      <c r="FX5">
        <v>6.120396162178892</v>
      </c>
      <c r="FY5">
        <v>6.254553452376042</v>
      </c>
      <c r="FZ5">
        <v>5.2398621179326854</v>
      </c>
      <c r="GA5">
        <v>5.6792093394337071</v>
      </c>
      <c r="GB5">
        <v>1.2818528835241927</v>
      </c>
      <c r="GC5">
        <v>3.5272932217136099</v>
      </c>
      <c r="GD5">
        <v>4.0946622232910759</v>
      </c>
      <c r="GE5">
        <v>10.055847729456024</v>
      </c>
      <c r="GF5">
        <v>14.033967811822968</v>
      </c>
      <c r="GG5">
        <v>6.5796527691863789</v>
      </c>
      <c r="GH5">
        <v>10.051992075216731</v>
      </c>
    </row>
    <row r="6" spans="1:190">
      <c r="A6" t="s">
        <v>3</v>
      </c>
      <c r="B6">
        <v>687700</v>
      </c>
      <c r="C6">
        <v>777746.73699401179</v>
      </c>
      <c r="D6">
        <v>849504.43478660006</v>
      </c>
      <c r="E6">
        <v>1032690.9569837323</v>
      </c>
      <c r="F6">
        <v>169900</v>
      </c>
      <c r="G6">
        <v>185013.60614571883</v>
      </c>
      <c r="H6">
        <v>198008.87783622817</v>
      </c>
      <c r="I6">
        <v>24.705540206485384</v>
      </c>
      <c r="J6">
        <f t="shared" si="0"/>
        <v>23.788413032858966</v>
      </c>
      <c r="K6">
        <f t="shared" si="1"/>
        <v>23.308751517697381</v>
      </c>
      <c r="L6">
        <v>28600</v>
      </c>
      <c r="M6">
        <v>27167.06349702851</v>
      </c>
      <c r="N6">
        <v>27799.068413295972</v>
      </c>
      <c r="O6">
        <v>4.1587901701323249</v>
      </c>
      <c r="P6">
        <f t="shared" si="2"/>
        <v>3.493047569962056</v>
      </c>
      <c r="Q6">
        <f t="shared" si="3"/>
        <v>3.2723864967555167</v>
      </c>
      <c r="R6">
        <v>33.065577568221123</v>
      </c>
      <c r="S6">
        <v>47.917421377575344</v>
      </c>
      <c r="T6">
        <v>32.039754312501728</v>
      </c>
      <c r="U6">
        <v>33.974278007501965</v>
      </c>
      <c r="V6">
        <v>10110.178</v>
      </c>
      <c r="W6">
        <v>72.396332284111125</v>
      </c>
      <c r="X6">
        <v>78.765356718004867</v>
      </c>
      <c r="Y6">
        <v>89.492295919746098</v>
      </c>
      <c r="Z6">
        <v>1179131.8334023289</v>
      </c>
      <c r="AA6">
        <v>1434470</v>
      </c>
      <c r="AB6">
        <v>279097.06092967041</v>
      </c>
      <c r="AC6">
        <v>318783.2016057428</v>
      </c>
      <c r="AD6">
        <v>118948.78612497554</v>
      </c>
      <c r="AE6">
        <v>131174.73115990212</v>
      </c>
      <c r="AF6">
        <v>85470.711805090599</v>
      </c>
      <c r="AG6">
        <v>107162.528035603</v>
      </c>
      <c r="AH6">
        <v>74677.562999604284</v>
      </c>
      <c r="AI6">
        <v>80445.942410237665</v>
      </c>
      <c r="AJ6">
        <v>671000</v>
      </c>
      <c r="AK6">
        <v>741000</v>
      </c>
      <c r="AL6">
        <v>948000</v>
      </c>
      <c r="AM6">
        <v>30980</v>
      </c>
      <c r="AN6">
        <v>39320</v>
      </c>
      <c r="AO6">
        <v>51130</v>
      </c>
      <c r="AP6">
        <v>95.329670329670336</v>
      </c>
      <c r="AQ6">
        <v>83.796740172579092</v>
      </c>
      <c r="AR6">
        <v>86.299329858525681</v>
      </c>
      <c r="AS6">
        <v>57.9</v>
      </c>
      <c r="AT6">
        <v>57.1</v>
      </c>
      <c r="AU6">
        <v>67.400000000000006</v>
      </c>
      <c r="AV6">
        <v>69.599999999999994</v>
      </c>
      <c r="AW6">
        <v>68.400000000000006</v>
      </c>
      <c r="AX6">
        <v>74.8</v>
      </c>
      <c r="AY6">
        <v>45.7</v>
      </c>
      <c r="AZ6">
        <v>45.1</v>
      </c>
      <c r="BA6">
        <v>59.5</v>
      </c>
      <c r="BB6">
        <v>12.2</v>
      </c>
      <c r="BC6">
        <v>14.6</v>
      </c>
      <c r="BD6">
        <v>10</v>
      </c>
      <c r="BE6">
        <v>55.105818091848576</v>
      </c>
      <c r="BF6">
        <v>59.427134865371087</v>
      </c>
      <c r="BG6">
        <v>60.186106699605901</v>
      </c>
      <c r="BH6">
        <v>39.485782637112997</v>
      </c>
      <c r="BI6">
        <v>43.849564667311604</v>
      </c>
      <c r="BJ6">
        <v>44.069221972220909</v>
      </c>
      <c r="BK6" t="s">
        <v>28</v>
      </c>
      <c r="BL6" t="s">
        <v>28</v>
      </c>
      <c r="BM6" t="s">
        <v>28</v>
      </c>
      <c r="BN6" t="s">
        <v>29</v>
      </c>
      <c r="BO6" t="s">
        <v>29</v>
      </c>
      <c r="BP6" t="s">
        <v>29</v>
      </c>
      <c r="BQ6" t="s">
        <v>40</v>
      </c>
      <c r="BR6" t="s">
        <v>46</v>
      </c>
      <c r="BS6" t="s">
        <v>146</v>
      </c>
      <c r="BT6">
        <v>40.810287439391772</v>
      </c>
      <c r="BU6">
        <v>43.576829579488837</v>
      </c>
      <c r="BV6">
        <v>44.361553697397824</v>
      </c>
      <c r="BW6">
        <v>58.088826366559488</v>
      </c>
      <c r="BX6">
        <v>62.632734912146681</v>
      </c>
      <c r="BY6">
        <v>64.956672740181858</v>
      </c>
      <c r="BZ6" t="s">
        <v>62</v>
      </c>
      <c r="CA6">
        <v>275</v>
      </c>
      <c r="CB6">
        <v>279</v>
      </c>
      <c r="CC6">
        <v>295</v>
      </c>
      <c r="CD6">
        <v>23</v>
      </c>
      <c r="CE6">
        <v>31</v>
      </c>
      <c r="CF6">
        <v>38</v>
      </c>
      <c r="CG6">
        <v>3.1678220216024502</v>
      </c>
      <c r="CH6">
        <v>3.7554190070494218</v>
      </c>
      <c r="CI6">
        <v>3.9429803156011065</v>
      </c>
      <c r="CJ6">
        <v>41.103116297573258</v>
      </c>
      <c r="CK6">
        <v>52.003755017480259</v>
      </c>
      <c r="CL6">
        <v>59.549783013019209</v>
      </c>
      <c r="CM6">
        <v>25.8</v>
      </c>
      <c r="CN6">
        <v>38.9</v>
      </c>
      <c r="CO6">
        <v>42.2</v>
      </c>
      <c r="CP6">
        <v>21.1</v>
      </c>
      <c r="CQ6">
        <v>13.7</v>
      </c>
      <c r="CR6">
        <v>10.7</v>
      </c>
      <c r="CS6">
        <v>15.170625421841308</v>
      </c>
      <c r="CT6">
        <v>13.528822887634281</v>
      </c>
      <c r="CU6">
        <v>5.1665554697283751</v>
      </c>
      <c r="CV6">
        <v>24.184471708758188</v>
      </c>
      <c r="CW6">
        <v>22.33796152161726</v>
      </c>
      <c r="CX6">
        <v>9.1967349895743187</v>
      </c>
      <c r="CY6">
        <v>20.426043180478771</v>
      </c>
      <c r="CZ6">
        <v>30.679118596573485</v>
      </c>
      <c r="DA6">
        <v>39.611858185978036</v>
      </c>
      <c r="DB6">
        <v>40.218859688921725</v>
      </c>
      <c r="DC6">
        <v>33.454096994174961</v>
      </c>
      <c r="DD6">
        <v>46.024851354719267</v>
      </c>
      <c r="DE6">
        <v>155.77169894450509</v>
      </c>
      <c r="DF6">
        <v>134.64465056456675</v>
      </c>
      <c r="DG6">
        <v>93.998375031380192</v>
      </c>
      <c r="DH6">
        <v>16.54766996786541</v>
      </c>
      <c r="DI6">
        <v>14.585745739978261</v>
      </c>
      <c r="DJ6">
        <v>10.054780245314106</v>
      </c>
      <c r="DK6">
        <v>38.814180929095357</v>
      </c>
      <c r="DL6">
        <v>37.153110047846887</v>
      </c>
      <c r="DM6">
        <v>31.409589559296386</v>
      </c>
      <c r="DN6">
        <v>47.911770014805803</v>
      </c>
      <c r="DO6">
        <v>42.53749374829205</v>
      </c>
      <c r="DP6">
        <v>28.997144460986501</v>
      </c>
      <c r="DQ6">
        <v>73</v>
      </c>
      <c r="DR6">
        <v>69.975186104218366</v>
      </c>
      <c r="DS6">
        <v>50.943396226415096</v>
      </c>
      <c r="DT6">
        <v>21</v>
      </c>
      <c r="DU6">
        <v>22.8287841191067</v>
      </c>
      <c r="DV6">
        <v>38.679245283018872</v>
      </c>
      <c r="DW6">
        <v>5</v>
      </c>
      <c r="DX6">
        <v>5.4590570719602978</v>
      </c>
      <c r="DY6">
        <v>7.0754716981132075</v>
      </c>
      <c r="DZ6">
        <v>0</v>
      </c>
      <c r="EA6">
        <v>0.99255583126550873</v>
      </c>
      <c r="EB6">
        <v>2.358490566037736</v>
      </c>
      <c r="EC6">
        <v>0</v>
      </c>
      <c r="ED6">
        <v>0.74441687344913154</v>
      </c>
      <c r="EE6">
        <v>0.94339622641509435</v>
      </c>
      <c r="EF6">
        <v>467724</v>
      </c>
      <c r="EG6">
        <v>507691</v>
      </c>
      <c r="EH6">
        <v>493989</v>
      </c>
      <c r="EI6">
        <v>33.404526318918656</v>
      </c>
      <c r="EJ6">
        <v>39.834941373605488</v>
      </c>
      <c r="EK6">
        <v>33.316030831531521</v>
      </c>
      <c r="EL6">
        <v>42.580480154804221</v>
      </c>
      <c r="EM6">
        <v>18.141609820562376</v>
      </c>
      <c r="EN6">
        <v>17.487571951857667</v>
      </c>
      <c r="EO6">
        <v>14.575876669707815</v>
      </c>
      <c r="EP6">
        <v>15.39392964748062</v>
      </c>
      <c r="EQ6">
        <v>29.092728536617042</v>
      </c>
      <c r="ER6">
        <v>34.686791383219955</v>
      </c>
      <c r="ES6">
        <v>62.967576672047166</v>
      </c>
      <c r="ET6">
        <v>57.787542391720784</v>
      </c>
      <c r="EU6">
        <v>13.944801350556494</v>
      </c>
      <c r="EV6">
        <v>7.4808128379556953</v>
      </c>
      <c r="EW6">
        <v>4.2991321028376257</v>
      </c>
      <c r="EX6">
        <v>5.0676139077953462</v>
      </c>
      <c r="EY6">
        <v>6.6359073860467968</v>
      </c>
      <c r="EZ6">
        <v>6.2565410779696489</v>
      </c>
      <c r="FA6">
        <v>6.3694528270989776</v>
      </c>
      <c r="FB6">
        <v>8.8761286721754225</v>
      </c>
      <c r="FC6">
        <v>13.747717880359639</v>
      </c>
      <c r="FD6">
        <v>1.6777864992150706</v>
      </c>
      <c r="FE6">
        <v>3.0662970500853861</v>
      </c>
      <c r="FF6">
        <v>8.5474006839434118</v>
      </c>
      <c r="FG6">
        <v>18.43723502585765</v>
      </c>
      <c r="FH6">
        <v>32.410496249781964</v>
      </c>
      <c r="FI6">
        <v>8.7216646782230214</v>
      </c>
      <c r="FJ6">
        <v>2.0073691828153306</v>
      </c>
      <c r="FK6">
        <v>16.113925667333646</v>
      </c>
      <c r="FL6">
        <v>17.948034135934165</v>
      </c>
      <c r="FM6">
        <v>14.650015741420924</v>
      </c>
      <c r="FN6">
        <v>14.3818100167813</v>
      </c>
      <c r="FO6">
        <v>27.882554954801535</v>
      </c>
      <c r="FP6">
        <v>37.369377802934643</v>
      </c>
      <c r="FQ6">
        <v>63.195974860367762</v>
      </c>
      <c r="FR6">
        <v>57.609964782906708</v>
      </c>
      <c r="FS6">
        <v>12.435608157009664</v>
      </c>
      <c r="FT6">
        <v>6.4794052335960295</v>
      </c>
      <c r="FU6">
        <v>3.5797157215983955</v>
      </c>
      <c r="FV6">
        <v>3.6866860478857926</v>
      </c>
      <c r="FW6">
        <v>6.6584358635957255</v>
      </c>
      <c r="FX6">
        <v>6.051617538206993</v>
      </c>
      <c r="FY6">
        <v>6.4633108289315651</v>
      </c>
      <c r="FZ6">
        <v>6.6893568744238809</v>
      </c>
      <c r="GA6">
        <v>9.0822654575900774</v>
      </c>
      <c r="GB6">
        <v>1.580528584490791</v>
      </c>
      <c r="GC6">
        <v>3.4782710089667797</v>
      </c>
      <c r="GD6">
        <v>6.6761209198988398</v>
      </c>
      <c r="GE6">
        <v>27.827209899669342</v>
      </c>
      <c r="GF6">
        <v>30.571036704837372</v>
      </c>
      <c r="GG6">
        <v>8.6327118387145685</v>
      </c>
      <c r="GH6">
        <v>10.956061358103478</v>
      </c>
    </row>
    <row r="7" spans="1:190">
      <c r="A7" t="s">
        <v>4</v>
      </c>
      <c r="B7">
        <v>529200</v>
      </c>
      <c r="C7">
        <v>562877.68053780752</v>
      </c>
      <c r="D7">
        <v>585158.41603083618</v>
      </c>
      <c r="E7">
        <v>644921.63804928295</v>
      </c>
      <c r="F7">
        <v>118900</v>
      </c>
      <c r="G7">
        <v>127330.85466338121</v>
      </c>
      <c r="H7">
        <v>134098.95895161974</v>
      </c>
      <c r="I7">
        <v>22.46787603930461</v>
      </c>
      <c r="J7">
        <f t="shared" si="0"/>
        <v>22.621407646102003</v>
      </c>
      <c r="K7">
        <f t="shared" si="1"/>
        <v>22.916693202709247</v>
      </c>
      <c r="L7">
        <v>32600</v>
      </c>
      <c r="M7">
        <v>35272.043361212578</v>
      </c>
      <c r="N7">
        <v>36445.445813995226</v>
      </c>
      <c r="O7">
        <v>6.1602418745275891</v>
      </c>
      <c r="P7">
        <f t="shared" si="2"/>
        <v>6.2663780392769386</v>
      </c>
      <c r="Q7">
        <f t="shared" si="3"/>
        <v>6.2283041336407363</v>
      </c>
      <c r="R7">
        <v>37.287286223486475</v>
      </c>
      <c r="S7">
        <v>30.506080882594123</v>
      </c>
      <c r="T7">
        <v>37.514363127979713</v>
      </c>
      <c r="U7">
        <v>39.955836801028845</v>
      </c>
      <c r="V7">
        <v>13035.061599999999</v>
      </c>
      <c r="W7">
        <v>40.598077498446507</v>
      </c>
      <c r="X7">
        <v>41.626071146366357</v>
      </c>
      <c r="Y7">
        <v>44.940332311126177</v>
      </c>
      <c r="Z7">
        <v>484185.26532036468</v>
      </c>
      <c r="AA7">
        <v>526973</v>
      </c>
      <c r="AB7">
        <v>224220.73946089277</v>
      </c>
      <c r="AC7">
        <v>241590.69917749707</v>
      </c>
      <c r="AD7">
        <v>112993.97288301832</v>
      </c>
      <c r="AE7">
        <v>119760.33819353985</v>
      </c>
      <c r="AF7">
        <v>53141.554981075227</v>
      </c>
      <c r="AG7">
        <v>61416.849938530722</v>
      </c>
      <c r="AH7">
        <v>58085.211596799272</v>
      </c>
      <c r="AI7">
        <v>60413.511045426523</v>
      </c>
      <c r="AJ7">
        <v>219000</v>
      </c>
      <c r="AK7">
        <v>212000</v>
      </c>
      <c r="AL7">
        <v>220000</v>
      </c>
      <c r="AM7">
        <v>17940</v>
      </c>
      <c r="AN7">
        <v>19790</v>
      </c>
      <c r="AO7">
        <v>22555</v>
      </c>
      <c r="AP7">
        <v>94.396551724137936</v>
      </c>
      <c r="AQ7">
        <v>91.016548463356969</v>
      </c>
      <c r="AR7">
        <v>93.0841121495327</v>
      </c>
      <c r="AS7">
        <v>74.599999999999994</v>
      </c>
      <c r="AT7">
        <v>72.5</v>
      </c>
      <c r="AU7">
        <v>74.400000000000006</v>
      </c>
      <c r="AV7">
        <v>79.7</v>
      </c>
      <c r="AW7">
        <v>81.099999999999994</v>
      </c>
      <c r="AX7">
        <v>84.3</v>
      </c>
      <c r="AY7">
        <v>69.8</v>
      </c>
      <c r="AZ7">
        <v>64.400000000000006</v>
      </c>
      <c r="BA7">
        <v>65</v>
      </c>
      <c r="BB7">
        <v>7.1</v>
      </c>
      <c r="BC7">
        <v>8</v>
      </c>
      <c r="BD7">
        <v>5.9</v>
      </c>
      <c r="BE7">
        <v>25.470919586876196</v>
      </c>
      <c r="BF7">
        <v>28.267423634495536</v>
      </c>
      <c r="BG7">
        <v>41.298881322542044</v>
      </c>
      <c r="BH7">
        <v>20.623050305270638</v>
      </c>
      <c r="BI7">
        <v>21.154959813211661</v>
      </c>
      <c r="BJ7">
        <v>27.289049101076891</v>
      </c>
      <c r="BK7" t="s">
        <v>29</v>
      </c>
      <c r="BL7" t="s">
        <v>29</v>
      </c>
      <c r="BM7" t="s">
        <v>41</v>
      </c>
      <c r="BN7" t="s">
        <v>34</v>
      </c>
      <c r="BO7" t="s">
        <v>36</v>
      </c>
      <c r="BP7" t="s">
        <v>29</v>
      </c>
      <c r="BQ7" t="s">
        <v>45</v>
      </c>
      <c r="BR7" t="s">
        <v>32</v>
      </c>
      <c r="BS7" t="s">
        <v>36</v>
      </c>
      <c r="BT7">
        <v>10.559549960686407</v>
      </c>
      <c r="BU7">
        <v>10.952012912352762</v>
      </c>
      <c r="BV7">
        <v>16.608157848611562</v>
      </c>
      <c r="BW7">
        <v>18.347439391765889</v>
      </c>
      <c r="BX7">
        <v>22.326086956521742</v>
      </c>
      <c r="BY7">
        <v>27.31055352414576</v>
      </c>
      <c r="BZ7" t="s">
        <v>65</v>
      </c>
      <c r="CA7">
        <v>233</v>
      </c>
      <c r="CB7">
        <v>219</v>
      </c>
      <c r="CC7">
        <v>217</v>
      </c>
      <c r="CD7">
        <v>37</v>
      </c>
      <c r="CE7">
        <v>33</v>
      </c>
      <c r="CF7">
        <v>31</v>
      </c>
      <c r="CG7">
        <v>9.8146128680479823</v>
      </c>
      <c r="CH7">
        <v>8.8946926988778117</v>
      </c>
      <c r="CI7">
        <v>8.6676387137452711</v>
      </c>
      <c r="CJ7">
        <v>48.994671864847305</v>
      </c>
      <c r="CK7">
        <v>58.748979591836736</v>
      </c>
      <c r="CL7">
        <v>64.182541436464092</v>
      </c>
      <c r="CM7">
        <v>30.3</v>
      </c>
      <c r="CN7">
        <v>36.4</v>
      </c>
      <c r="CO7">
        <v>41.3</v>
      </c>
      <c r="CP7">
        <v>15.5</v>
      </c>
      <c r="CQ7">
        <v>7.7</v>
      </c>
      <c r="CR7">
        <v>6.1</v>
      </c>
      <c r="CS7">
        <v>27.804921808943593</v>
      </c>
      <c r="CT7">
        <v>24.644656553447962</v>
      </c>
      <c r="CU7">
        <v>19.479531360838426</v>
      </c>
      <c r="CV7">
        <v>42.747268337768858</v>
      </c>
      <c r="CW7">
        <v>43.424594531575487</v>
      </c>
      <c r="CX7">
        <v>24.154481590810278</v>
      </c>
      <c r="CY7">
        <v>13.706961668383991</v>
      </c>
      <c r="CZ7">
        <v>15.525036303452197</v>
      </c>
      <c r="DA7">
        <v>31.461808654264207</v>
      </c>
      <c r="DB7">
        <v>15.740848184903566</v>
      </c>
      <c r="DC7">
        <v>16.405712611524343</v>
      </c>
      <c r="DD7">
        <v>24.904178394087094</v>
      </c>
      <c r="DE7">
        <v>89.752099948158872</v>
      </c>
      <c r="DF7">
        <v>82.8150445478243</v>
      </c>
      <c r="DG7">
        <v>69.360507441994926</v>
      </c>
      <c r="DH7">
        <v>10.077117583553594</v>
      </c>
      <c r="DI7">
        <v>10.978599784851117</v>
      </c>
      <c r="DJ7">
        <v>8.2641301868820349</v>
      </c>
      <c r="DK7">
        <v>18.376623376623378</v>
      </c>
      <c r="DL7">
        <v>17.869884575026234</v>
      </c>
      <c r="DM7">
        <v>13.427886039777126</v>
      </c>
      <c r="DN7">
        <v>22.939682013911888</v>
      </c>
      <c r="DO7">
        <v>23.231165245306407</v>
      </c>
      <c r="DP7">
        <v>18.633859713551228</v>
      </c>
      <c r="DQ7">
        <v>11</v>
      </c>
      <c r="DR7">
        <v>12.316715542521994</v>
      </c>
      <c r="DS7">
        <v>15.835777126099707</v>
      </c>
      <c r="DT7">
        <v>25</v>
      </c>
      <c r="DU7">
        <v>26.392961876832842</v>
      </c>
      <c r="DV7">
        <v>26.392961876832842</v>
      </c>
      <c r="DW7">
        <v>24</v>
      </c>
      <c r="DX7">
        <v>25.219941348973606</v>
      </c>
      <c r="DY7">
        <v>19.941348973607038</v>
      </c>
      <c r="DZ7">
        <v>21</v>
      </c>
      <c r="EA7">
        <v>22.287390029325511</v>
      </c>
      <c r="EB7">
        <v>18.181818181818183</v>
      </c>
      <c r="EC7">
        <v>20</v>
      </c>
      <c r="ED7">
        <v>13.782991202346039</v>
      </c>
      <c r="EE7">
        <v>19.648093841642229</v>
      </c>
      <c r="EF7">
        <v>381661</v>
      </c>
      <c r="EG7">
        <v>402511</v>
      </c>
      <c r="EH7">
        <v>401865</v>
      </c>
      <c r="EI7">
        <v>37.74014753771516</v>
      </c>
      <c r="EJ7">
        <v>49.068210903861797</v>
      </c>
      <c r="EK7">
        <v>39.068810732994763</v>
      </c>
      <c r="EL7">
        <v>45.654280857662599</v>
      </c>
      <c r="EM7">
        <v>38.606535002619019</v>
      </c>
      <c r="EN7">
        <v>44.081503256671859</v>
      </c>
      <c r="EO7">
        <v>39.10570215643061</v>
      </c>
      <c r="EP7">
        <v>38.568444200109951</v>
      </c>
      <c r="EQ7">
        <v>19.078991051074535</v>
      </c>
      <c r="ER7">
        <v>19.489307741080179</v>
      </c>
      <c r="ES7">
        <v>32.982921485642215</v>
      </c>
      <c r="ET7">
        <v>32.183617372182518</v>
      </c>
      <c r="EU7">
        <v>21.126251410949706</v>
      </c>
      <c r="EV7">
        <v>18.637961842181106</v>
      </c>
      <c r="EW7">
        <v>14.230361658832786</v>
      </c>
      <c r="EX7">
        <v>10.367784496976361</v>
      </c>
      <c r="EY7">
        <v>4.5556153953979068</v>
      </c>
      <c r="EZ7">
        <v>5.169750417891521</v>
      </c>
      <c r="FA7">
        <v>6.6877303844128484</v>
      </c>
      <c r="FB7">
        <v>7.4288070368334251</v>
      </c>
      <c r="FC7">
        <v>11.216035766191801</v>
      </c>
      <c r="FD7">
        <v>5.4412358060983346</v>
      </c>
      <c r="FE7">
        <v>6.9932843146815413</v>
      </c>
      <c r="FF7">
        <v>10.081363386476086</v>
      </c>
      <c r="FG7">
        <v>5.4165713737670345</v>
      </c>
      <c r="FH7">
        <v>7.1802409360770056</v>
      </c>
      <c r="FI7">
        <v>0</v>
      </c>
      <c r="FJ7">
        <v>0.13304013194062669</v>
      </c>
      <c r="FK7">
        <v>33.949161802340626</v>
      </c>
      <c r="FL7">
        <v>40.904805160459475</v>
      </c>
      <c r="FM7">
        <v>36.598322158520389</v>
      </c>
      <c r="FN7">
        <v>34.934857896762132</v>
      </c>
      <c r="FO7">
        <v>19.866578485780831</v>
      </c>
      <c r="FP7">
        <v>20.615966608791638</v>
      </c>
      <c r="FQ7">
        <v>32.26379036698733</v>
      </c>
      <c r="FR7">
        <v>31.490297399813095</v>
      </c>
      <c r="FS7">
        <v>18.99315639646893</v>
      </c>
      <c r="FT7">
        <v>14.510917683312444</v>
      </c>
      <c r="FU7">
        <v>9.8649305218151788</v>
      </c>
      <c r="FV7">
        <v>9.7570227035347159</v>
      </c>
      <c r="FW7">
        <v>5.9184230957241857</v>
      </c>
      <c r="FX7">
        <v>5.6416654210120845</v>
      </c>
      <c r="FY7">
        <v>6.3913451883522825</v>
      </c>
      <c r="FZ7">
        <v>6.0887251937771429</v>
      </c>
      <c r="GA7">
        <v>10.252465710095752</v>
      </c>
      <c r="GB7">
        <v>2.9113822166519103</v>
      </c>
      <c r="GC7">
        <v>6.6977617983351152</v>
      </c>
      <c r="GD7">
        <v>8.997856082678247</v>
      </c>
      <c r="GE7">
        <v>11.020214509589682</v>
      </c>
      <c r="GF7">
        <v>15.415262909772457</v>
      </c>
      <c r="GG7">
        <v>8.1838499659897046</v>
      </c>
      <c r="GH7">
        <v>8.7312407234346647</v>
      </c>
    </row>
    <row r="8" spans="1:190">
      <c r="A8" t="s">
        <v>5</v>
      </c>
      <c r="B8">
        <v>584500</v>
      </c>
      <c r="C8">
        <v>623384.22189153836</v>
      </c>
      <c r="D8">
        <v>648006.18588030129</v>
      </c>
      <c r="E8">
        <v>709073.63267750596</v>
      </c>
      <c r="F8">
        <v>132500</v>
      </c>
      <c r="G8">
        <v>137204.93633449471</v>
      </c>
      <c r="H8">
        <v>144757.12088373912</v>
      </c>
      <c r="I8">
        <v>22.668947818648416</v>
      </c>
      <c r="J8">
        <f t="shared" si="0"/>
        <v>22.009690254619048</v>
      </c>
      <c r="K8">
        <f t="shared" si="1"/>
        <v>22.338848615633189</v>
      </c>
      <c r="L8">
        <v>33700</v>
      </c>
      <c r="M8">
        <v>34698.061355566548</v>
      </c>
      <c r="N8">
        <v>36728.218076928883</v>
      </c>
      <c r="O8">
        <v>5.7656116338751069</v>
      </c>
      <c r="P8">
        <f t="shared" si="2"/>
        <v>5.5660794959298165</v>
      </c>
      <c r="Q8">
        <f t="shared" si="3"/>
        <v>5.6678807821926043</v>
      </c>
      <c r="R8">
        <v>36.43088154234443</v>
      </c>
      <c r="S8">
        <v>24.391132826623434</v>
      </c>
      <c r="T8">
        <v>36.175774244666094</v>
      </c>
      <c r="U8">
        <v>38.285072338370263</v>
      </c>
      <c r="V8">
        <v>17124.544200000004</v>
      </c>
      <c r="W8">
        <v>34.132383427253352</v>
      </c>
      <c r="X8">
        <v>35.434611229524947</v>
      </c>
      <c r="Y8">
        <v>38.003931222881825</v>
      </c>
      <c r="Z8">
        <v>652479.2327184137</v>
      </c>
      <c r="AA8">
        <v>684920</v>
      </c>
      <c r="AB8">
        <v>225168.68037906985</v>
      </c>
      <c r="AC8">
        <v>240865.67867121074</v>
      </c>
      <c r="AD8">
        <v>118752.46748343384</v>
      </c>
      <c r="AE8">
        <v>125039.74844626538</v>
      </c>
      <c r="AF8">
        <v>46871.112685331915</v>
      </c>
      <c r="AG8">
        <v>54536.2091778662</v>
      </c>
      <c r="AH8">
        <v>59545.100210304081</v>
      </c>
      <c r="AI8">
        <v>61289.721047079147</v>
      </c>
      <c r="AJ8">
        <v>337000</v>
      </c>
      <c r="AK8">
        <v>319000</v>
      </c>
      <c r="AL8">
        <v>379000</v>
      </c>
      <c r="AM8">
        <v>22290</v>
      </c>
      <c r="AN8">
        <v>24475</v>
      </c>
      <c r="AO8">
        <v>29960</v>
      </c>
      <c r="AP8">
        <v>95.150501672240807</v>
      </c>
      <c r="AQ8">
        <v>91.955835962145102</v>
      </c>
      <c r="AR8">
        <v>92.204301075268816</v>
      </c>
      <c r="AS8">
        <v>68.7</v>
      </c>
      <c r="AT8">
        <v>68.2</v>
      </c>
      <c r="AU8">
        <v>73.3</v>
      </c>
      <c r="AV8">
        <v>76.5</v>
      </c>
      <c r="AW8">
        <v>76.099999999999994</v>
      </c>
      <c r="AX8">
        <v>81.099999999999994</v>
      </c>
      <c r="AY8">
        <v>60.9</v>
      </c>
      <c r="AZ8">
        <v>60.1</v>
      </c>
      <c r="BA8">
        <v>65.5</v>
      </c>
      <c r="BB8">
        <v>7</v>
      </c>
      <c r="BC8">
        <v>9.1</v>
      </c>
      <c r="BD8">
        <v>6.5</v>
      </c>
      <c r="BE8">
        <v>38.075840858526369</v>
      </c>
      <c r="BF8">
        <v>47.743114439776008</v>
      </c>
      <c r="BG8">
        <v>49.639999262482483</v>
      </c>
      <c r="BH8">
        <v>32.360115871321845</v>
      </c>
      <c r="BI8">
        <v>35.194296310332689</v>
      </c>
      <c r="BJ8">
        <v>40.598065527344055</v>
      </c>
      <c r="BK8" t="s">
        <v>29</v>
      </c>
      <c r="BL8" t="s">
        <v>29</v>
      </c>
      <c r="BM8" t="s">
        <v>29</v>
      </c>
      <c r="BN8" t="s">
        <v>45</v>
      </c>
      <c r="BO8" t="s">
        <v>41</v>
      </c>
      <c r="BP8" t="s">
        <v>41</v>
      </c>
      <c r="BQ8" t="s">
        <v>41</v>
      </c>
      <c r="BR8" t="s">
        <v>39</v>
      </c>
      <c r="BS8" t="s">
        <v>147</v>
      </c>
      <c r="BT8">
        <v>25.428914449479105</v>
      </c>
      <c r="BU8">
        <v>34.604370548330401</v>
      </c>
      <c r="BV8">
        <v>29.287742871798724</v>
      </c>
      <c r="BW8">
        <v>40.571509407271186</v>
      </c>
      <c r="BX8">
        <v>46.138150627071283</v>
      </c>
      <c r="BY8">
        <v>51.437953435440278</v>
      </c>
      <c r="BZ8" t="s">
        <v>66</v>
      </c>
      <c r="CA8">
        <v>209</v>
      </c>
      <c r="CB8">
        <v>214</v>
      </c>
      <c r="CC8">
        <v>223</v>
      </c>
      <c r="CD8">
        <v>27</v>
      </c>
      <c r="CE8">
        <v>31</v>
      </c>
      <c r="CF8">
        <v>30</v>
      </c>
      <c r="CG8">
        <v>9.2398631131390641</v>
      </c>
      <c r="CH8">
        <v>8.7658649326230016</v>
      </c>
      <c r="CI8">
        <v>8.2749048578464297</v>
      </c>
      <c r="CJ8">
        <v>50.122076629623493</v>
      </c>
      <c r="CK8">
        <v>59.711857326478132</v>
      </c>
      <c r="CL8">
        <v>59.714349162965497</v>
      </c>
      <c r="CM8">
        <v>32.799999999999997</v>
      </c>
      <c r="CN8">
        <v>41.8</v>
      </c>
      <c r="CO8">
        <v>45.4</v>
      </c>
      <c r="CP8">
        <v>12.7</v>
      </c>
      <c r="CQ8">
        <v>10.5</v>
      </c>
      <c r="CR8">
        <v>8.9</v>
      </c>
      <c r="CS8">
        <v>27.042164292020811</v>
      </c>
      <c r="CT8">
        <v>25.906399412593007</v>
      </c>
      <c r="CU8">
        <v>12.704190766692566</v>
      </c>
      <c r="CV8">
        <v>38.995019626018255</v>
      </c>
      <c r="CW8">
        <v>34.162284185332524</v>
      </c>
      <c r="CX8">
        <v>19.358675529720966</v>
      </c>
      <c r="CY8">
        <v>16.227728959111083</v>
      </c>
      <c r="CZ8">
        <v>21.836832662569712</v>
      </c>
      <c r="DA8">
        <v>44.770654081896922</v>
      </c>
      <c r="DB8">
        <v>17.735087122849858</v>
      </c>
      <c r="DC8">
        <v>18.094483739504749</v>
      </c>
      <c r="DD8">
        <v>23.166479621689543</v>
      </c>
      <c r="DE8">
        <v>115.39939239137395</v>
      </c>
      <c r="DF8">
        <v>100.17446932247746</v>
      </c>
      <c r="DG8">
        <v>77.012261975274413</v>
      </c>
      <c r="DH8">
        <v>10.656299204547778</v>
      </c>
      <c r="DI8">
        <v>10.575417975089549</v>
      </c>
      <c r="DJ8">
        <v>8.1101694513792495</v>
      </c>
      <c r="DK8">
        <v>21.604278074866308</v>
      </c>
      <c r="DL8">
        <v>20.920245398773009</v>
      </c>
      <c r="DM8">
        <v>16.677296221907039</v>
      </c>
      <c r="DN8">
        <v>27.434253395933233</v>
      </c>
      <c r="DO8">
        <v>26.790826879769579</v>
      </c>
      <c r="DP8">
        <v>18.65686469302603</v>
      </c>
      <c r="DQ8">
        <v>15</v>
      </c>
      <c r="DR8">
        <v>13.966480446927374</v>
      </c>
      <c r="DS8">
        <v>11.484593837535014</v>
      </c>
      <c r="DT8">
        <v>32</v>
      </c>
      <c r="DU8">
        <v>34.07821229050279</v>
      </c>
      <c r="DV8">
        <v>32.773109243697476</v>
      </c>
      <c r="DW8">
        <v>30</v>
      </c>
      <c r="DX8">
        <v>30.726256983240223</v>
      </c>
      <c r="DY8">
        <v>26.610644257703083</v>
      </c>
      <c r="DZ8">
        <v>15</v>
      </c>
      <c r="EA8">
        <v>13.407821229050279</v>
      </c>
      <c r="EB8">
        <v>14.845938375350141</v>
      </c>
      <c r="EC8">
        <v>9</v>
      </c>
      <c r="ED8">
        <v>7.8212290502793298</v>
      </c>
      <c r="EE8">
        <v>14.285714285714285</v>
      </c>
      <c r="EF8">
        <v>415773</v>
      </c>
      <c r="EG8">
        <v>440428</v>
      </c>
      <c r="EH8">
        <v>443952</v>
      </c>
      <c r="EI8">
        <v>37.2831504605576</v>
      </c>
      <c r="EJ8">
        <v>42.509607070804108</v>
      </c>
      <c r="EK8">
        <v>37.95795959913378</v>
      </c>
      <c r="EL8">
        <v>45.865249265210977</v>
      </c>
      <c r="EM8">
        <v>32.419453105400855</v>
      </c>
      <c r="EN8">
        <v>43.150301203079607</v>
      </c>
      <c r="EO8">
        <v>38.138319628347652</v>
      </c>
      <c r="EP8">
        <v>34.905242627632632</v>
      </c>
      <c r="EQ8">
        <v>24.52352793606422</v>
      </c>
      <c r="ER8">
        <v>26.609833717417796</v>
      </c>
      <c r="ES8">
        <v>40.036872210928578</v>
      </c>
      <c r="ET8">
        <v>42.832621015289547</v>
      </c>
      <c r="EU8">
        <v>16.801060817833207</v>
      </c>
      <c r="EV8">
        <v>10.398581486551269</v>
      </c>
      <c r="EW8">
        <v>7.2065637419189423</v>
      </c>
      <c r="EX8">
        <v>6.5447018961425369</v>
      </c>
      <c r="EY8">
        <v>6.7340429344514927</v>
      </c>
      <c r="EZ8">
        <v>7.2808552665777206</v>
      </c>
      <c r="FA8">
        <v>6.6400503024864319</v>
      </c>
      <c r="FB8">
        <v>7.8403080796270412</v>
      </c>
      <c r="FC8">
        <v>10.53506791384439</v>
      </c>
      <c r="FD8">
        <v>2.5788528292296942</v>
      </c>
      <c r="FE8">
        <v>4.120652711389484</v>
      </c>
      <c r="FF8">
        <v>7.8771263813082442</v>
      </c>
      <c r="FG8">
        <v>8.9868472924058409</v>
      </c>
      <c r="FH8">
        <v>9.9815754971439219</v>
      </c>
      <c r="FI8">
        <v>3.8575414049289094</v>
      </c>
      <c r="FJ8">
        <v>0</v>
      </c>
      <c r="FK8">
        <v>28.78036912168503</v>
      </c>
      <c r="FL8">
        <v>38.452542128762786</v>
      </c>
      <c r="FM8">
        <v>34.738367667565875</v>
      </c>
      <c r="FN8">
        <v>32.353277657018644</v>
      </c>
      <c r="FO8">
        <v>27.125230266587884</v>
      </c>
      <c r="FP8">
        <v>27.600172835949877</v>
      </c>
      <c r="FQ8">
        <v>41.469013938703803</v>
      </c>
      <c r="FR8">
        <v>40.392851280571819</v>
      </c>
      <c r="FS8">
        <v>14.994960202982169</v>
      </c>
      <c r="FT8">
        <v>9.194872533486965</v>
      </c>
      <c r="FU8">
        <v>5.2679653389680849</v>
      </c>
      <c r="FV8">
        <v>4.8019577901245007</v>
      </c>
      <c r="FW8">
        <v>7.2600882833408642</v>
      </c>
      <c r="FX8">
        <v>6.8408468961543996</v>
      </c>
      <c r="FY8">
        <v>6.5601422490698393</v>
      </c>
      <c r="FZ8">
        <v>6.0076700009450716</v>
      </c>
      <c r="GA8">
        <v>9.0910986757498868</v>
      </c>
      <c r="GB8">
        <v>1.9006193288203947</v>
      </c>
      <c r="GC8">
        <v>4.6395362290599751</v>
      </c>
      <c r="GD8">
        <v>6.8766383311032966</v>
      </c>
      <c r="GE8">
        <v>12.748253449654166</v>
      </c>
      <c r="GF8">
        <v>16.010946276825571</v>
      </c>
      <c r="GG8">
        <v>7.3249745766324228</v>
      </c>
      <c r="GH8">
        <v>9.5676049402366665</v>
      </c>
    </row>
    <row r="9" spans="1:190">
      <c r="A9" t="s">
        <v>6</v>
      </c>
      <c r="B9">
        <v>528000</v>
      </c>
      <c r="C9">
        <v>577151.4854371479</v>
      </c>
      <c r="D9">
        <v>605770.54134788096</v>
      </c>
      <c r="E9">
        <v>671838.8184793368</v>
      </c>
      <c r="F9">
        <v>119300</v>
      </c>
      <c r="G9">
        <v>131509.43935039442</v>
      </c>
      <c r="H9">
        <v>135695.89931866512</v>
      </c>
      <c r="I9">
        <v>22.594696969696969</v>
      </c>
      <c r="J9">
        <f t="shared" si="0"/>
        <v>22.785948346089093</v>
      </c>
      <c r="K9">
        <f t="shared" si="1"/>
        <v>22.400544439934706</v>
      </c>
      <c r="L9">
        <v>26600</v>
      </c>
      <c r="M9">
        <v>28850.887866471214</v>
      </c>
      <c r="N9">
        <v>30698.266184746702</v>
      </c>
      <c r="O9">
        <v>5.0378787878787881</v>
      </c>
      <c r="P9">
        <f t="shared" si="2"/>
        <v>4.9988414817331508</v>
      </c>
      <c r="Q9">
        <f t="shared" si="3"/>
        <v>5.0676393270034152</v>
      </c>
      <c r="R9">
        <v>35.498274156846314</v>
      </c>
      <c r="S9">
        <v>32.59982672490024</v>
      </c>
      <c r="T9">
        <v>35.61008088323419</v>
      </c>
      <c r="U9">
        <v>37.854490276466422</v>
      </c>
      <c r="V9">
        <v>11179.950699999999</v>
      </c>
      <c r="W9">
        <v>47.813094267861992</v>
      </c>
      <c r="X9">
        <v>49.144254278728603</v>
      </c>
      <c r="Y9">
        <v>54.821881497477357</v>
      </c>
      <c r="Z9">
        <v>479645.12692733586</v>
      </c>
      <c r="AA9">
        <v>532952</v>
      </c>
      <c r="AB9">
        <v>222826.91036484702</v>
      </c>
      <c r="AC9">
        <v>242595.53692108969</v>
      </c>
      <c r="AD9">
        <v>101588.55024556912</v>
      </c>
      <c r="AE9">
        <v>108617.95248040429</v>
      </c>
      <c r="AF9">
        <v>60275.934916296959</v>
      </c>
      <c r="AG9">
        <v>70894.473659707932</v>
      </c>
      <c r="AH9">
        <v>60962.425202980943</v>
      </c>
      <c r="AI9">
        <v>63083.110780977455</v>
      </c>
      <c r="AJ9">
        <v>188000</v>
      </c>
      <c r="AK9">
        <v>186000</v>
      </c>
      <c r="AL9">
        <v>218000</v>
      </c>
      <c r="AM9">
        <v>18135</v>
      </c>
      <c r="AN9">
        <v>20745</v>
      </c>
      <c r="AO9">
        <v>24890</v>
      </c>
      <c r="AP9">
        <v>95.309568480300186</v>
      </c>
      <c r="AQ9">
        <v>90.715667311411991</v>
      </c>
      <c r="AR9">
        <v>91.653290529695013</v>
      </c>
      <c r="AS9">
        <v>68.7</v>
      </c>
      <c r="AT9">
        <v>68.2</v>
      </c>
      <c r="AU9">
        <v>73.3</v>
      </c>
      <c r="AV9">
        <v>76.5</v>
      </c>
      <c r="AW9">
        <v>76.099999999999994</v>
      </c>
      <c r="AX9">
        <v>81.099999999999994</v>
      </c>
      <c r="AY9">
        <v>60.9</v>
      </c>
      <c r="AZ9">
        <v>60.1</v>
      </c>
      <c r="BA9">
        <v>65.5</v>
      </c>
      <c r="BB9">
        <v>7</v>
      </c>
      <c r="BC9">
        <v>9.1</v>
      </c>
      <c r="BD9">
        <v>6.5</v>
      </c>
      <c r="BE9">
        <v>36.055386196061875</v>
      </c>
      <c r="BF9">
        <v>41.684505596764865</v>
      </c>
      <c r="BG9">
        <v>40.438964681629194</v>
      </c>
      <c r="BH9">
        <v>33.360967608540378</v>
      </c>
      <c r="BI9">
        <v>38.489939222963471</v>
      </c>
      <c r="BJ9">
        <v>37.085589064961667</v>
      </c>
      <c r="BK9" t="s">
        <v>30</v>
      </c>
      <c r="BL9" t="s">
        <v>30</v>
      </c>
      <c r="BM9" t="s">
        <v>30</v>
      </c>
      <c r="BN9" t="s">
        <v>35</v>
      </c>
      <c r="BO9" t="s">
        <v>36</v>
      </c>
      <c r="BP9" t="s">
        <v>41</v>
      </c>
      <c r="BQ9" t="s">
        <v>42</v>
      </c>
      <c r="BR9" t="s">
        <v>41</v>
      </c>
      <c r="BS9" t="s">
        <v>42</v>
      </c>
      <c r="BT9">
        <v>25.3514219476119</v>
      </c>
      <c r="BU9">
        <v>24.51111762489008</v>
      </c>
      <c r="BV9">
        <v>31.184849656500376</v>
      </c>
      <c r="BW9">
        <v>43.228302929795461</v>
      </c>
      <c r="BX9">
        <v>46.373015873015873</v>
      </c>
      <c r="BY9">
        <v>48.6559376929766</v>
      </c>
      <c r="BZ9" t="s">
        <v>67</v>
      </c>
      <c r="CA9">
        <v>197</v>
      </c>
      <c r="CB9">
        <v>201</v>
      </c>
      <c r="CC9">
        <v>207</v>
      </c>
      <c r="CD9">
        <v>22</v>
      </c>
      <c r="CE9">
        <v>23</v>
      </c>
      <c r="CF9">
        <v>23</v>
      </c>
      <c r="CG9">
        <v>4.4528977399865743</v>
      </c>
      <c r="CH9">
        <v>4.6193960984612747</v>
      </c>
      <c r="CI9">
        <v>4.7638403381838872</v>
      </c>
      <c r="CJ9">
        <v>45.536330178759201</v>
      </c>
      <c r="CK9">
        <v>53.507681755829893</v>
      </c>
      <c r="CL9">
        <v>54.536537126995142</v>
      </c>
      <c r="CM9">
        <v>32.799999999999997</v>
      </c>
      <c r="CN9">
        <v>41.8</v>
      </c>
      <c r="CO9">
        <v>45.4</v>
      </c>
      <c r="CP9">
        <v>12.7</v>
      </c>
      <c r="CQ9">
        <v>10.5</v>
      </c>
      <c r="CR9">
        <v>8.9</v>
      </c>
      <c r="CS9">
        <v>21.895241169235067</v>
      </c>
      <c r="CT9">
        <v>23.1878059605971</v>
      </c>
      <c r="CU9">
        <v>14.447361069514947</v>
      </c>
      <c r="CV9">
        <v>36.822539142100666</v>
      </c>
      <c r="CW9">
        <v>30.732711870038397</v>
      </c>
      <c r="CX9">
        <v>16.863685668912439</v>
      </c>
      <c r="CY9">
        <v>14.966509260613112</v>
      </c>
      <c r="CZ9">
        <v>23.162897965917477</v>
      </c>
      <c r="DA9">
        <v>33.222261091913957</v>
      </c>
      <c r="DB9">
        <v>26.315710428051158</v>
      </c>
      <c r="DC9">
        <v>22.916584203447034</v>
      </c>
      <c r="DD9">
        <v>35.466692169658657</v>
      </c>
      <c r="DE9">
        <v>112.83866964944524</v>
      </c>
      <c r="DF9">
        <v>92.792586594553427</v>
      </c>
      <c r="DG9">
        <v>82.406289318797874</v>
      </c>
      <c r="DH9">
        <v>15.079202904433068</v>
      </c>
      <c r="DI9">
        <v>14.829739345095478</v>
      </c>
      <c r="DJ9">
        <v>10.703126175513214</v>
      </c>
      <c r="DK9">
        <v>28.005115089514064</v>
      </c>
      <c r="DL9">
        <v>27.793190416141233</v>
      </c>
      <c r="DM9">
        <v>21.667841833708266</v>
      </c>
      <c r="DN9">
        <v>38.336067703980902</v>
      </c>
      <c r="DO9">
        <v>35.483694605201357</v>
      </c>
      <c r="DP9">
        <v>24.877160430196199</v>
      </c>
      <c r="DQ9">
        <v>37</v>
      </c>
      <c r="DR9">
        <v>39.384615384615387</v>
      </c>
      <c r="DS9">
        <v>34.756097560975604</v>
      </c>
      <c r="DT9">
        <v>34</v>
      </c>
      <c r="DU9">
        <v>30.153846153846153</v>
      </c>
      <c r="DV9">
        <v>31.097560975609756</v>
      </c>
      <c r="DW9">
        <v>16</v>
      </c>
      <c r="DX9">
        <v>16.615384615384617</v>
      </c>
      <c r="DY9">
        <v>16.158536585365855</v>
      </c>
      <c r="DZ9">
        <v>10</v>
      </c>
      <c r="EA9">
        <v>9.2307692307692317</v>
      </c>
      <c r="EB9">
        <v>13.414634146341465</v>
      </c>
      <c r="EC9">
        <v>4</v>
      </c>
      <c r="ED9">
        <v>4.6153846153846159</v>
      </c>
      <c r="EE9">
        <v>4.5731707317073171</v>
      </c>
      <c r="EF9">
        <v>365538</v>
      </c>
      <c r="EG9">
        <v>383831</v>
      </c>
      <c r="EH9">
        <v>372682</v>
      </c>
      <c r="EI9">
        <v>36.131655620657639</v>
      </c>
      <c r="EJ9">
        <v>46.327575358920093</v>
      </c>
      <c r="EK9">
        <v>38.353539803400736</v>
      </c>
      <c r="EL9">
        <v>45.172053725710533</v>
      </c>
      <c r="EM9">
        <v>27.857499268741719</v>
      </c>
      <c r="EN9">
        <v>32.376699740420506</v>
      </c>
      <c r="EO9">
        <v>25.793132067641871</v>
      </c>
      <c r="EP9">
        <v>23.67083879306767</v>
      </c>
      <c r="EQ9">
        <v>29.211617543316297</v>
      </c>
      <c r="ER9">
        <v>33.262175288790083</v>
      </c>
      <c r="ES9">
        <v>51.204481792717083</v>
      </c>
      <c r="ET9">
        <v>53.999490095399594</v>
      </c>
      <c r="EU9">
        <v>16.965192105851788</v>
      </c>
      <c r="EV9">
        <v>14.873715523611628</v>
      </c>
      <c r="EW9">
        <v>9.4069232631324127</v>
      </c>
      <c r="EX9">
        <v>7.1374785810422212</v>
      </c>
      <c r="EY9">
        <v>8.8697327896212936</v>
      </c>
      <c r="EZ9">
        <v>7.8777007951595683</v>
      </c>
      <c r="FA9">
        <v>8.4918905833938521</v>
      </c>
      <c r="FB9">
        <v>9.1361860321714232</v>
      </c>
      <c r="FC9">
        <v>9.1639567095097991</v>
      </c>
      <c r="FD9">
        <v>2.9570588569660146</v>
      </c>
      <c r="FE9">
        <v>2.9726458484628417</v>
      </c>
      <c r="FF9">
        <v>5.3611132521834</v>
      </c>
      <c r="FG9">
        <v>7.9320015829591028</v>
      </c>
      <c r="FH9">
        <v>8.6526497950522057</v>
      </c>
      <c r="FI9">
        <v>2.1309264446519336</v>
      </c>
      <c r="FJ9">
        <v>0.69489324613569392</v>
      </c>
      <c r="FK9">
        <v>25.802188725996285</v>
      </c>
      <c r="FL9">
        <v>30.681925600095788</v>
      </c>
      <c r="FM9">
        <v>25.309464469405651</v>
      </c>
      <c r="FN9">
        <v>22.337167479790608</v>
      </c>
      <c r="FO9">
        <v>28.827586206896548</v>
      </c>
      <c r="FP9">
        <v>32.205718318912545</v>
      </c>
      <c r="FQ9">
        <v>48.879852534053178</v>
      </c>
      <c r="FR9">
        <v>48.823641133387937</v>
      </c>
      <c r="FS9">
        <v>16.295684493082799</v>
      </c>
      <c r="FT9">
        <v>12.17521725704707</v>
      </c>
      <c r="FU9">
        <v>6.7940654621773318</v>
      </c>
      <c r="FV9">
        <v>5.9678548959557469</v>
      </c>
      <c r="FW9">
        <v>9.4734668593846791</v>
      </c>
      <c r="FX9">
        <v>9.2719446947688162</v>
      </c>
      <c r="FY9">
        <v>9.3767906825823122</v>
      </c>
      <c r="FZ9">
        <v>8.7550300915209576</v>
      </c>
      <c r="GA9">
        <v>7.2062771009704738</v>
      </c>
      <c r="GB9">
        <v>1.5729473226495589</v>
      </c>
      <c r="GC9">
        <v>3.4312067215751791</v>
      </c>
      <c r="GD9">
        <v>4.7535106774450098</v>
      </c>
      <c r="GE9">
        <v>12.394796613669213</v>
      </c>
      <c r="GF9">
        <v>14.092246806526232</v>
      </c>
      <c r="GG9">
        <v>6.2086201302063557</v>
      </c>
      <c r="GH9">
        <v>9.362795721899742</v>
      </c>
    </row>
    <row r="10" spans="1:190">
      <c r="A10" t="s">
        <v>7</v>
      </c>
      <c r="B10">
        <v>507100</v>
      </c>
      <c r="C10">
        <v>541759.91270576534</v>
      </c>
      <c r="D10">
        <v>575685.87743135158</v>
      </c>
      <c r="E10">
        <v>671438.76504150033</v>
      </c>
      <c r="F10">
        <v>113700</v>
      </c>
      <c r="G10">
        <v>121277.61411331737</v>
      </c>
      <c r="H10">
        <v>127941.51264636382</v>
      </c>
      <c r="I10">
        <v>22.421613094064288</v>
      </c>
      <c r="J10">
        <f t="shared" si="0"/>
        <v>22.38585972660999</v>
      </c>
      <c r="K10">
        <f t="shared" si="1"/>
        <v>22.224188166161913</v>
      </c>
      <c r="L10">
        <v>24500</v>
      </c>
      <c r="M10">
        <v>25155.303606472538</v>
      </c>
      <c r="N10">
        <v>26218.617139958806</v>
      </c>
      <c r="O10">
        <v>4.8313942023269574</v>
      </c>
      <c r="P10">
        <f t="shared" si="2"/>
        <v>4.6432567298744765</v>
      </c>
      <c r="Q10">
        <f t="shared" si="3"/>
        <v>4.5543269633334509</v>
      </c>
      <c r="R10">
        <v>35.075075543893078</v>
      </c>
      <c r="S10">
        <v>35.735627045412315</v>
      </c>
      <c r="T10">
        <v>34.910359074614718</v>
      </c>
      <c r="U10">
        <v>36.944774743798988</v>
      </c>
      <c r="V10">
        <v>8575.8974999999991</v>
      </c>
      <c r="W10">
        <v>61.479335135724945</v>
      </c>
      <c r="X10">
        <v>63.80708752106495</v>
      </c>
      <c r="Y10">
        <v>69.832435253057284</v>
      </c>
      <c r="Z10">
        <v>422219.52359974763</v>
      </c>
      <c r="AA10">
        <v>483745</v>
      </c>
      <c r="AB10">
        <v>217965.83786326437</v>
      </c>
      <c r="AC10">
        <v>240749.26349739678</v>
      </c>
      <c r="AD10">
        <v>92735.754002072325</v>
      </c>
      <c r="AE10">
        <v>100654.55327483217</v>
      </c>
      <c r="AF10">
        <v>66753.517279292617</v>
      </c>
      <c r="AG10">
        <v>79431.343462950797</v>
      </c>
      <c r="AH10">
        <v>58476.56658189946</v>
      </c>
      <c r="AI10">
        <v>60663.366759613797</v>
      </c>
      <c r="AJ10">
        <v>154000</v>
      </c>
      <c r="AK10">
        <v>155000</v>
      </c>
      <c r="AL10">
        <v>183000</v>
      </c>
      <c r="AM10">
        <v>12795</v>
      </c>
      <c r="AN10">
        <v>14955</v>
      </c>
      <c r="AO10">
        <v>18600</v>
      </c>
      <c r="AP10">
        <v>94.685990338164245</v>
      </c>
      <c r="AQ10">
        <v>92.820512820512818</v>
      </c>
      <c r="AR10">
        <v>92.870544090056285</v>
      </c>
      <c r="AS10">
        <v>69.2</v>
      </c>
      <c r="AT10">
        <v>67.2</v>
      </c>
      <c r="AU10">
        <v>73.099999999999994</v>
      </c>
      <c r="AV10">
        <v>74</v>
      </c>
      <c r="AW10">
        <v>76.5</v>
      </c>
      <c r="AX10">
        <v>78.599999999999994</v>
      </c>
      <c r="AY10">
        <v>64.5</v>
      </c>
      <c r="AZ10">
        <v>58.1</v>
      </c>
      <c r="BA10">
        <v>67.7</v>
      </c>
      <c r="BB10">
        <v>8.6</v>
      </c>
      <c r="BC10">
        <v>9.8000000000000007</v>
      </c>
      <c r="BD10">
        <v>7.1</v>
      </c>
      <c r="BE10">
        <v>32.267362122152029</v>
      </c>
      <c r="BF10">
        <v>39.826722562614208</v>
      </c>
      <c r="BG10">
        <v>44.001743103975109</v>
      </c>
      <c r="BH10">
        <v>26.594921780885034</v>
      </c>
      <c r="BI10">
        <v>35.114934678857807</v>
      </c>
      <c r="BJ10">
        <v>35.007248007923288</v>
      </c>
      <c r="BK10" t="s">
        <v>31</v>
      </c>
      <c r="BL10" t="s">
        <v>31</v>
      </c>
      <c r="BM10" t="s">
        <v>31</v>
      </c>
      <c r="BN10" t="s">
        <v>36</v>
      </c>
      <c r="BO10" t="s">
        <v>36</v>
      </c>
      <c r="BP10" t="s">
        <v>148</v>
      </c>
      <c r="BQ10" t="s">
        <v>45</v>
      </c>
      <c r="BR10" t="s">
        <v>29</v>
      </c>
      <c r="BS10" t="s">
        <v>36</v>
      </c>
      <c r="BT10">
        <v>12.333288488273016</v>
      </c>
      <c r="BU10">
        <v>18.998434128466037</v>
      </c>
      <c r="BV10">
        <v>20.133109564947045</v>
      </c>
      <c r="BW10">
        <v>32.451590594744125</v>
      </c>
      <c r="BX10">
        <v>33.244654806593765</v>
      </c>
      <c r="BY10">
        <v>34.712293968216457</v>
      </c>
      <c r="BZ10" t="s">
        <v>63</v>
      </c>
      <c r="CA10">
        <v>198</v>
      </c>
      <c r="CB10">
        <v>197</v>
      </c>
      <c r="CC10">
        <v>199</v>
      </c>
      <c r="CD10">
        <v>18</v>
      </c>
      <c r="CE10">
        <v>22</v>
      </c>
      <c r="CF10">
        <v>24</v>
      </c>
      <c r="CG10">
        <v>6.4391500321957507</v>
      </c>
      <c r="CH10">
        <v>6.6048237476808911</v>
      </c>
      <c r="CI10">
        <v>6.2607339781252822</v>
      </c>
      <c r="CJ10">
        <v>39.868013790461596</v>
      </c>
      <c r="CK10">
        <v>51.554038997214477</v>
      </c>
      <c r="CL10">
        <v>54.829854936827324</v>
      </c>
      <c r="CM10">
        <v>32.5</v>
      </c>
      <c r="CN10">
        <v>46.3</v>
      </c>
      <c r="CO10">
        <v>48</v>
      </c>
      <c r="CP10">
        <v>11.6</v>
      </c>
      <c r="CQ10">
        <v>10.4</v>
      </c>
      <c r="CR10">
        <v>8.1</v>
      </c>
      <c r="CS10">
        <v>14.871098525209462</v>
      </c>
      <c r="CT10">
        <v>16.293985970855076</v>
      </c>
      <c r="CU10">
        <v>10.181478583507912</v>
      </c>
      <c r="CV10">
        <v>34.834536716238333</v>
      </c>
      <c r="CW10">
        <v>29.283890151002655</v>
      </c>
      <c r="CX10">
        <v>16.569575203816349</v>
      </c>
      <c r="CY10">
        <v>19.125387516826368</v>
      </c>
      <c r="CZ10">
        <v>21.03572791509043</v>
      </c>
      <c r="DA10">
        <v>33.847144047048133</v>
      </c>
      <c r="DB10">
        <v>31.16897724172583</v>
      </c>
      <c r="DC10">
        <v>33.386395963051847</v>
      </c>
      <c r="DD10">
        <v>39.401802165627601</v>
      </c>
      <c r="DE10">
        <v>129.06214990442001</v>
      </c>
      <c r="DF10">
        <v>107.08116746028699</v>
      </c>
      <c r="DG10">
        <v>82.971971652357865</v>
      </c>
      <c r="DH10">
        <v>14.773800853493386</v>
      </c>
      <c r="DI10">
        <v>14.401168000915224</v>
      </c>
      <c r="DJ10">
        <v>10.657239640162658</v>
      </c>
      <c r="DK10">
        <v>28.179231863442389</v>
      </c>
      <c r="DL10">
        <v>27.187060478199719</v>
      </c>
      <c r="DM10">
        <v>21.629444724752371</v>
      </c>
      <c r="DN10">
        <v>34.787730062014006</v>
      </c>
      <c r="DO10">
        <v>32.65665263220852</v>
      </c>
      <c r="DP10">
        <v>25.223903644224833</v>
      </c>
      <c r="DQ10">
        <v>41</v>
      </c>
      <c r="DR10">
        <v>41.100323624595468</v>
      </c>
      <c r="DS10">
        <v>31.5625</v>
      </c>
      <c r="DT10">
        <v>44</v>
      </c>
      <c r="DU10">
        <v>41.100323624595468</v>
      </c>
      <c r="DV10">
        <v>34.0625</v>
      </c>
      <c r="DW10">
        <v>13</v>
      </c>
      <c r="DX10">
        <v>14.563106796116504</v>
      </c>
      <c r="DY10">
        <v>24.6875</v>
      </c>
      <c r="DZ10">
        <v>2</v>
      </c>
      <c r="EA10">
        <v>3.2362459546925564</v>
      </c>
      <c r="EB10">
        <v>8.125</v>
      </c>
      <c r="ED10">
        <v>0</v>
      </c>
      <c r="EE10">
        <v>1.5625</v>
      </c>
      <c r="EF10">
        <v>346945</v>
      </c>
      <c r="EG10">
        <v>358308</v>
      </c>
      <c r="EH10">
        <v>366279</v>
      </c>
      <c r="EI10">
        <v>35.097283351039607</v>
      </c>
      <c r="EJ10">
        <v>43.043956550286246</v>
      </c>
      <c r="EK10">
        <v>37.206108822433855</v>
      </c>
      <c r="EL10">
        <v>45.344414396587737</v>
      </c>
      <c r="EM10">
        <v>20.380432284340493</v>
      </c>
      <c r="EN10">
        <v>25.22456262215594</v>
      </c>
      <c r="EO10">
        <v>20.742759123201164</v>
      </c>
      <c r="EP10">
        <v>18.878666005546066</v>
      </c>
      <c r="EQ10">
        <v>33.327817157146669</v>
      </c>
      <c r="ER10">
        <v>36.211957150931958</v>
      </c>
      <c r="ES10">
        <v>49.612909101949114</v>
      </c>
      <c r="ET10">
        <v>52.482569065677431</v>
      </c>
      <c r="EU10">
        <v>17.636134631473464</v>
      </c>
      <c r="EV10">
        <v>12.376652297382885</v>
      </c>
      <c r="EW10">
        <v>7.1293035399842122</v>
      </c>
      <c r="EX10">
        <v>6.9191167918510761</v>
      </c>
      <c r="EY10">
        <v>10.362136966654715</v>
      </c>
      <c r="EZ10">
        <v>10.628502938552584</v>
      </c>
      <c r="FA10">
        <v>9.4321148825065269</v>
      </c>
      <c r="FB10">
        <v>12.561291388904191</v>
      </c>
      <c r="FC10">
        <v>12.369105735903871</v>
      </c>
      <c r="FD10">
        <v>2.6627440564964826</v>
      </c>
      <c r="FE10">
        <v>3.792731799137774</v>
      </c>
      <c r="FF10">
        <v>8.3778671514884397</v>
      </c>
      <c r="FG10">
        <v>5.9243732244807816</v>
      </c>
      <c r="FH10">
        <v>12.895580934480147</v>
      </c>
      <c r="FI10">
        <v>9.2901815532212169</v>
      </c>
      <c r="FJ10">
        <v>0.78048959653278971</v>
      </c>
      <c r="FK10">
        <v>18.366172238211202</v>
      </c>
      <c r="FL10">
        <v>24.494163688494517</v>
      </c>
      <c r="FM10">
        <v>21.209620640316146</v>
      </c>
      <c r="FN10">
        <v>18.441214838223676</v>
      </c>
      <c r="FO10">
        <v>31.489041399158737</v>
      </c>
      <c r="FP10">
        <v>34.042885678955308</v>
      </c>
      <c r="FQ10">
        <v>48.483242613047068</v>
      </c>
      <c r="FR10">
        <v>47.756321923555099</v>
      </c>
      <c r="FS10">
        <v>15.858313039628072</v>
      </c>
      <c r="FT10">
        <v>10.815181204223343</v>
      </c>
      <c r="FU10">
        <v>6.1669606559114545</v>
      </c>
      <c r="FV10">
        <v>5.7514346433449086</v>
      </c>
      <c r="FW10">
        <v>10.885986274075714</v>
      </c>
      <c r="FX10">
        <v>11.218083733065184</v>
      </c>
      <c r="FY10">
        <v>11.011348237200112</v>
      </c>
      <c r="FZ10">
        <v>10.583595151916022</v>
      </c>
      <c r="GA10">
        <v>9.7976533097188394</v>
      </c>
      <c r="GB10">
        <v>2.2482368767919989</v>
      </c>
      <c r="GC10">
        <v>4.6914627037421175</v>
      </c>
      <c r="GD10">
        <v>7.0638959829986341</v>
      </c>
      <c r="GE10">
        <v>13.602833739207426</v>
      </c>
      <c r="GF10">
        <v>17.181448818469661</v>
      </c>
      <c r="GG10">
        <v>8.4373651497831048</v>
      </c>
      <c r="GH10">
        <v>10.403537459961662</v>
      </c>
    </row>
    <row r="11" spans="1:190">
      <c r="A11" t="s">
        <v>8</v>
      </c>
      <c r="B11">
        <v>489100</v>
      </c>
      <c r="C11">
        <v>524816.18844268937</v>
      </c>
      <c r="D11">
        <v>552632.35103310563</v>
      </c>
      <c r="E11">
        <v>624786.92279988481</v>
      </c>
      <c r="F11">
        <v>107300</v>
      </c>
      <c r="G11">
        <v>117083.03977508303</v>
      </c>
      <c r="H11">
        <v>125352.3154005378</v>
      </c>
      <c r="I11">
        <v>21.93825393580045</v>
      </c>
      <c r="J11">
        <f t="shared" si="0"/>
        <v>22.309342271340523</v>
      </c>
      <c r="K11">
        <f t="shared" si="1"/>
        <v>22.682768239354942</v>
      </c>
      <c r="L11">
        <v>33800</v>
      </c>
      <c r="M11">
        <v>38750.722586030053</v>
      </c>
      <c r="N11">
        <v>39908.84667927285</v>
      </c>
      <c r="O11">
        <v>6.9106522183602541</v>
      </c>
      <c r="P11">
        <f t="shared" si="2"/>
        <v>7.3836751684464632</v>
      </c>
      <c r="Q11">
        <f t="shared" si="3"/>
        <v>7.2215907383391853</v>
      </c>
      <c r="R11">
        <v>37.880183802553184</v>
      </c>
      <c r="S11">
        <v>25.229711148003002</v>
      </c>
      <c r="T11">
        <v>37.783979900930781</v>
      </c>
      <c r="U11">
        <v>39.195489865532373</v>
      </c>
      <c r="V11">
        <v>17089.9251</v>
      </c>
      <c r="W11">
        <v>28.980440720748476</v>
      </c>
      <c r="X11">
        <v>29.916631608885517</v>
      </c>
      <c r="Y11">
        <v>32.654166372106651</v>
      </c>
      <c r="Z11">
        <v>449557.17925948527</v>
      </c>
      <c r="AA11">
        <v>477813</v>
      </c>
      <c r="AB11">
        <v>197439.12729478834</v>
      </c>
      <c r="AC11">
        <v>212067.62166002239</v>
      </c>
      <c r="AD11">
        <v>110535.99456335098</v>
      </c>
      <c r="AE11">
        <v>116681.52146075293</v>
      </c>
      <c r="AF11">
        <v>32642.850061409379</v>
      </c>
      <c r="AG11">
        <v>39712.950191340497</v>
      </c>
      <c r="AH11">
        <v>54260.282670027977</v>
      </c>
      <c r="AI11">
        <v>55673.150007928969</v>
      </c>
      <c r="AJ11">
        <v>160000</v>
      </c>
      <c r="AK11">
        <v>161000</v>
      </c>
      <c r="AL11">
        <v>179000</v>
      </c>
      <c r="AM11">
        <v>15880</v>
      </c>
      <c r="AN11">
        <v>18250</v>
      </c>
      <c r="AO11">
        <v>22605</v>
      </c>
      <c r="AP11">
        <v>94.339622641509436</v>
      </c>
      <c r="AQ11">
        <v>89.344262295081961</v>
      </c>
      <c r="AR11">
        <v>91.924398625429546</v>
      </c>
      <c r="AS11">
        <v>70</v>
      </c>
      <c r="AT11">
        <v>67.2</v>
      </c>
      <c r="AU11">
        <v>71.599999999999994</v>
      </c>
      <c r="AV11">
        <v>77.400000000000006</v>
      </c>
      <c r="AW11">
        <v>77.2</v>
      </c>
      <c r="AX11">
        <v>80.2</v>
      </c>
      <c r="AY11">
        <v>62.7</v>
      </c>
      <c r="AZ11">
        <v>57.4</v>
      </c>
      <c r="BA11">
        <v>63.2</v>
      </c>
      <c r="BB11">
        <v>5.5</v>
      </c>
      <c r="BC11">
        <v>8.9</v>
      </c>
      <c r="BD11">
        <v>8</v>
      </c>
      <c r="BE11">
        <v>29.341783224135177</v>
      </c>
      <c r="BF11">
        <v>35.376139012502648</v>
      </c>
      <c r="BG11">
        <v>41.416315243189885</v>
      </c>
      <c r="BH11">
        <v>21.395619738092638</v>
      </c>
      <c r="BI11">
        <v>24.804377105035275</v>
      </c>
      <c r="BJ11">
        <v>26.672274248116789</v>
      </c>
      <c r="BK11" t="s">
        <v>29</v>
      </c>
      <c r="BL11" t="s">
        <v>29</v>
      </c>
      <c r="BM11" t="s">
        <v>29</v>
      </c>
      <c r="BN11" t="s">
        <v>34</v>
      </c>
      <c r="BO11" t="s">
        <v>46</v>
      </c>
      <c r="BP11" t="s">
        <v>46</v>
      </c>
      <c r="BQ11" t="s">
        <v>45</v>
      </c>
      <c r="BR11" t="s">
        <v>39</v>
      </c>
      <c r="BS11" t="s">
        <v>39</v>
      </c>
      <c r="BT11">
        <v>19.392226715542272</v>
      </c>
      <c r="BU11">
        <v>19.748814446235428</v>
      </c>
      <c r="BV11">
        <v>20.301904576277597</v>
      </c>
      <c r="BW11">
        <v>29.491619337858427</v>
      </c>
      <c r="BX11">
        <v>35.306108853507432</v>
      </c>
      <c r="BY11">
        <v>40.662545490802131</v>
      </c>
      <c r="BZ11" t="s">
        <v>68</v>
      </c>
      <c r="CA11">
        <v>188</v>
      </c>
      <c r="CB11">
        <v>186</v>
      </c>
      <c r="CC11">
        <v>186</v>
      </c>
      <c r="CD11">
        <v>24</v>
      </c>
      <c r="CE11">
        <v>26</v>
      </c>
      <c r="CF11">
        <v>26</v>
      </c>
      <c r="CG11">
        <v>5.5414746543778799</v>
      </c>
      <c r="CH11">
        <v>5.4110244535624314</v>
      </c>
      <c r="CI11">
        <v>5.0533315435687216</v>
      </c>
      <c r="CJ11">
        <v>56.76764331210191</v>
      </c>
      <c r="CK11">
        <v>64.55046198735613</v>
      </c>
      <c r="CL11">
        <v>60.684704788470491</v>
      </c>
      <c r="CM11">
        <v>27.7</v>
      </c>
      <c r="CN11">
        <v>29</v>
      </c>
      <c r="CO11">
        <v>36.4</v>
      </c>
      <c r="CP11">
        <v>16.399999999999999</v>
      </c>
      <c r="CQ11">
        <v>11.7</v>
      </c>
      <c r="CR11">
        <v>10.3</v>
      </c>
      <c r="CS11">
        <v>31.884890664339594</v>
      </c>
      <c r="CT11">
        <v>34.377369737830527</v>
      </c>
      <c r="CU11">
        <v>22.540737143720836</v>
      </c>
      <c r="CV11">
        <v>43.052221482916686</v>
      </c>
      <c r="CW11">
        <v>36.988615364626057</v>
      </c>
      <c r="CX11">
        <v>22.357432056522285</v>
      </c>
      <c r="CY11">
        <v>12.005666028281807</v>
      </c>
      <c r="CZ11">
        <v>16.08502894452041</v>
      </c>
      <c r="DA11">
        <v>34.319214553780746</v>
      </c>
      <c r="DB11">
        <v>13.057221824461903</v>
      </c>
      <c r="DC11">
        <v>12.54898595302301</v>
      </c>
      <c r="DD11">
        <v>20.782616245976133</v>
      </c>
      <c r="DE11">
        <v>92.293856792879964</v>
      </c>
      <c r="DF11">
        <v>83.096806793015929</v>
      </c>
      <c r="DG11">
        <v>67.460192308762615</v>
      </c>
      <c r="DH11">
        <v>9.9611426835596841</v>
      </c>
      <c r="DI11">
        <v>10.360174926765824</v>
      </c>
      <c r="DJ11">
        <v>7.1957505822016374</v>
      </c>
      <c r="DK11">
        <v>20.570505920344456</v>
      </c>
      <c r="DL11">
        <v>20.01063829787234</v>
      </c>
      <c r="DM11">
        <v>14.319809069212411</v>
      </c>
      <c r="DN11">
        <v>23.2456198912449</v>
      </c>
      <c r="DO11">
        <v>23.730521949450335</v>
      </c>
      <c r="DP11">
        <v>17.674733862286192</v>
      </c>
      <c r="DQ11">
        <v>6</v>
      </c>
      <c r="DR11">
        <v>7.1428571428571423</v>
      </c>
      <c r="DS11">
        <v>7.7170418006430879</v>
      </c>
      <c r="DT11">
        <v>27</v>
      </c>
      <c r="DU11">
        <v>24.350649350649352</v>
      </c>
      <c r="DV11">
        <v>27.974276527331188</v>
      </c>
      <c r="DW11">
        <v>28</v>
      </c>
      <c r="DX11">
        <v>31.168831168831169</v>
      </c>
      <c r="DY11">
        <v>29.581993569131832</v>
      </c>
      <c r="DZ11">
        <v>30</v>
      </c>
      <c r="EA11">
        <v>26.623376623376622</v>
      </c>
      <c r="EB11">
        <v>22.829581993569132</v>
      </c>
      <c r="EC11">
        <v>10</v>
      </c>
      <c r="ED11">
        <v>10.714285714285714</v>
      </c>
      <c r="EE11">
        <v>11.89710610932476</v>
      </c>
      <c r="EF11">
        <v>371429</v>
      </c>
      <c r="EG11">
        <v>391743</v>
      </c>
      <c r="EH11">
        <v>393282</v>
      </c>
      <c r="EI11">
        <v>38.951550116782784</v>
      </c>
      <c r="EJ11">
        <v>45.505634706434904</v>
      </c>
      <c r="EK11">
        <v>36.956856346873124</v>
      </c>
      <c r="EL11">
        <v>45.13036599597428</v>
      </c>
      <c r="EM11">
        <v>34.575985527302528</v>
      </c>
      <c r="EN11">
        <v>47.665112098909376</v>
      </c>
      <c r="EO11">
        <v>37.586586346514679</v>
      </c>
      <c r="EP11">
        <v>37.700978729872894</v>
      </c>
      <c r="EQ11">
        <v>21.660340015616907</v>
      </c>
      <c r="ER11">
        <v>21.53805047487187</v>
      </c>
      <c r="ES11">
        <v>34.836279502842714</v>
      </c>
      <c r="ET11">
        <v>36.860229890433708</v>
      </c>
      <c r="EU11">
        <v>10.549916117111337</v>
      </c>
      <c r="EV11">
        <v>7.5560494546867796</v>
      </c>
      <c r="EW11">
        <v>4.539170181848962</v>
      </c>
      <c r="EX11">
        <v>4.1540476385364657</v>
      </c>
      <c r="EY11">
        <v>4.6456431150316595</v>
      </c>
      <c r="EZ11">
        <v>5.5417911535378561</v>
      </c>
      <c r="FA11">
        <v>3.6729540228263478</v>
      </c>
      <c r="FB11">
        <v>5.6227271132730738</v>
      </c>
      <c r="FC11">
        <v>14.145670174028002</v>
      </c>
      <c r="FD11">
        <v>7.4103087274405492</v>
      </c>
      <c r="FE11">
        <v>6.6807273958494982</v>
      </c>
      <c r="FF11">
        <v>15.662016627883862</v>
      </c>
      <c r="FG11">
        <v>14.422445050909566</v>
      </c>
      <c r="FH11">
        <v>10.288688090553563</v>
      </c>
      <c r="FI11">
        <v>12.6842825501178</v>
      </c>
      <c r="FJ11">
        <v>0</v>
      </c>
      <c r="FK11">
        <v>33.126785982854564</v>
      </c>
      <c r="FL11">
        <v>40.889735680154843</v>
      </c>
      <c r="FM11">
        <v>37.888662115560564</v>
      </c>
      <c r="FN11">
        <v>35.42304904001309</v>
      </c>
      <c r="FO11">
        <v>21.398706572416902</v>
      </c>
      <c r="FP11">
        <v>22.249440512913569</v>
      </c>
      <c r="FQ11">
        <v>35.994088253923564</v>
      </c>
      <c r="FR11">
        <v>33.846846425481161</v>
      </c>
      <c r="FS11">
        <v>11.331779214919537</v>
      </c>
      <c r="FT11">
        <v>6.5384382749652206</v>
      </c>
      <c r="FU11">
        <v>3.496375536631712</v>
      </c>
      <c r="FV11">
        <v>3.9258904141624376</v>
      </c>
      <c r="FW11">
        <v>5.4594675891111439</v>
      </c>
      <c r="FX11">
        <v>4.6857799552410331</v>
      </c>
      <c r="FY11">
        <v>4.7737349567175738</v>
      </c>
      <c r="FZ11">
        <v>4.4701948036762476</v>
      </c>
      <c r="GA11">
        <v>13.759963904346517</v>
      </c>
      <c r="GB11">
        <v>3.8093509949797379</v>
      </c>
      <c r="GC11">
        <v>7.9815609824758953</v>
      </c>
      <c r="GD11">
        <v>13.270269638221743</v>
      </c>
      <c r="GE11">
        <v>14.923296736351341</v>
      </c>
      <c r="GF11">
        <v>21.827254581745599</v>
      </c>
      <c r="GG11">
        <v>9.8655781546906791</v>
      </c>
      <c r="GH11">
        <v>9.063749678445312</v>
      </c>
    </row>
    <row r="12" spans="1:190">
      <c r="A12" t="s">
        <v>9</v>
      </c>
      <c r="B12">
        <v>570000</v>
      </c>
      <c r="C12">
        <v>604381.39602339221</v>
      </c>
      <c r="D12">
        <v>636096.99598495336</v>
      </c>
      <c r="E12">
        <v>724348.82278738427</v>
      </c>
      <c r="F12">
        <v>112700</v>
      </c>
      <c r="G12">
        <v>116071.42507125699</v>
      </c>
      <c r="H12">
        <v>118658.02205432806</v>
      </c>
      <c r="I12">
        <v>19.771929824561404</v>
      </c>
      <c r="J12">
        <f t="shared" si="0"/>
        <v>19.204996354117512</v>
      </c>
      <c r="K12">
        <f t="shared" si="1"/>
        <v>18.654076784405198</v>
      </c>
      <c r="L12">
        <v>22400</v>
      </c>
      <c r="M12">
        <v>21210.216844619918</v>
      </c>
      <c r="N12">
        <v>22334.078461895671</v>
      </c>
      <c r="O12">
        <v>3.929824561403509</v>
      </c>
      <c r="P12">
        <f t="shared" si="2"/>
        <v>3.5094092876080172</v>
      </c>
      <c r="Q12">
        <f t="shared" si="3"/>
        <v>3.5111120792691146</v>
      </c>
      <c r="R12">
        <v>34.036118227682429</v>
      </c>
      <c r="S12">
        <v>27.349806369045158</v>
      </c>
      <c r="T12">
        <v>34.288614036060416</v>
      </c>
      <c r="U12">
        <v>36.375263112133439</v>
      </c>
      <c r="V12">
        <v>5716.2773999999999</v>
      </c>
      <c r="W12">
        <v>102.38540020117833</v>
      </c>
      <c r="X12">
        <v>106.67840206926283</v>
      </c>
      <c r="Y12">
        <v>114.54577185816055</v>
      </c>
      <c r="Z12">
        <v>643478.37221059995</v>
      </c>
      <c r="AA12">
        <v>714531</v>
      </c>
      <c r="AB12">
        <v>251335.29950335133</v>
      </c>
      <c r="AC12">
        <v>274461.27282575972</v>
      </c>
      <c r="AD12">
        <v>92817.324902039327</v>
      </c>
      <c r="AE12">
        <v>98281.946761633066</v>
      </c>
      <c r="AF12">
        <v>96890.920476123763</v>
      </c>
      <c r="AG12">
        <v>112101.23524961239</v>
      </c>
      <c r="AH12">
        <v>61627.054125188224</v>
      </c>
      <c r="AI12">
        <v>64078.09081451426</v>
      </c>
      <c r="AJ12">
        <v>347000</v>
      </c>
      <c r="AK12">
        <v>384000</v>
      </c>
      <c r="AL12">
        <v>462000</v>
      </c>
      <c r="AM12">
        <v>21540</v>
      </c>
      <c r="AN12">
        <v>25480</v>
      </c>
      <c r="AO12">
        <v>36760</v>
      </c>
      <c r="AP12">
        <v>94.910179640718567</v>
      </c>
      <c r="AQ12">
        <v>90.590111642743224</v>
      </c>
      <c r="AR12">
        <v>94.24</v>
      </c>
      <c r="AS12">
        <v>66</v>
      </c>
      <c r="AT12">
        <v>68.599999999999994</v>
      </c>
      <c r="AU12">
        <v>75.5</v>
      </c>
      <c r="AV12">
        <v>75.599999999999994</v>
      </c>
      <c r="AW12">
        <v>72.2</v>
      </c>
      <c r="AX12">
        <v>81.099999999999994</v>
      </c>
      <c r="AY12">
        <v>56.1</v>
      </c>
      <c r="AZ12">
        <v>65</v>
      </c>
      <c r="BA12">
        <v>70</v>
      </c>
      <c r="BB12">
        <v>9</v>
      </c>
      <c r="BC12">
        <v>12.6</v>
      </c>
      <c r="BD12">
        <v>8.1</v>
      </c>
      <c r="BE12">
        <v>41.135190147617671</v>
      </c>
      <c r="BF12">
        <v>39.656038691811737</v>
      </c>
      <c r="BG12">
        <v>43.450587945663436</v>
      </c>
      <c r="BH12">
        <v>35.860981826137525</v>
      </c>
      <c r="BI12">
        <v>37.002662806028802</v>
      </c>
      <c r="BJ12">
        <v>35.082548889356943</v>
      </c>
      <c r="BK12" t="s">
        <v>31</v>
      </c>
      <c r="BL12" t="s">
        <v>31</v>
      </c>
      <c r="BM12" t="s">
        <v>31</v>
      </c>
      <c r="BN12" t="s">
        <v>36</v>
      </c>
      <c r="BO12" t="s">
        <v>36</v>
      </c>
      <c r="BP12" t="s">
        <v>36</v>
      </c>
      <c r="BQ12" t="s">
        <v>42</v>
      </c>
      <c r="BR12" t="s">
        <v>45</v>
      </c>
      <c r="BS12" t="s">
        <v>42</v>
      </c>
      <c r="BT12">
        <v>16.538122319084845</v>
      </c>
      <c r="BU12">
        <v>22.104616469641829</v>
      </c>
      <c r="BV12">
        <v>15.122154086182046</v>
      </c>
      <c r="BW12">
        <v>44.272003267306516</v>
      </c>
      <c r="BX12">
        <v>42.842756183745585</v>
      </c>
      <c r="BY12">
        <v>44.329637096774192</v>
      </c>
      <c r="BZ12" t="s">
        <v>63</v>
      </c>
      <c r="CA12">
        <v>209</v>
      </c>
      <c r="CB12">
        <v>209</v>
      </c>
      <c r="CC12">
        <v>217</v>
      </c>
      <c r="CD12">
        <v>20</v>
      </c>
      <c r="CE12">
        <v>21</v>
      </c>
      <c r="CF12">
        <v>22</v>
      </c>
      <c r="CG12">
        <v>9.7861396859772611</v>
      </c>
      <c r="CH12">
        <v>8.9814298135195099</v>
      </c>
      <c r="CI12">
        <v>8.5487876995860432</v>
      </c>
      <c r="CJ12">
        <v>40.454993342210386</v>
      </c>
      <c r="CK12">
        <v>55.359618834080727</v>
      </c>
      <c r="CL12">
        <v>60.831485429992895</v>
      </c>
      <c r="CM12">
        <v>44.1</v>
      </c>
      <c r="CN12">
        <v>56.3</v>
      </c>
      <c r="CO12">
        <v>61.1</v>
      </c>
      <c r="CP12">
        <v>15.2</v>
      </c>
      <c r="CQ12">
        <v>10.5</v>
      </c>
      <c r="CR12">
        <v>6.9</v>
      </c>
      <c r="CS12">
        <v>14.233692251160711</v>
      </c>
      <c r="CT12">
        <v>12.575318337479951</v>
      </c>
      <c r="CU12">
        <v>5.5410750151564523</v>
      </c>
      <c r="CV12">
        <v>22.515316652021621</v>
      </c>
      <c r="CW12">
        <v>25.354309872733715</v>
      </c>
      <c r="CX12">
        <v>13.653591563527185</v>
      </c>
      <c r="CY12">
        <v>19.221340942055772</v>
      </c>
      <c r="CZ12">
        <v>22.321258318060728</v>
      </c>
      <c r="DA12">
        <v>36.401260356908658</v>
      </c>
      <c r="DB12">
        <v>44.029650154761896</v>
      </c>
      <c r="DC12">
        <v>39.749113471725614</v>
      </c>
      <c r="DD12">
        <v>44.404073064407697</v>
      </c>
      <c r="DE12">
        <v>142.85636373552458</v>
      </c>
      <c r="DF12">
        <v>125.84576352740476</v>
      </c>
      <c r="DG12">
        <v>106.58006231131817</v>
      </c>
      <c r="DH12">
        <v>14.847324680175552</v>
      </c>
      <c r="DI12">
        <v>14.00057814125311</v>
      </c>
      <c r="DJ12">
        <v>10.176920850282173</v>
      </c>
      <c r="DK12">
        <v>34.992248062015499</v>
      </c>
      <c r="DL12">
        <v>34.706790123456784</v>
      </c>
      <c r="DM12">
        <v>28.598398253713071</v>
      </c>
      <c r="DN12">
        <v>36.650795173621496</v>
      </c>
      <c r="DO12">
        <v>33.410737470844708</v>
      </c>
      <c r="DP12">
        <v>27.355586648011194</v>
      </c>
      <c r="DQ12">
        <v>54</v>
      </c>
      <c r="DR12">
        <v>35.964912280701753</v>
      </c>
      <c r="DS12">
        <v>36.046511627906973</v>
      </c>
      <c r="DT12">
        <v>35</v>
      </c>
      <c r="DU12">
        <v>48.245614035087719</v>
      </c>
      <c r="DV12">
        <v>37.209302325581397</v>
      </c>
      <c r="DW12">
        <v>8</v>
      </c>
      <c r="DX12">
        <v>11.695906432748536</v>
      </c>
      <c r="DY12">
        <v>19.767441860465116</v>
      </c>
      <c r="DZ12">
        <v>2</v>
      </c>
      <c r="EA12">
        <v>3.8011695906432745</v>
      </c>
      <c r="EB12">
        <v>5.5232558139534884</v>
      </c>
      <c r="ED12">
        <v>0.29239766081871343</v>
      </c>
      <c r="EE12">
        <v>1.4534883720930232</v>
      </c>
      <c r="EF12">
        <v>393701</v>
      </c>
      <c r="EG12">
        <v>420107</v>
      </c>
      <c r="EH12">
        <v>422765</v>
      </c>
      <c r="EI12">
        <v>33.349585045567295</v>
      </c>
      <c r="EJ12">
        <v>42.179189376571976</v>
      </c>
      <c r="EK12">
        <v>37.922743574770493</v>
      </c>
      <c r="EL12">
        <v>44.515141300073033</v>
      </c>
      <c r="EM12">
        <v>15.200678695435425</v>
      </c>
      <c r="EN12">
        <v>20.133919537904013</v>
      </c>
      <c r="EO12">
        <v>19.374793797426591</v>
      </c>
      <c r="EP12">
        <v>18.482538972417061</v>
      </c>
      <c r="EQ12">
        <v>31.730760821081539</v>
      </c>
      <c r="ER12">
        <v>37.159605844876538</v>
      </c>
      <c r="ES12">
        <v>52.812603101286705</v>
      </c>
      <c r="ET12">
        <v>51.632660669681144</v>
      </c>
      <c r="EU12">
        <v>26.942284649763419</v>
      </c>
      <c r="EV12">
        <v>22.65901412164358</v>
      </c>
      <c r="EW12">
        <v>11.648224754460321</v>
      </c>
      <c r="EX12">
        <v>11.444868742710147</v>
      </c>
      <c r="EY12">
        <v>10.4087040940378</v>
      </c>
      <c r="EZ12">
        <v>11.044069584199455</v>
      </c>
      <c r="FA12">
        <v>11.511813821282644</v>
      </c>
      <c r="FB12">
        <v>13.737144561437145</v>
      </c>
      <c r="FC12">
        <v>7.6764302019468769</v>
      </c>
      <c r="FD12">
        <v>1.8469123084564301</v>
      </c>
      <c r="FE12">
        <v>2.7884932619343705</v>
      </c>
      <c r="FF12">
        <v>3.5103136434083755</v>
      </c>
      <c r="FG12">
        <v>8.0411415377349407</v>
      </c>
      <c r="FH12">
        <v>7.1564786029199965</v>
      </c>
      <c r="FI12">
        <v>1.864071263609361</v>
      </c>
      <c r="FJ12">
        <v>0.47347425716735636</v>
      </c>
      <c r="FK12">
        <v>15.363472030771517</v>
      </c>
      <c r="FL12">
        <v>20.435754326400506</v>
      </c>
      <c r="FM12">
        <v>19.28434577518669</v>
      </c>
      <c r="FN12">
        <v>16.865629540531479</v>
      </c>
      <c r="FO12">
        <v>31.767793910079156</v>
      </c>
      <c r="FP12">
        <v>35.755547685055141</v>
      </c>
      <c r="FQ12">
        <v>49.430600256719934</v>
      </c>
      <c r="FR12">
        <v>47.771314219414442</v>
      </c>
      <c r="FS12">
        <v>24.259808008188131</v>
      </c>
      <c r="FT12">
        <v>17.141339260634336</v>
      </c>
      <c r="FU12">
        <v>10.082264193893101</v>
      </c>
      <c r="FV12">
        <v>9.2809128696957277</v>
      </c>
      <c r="FW12">
        <v>12.389497404066001</v>
      </c>
      <c r="FX12">
        <v>12.647012127355554</v>
      </c>
      <c r="FY12">
        <v>12.74178148454938</v>
      </c>
      <c r="FZ12">
        <v>12.836697872702791</v>
      </c>
      <c r="GA12">
        <v>5.3470462480705896</v>
      </c>
      <c r="GB12">
        <v>1.0728984746156007</v>
      </c>
      <c r="GC12">
        <v>2.6658404416088626</v>
      </c>
      <c r="GD12">
        <v>3.3173488884512832</v>
      </c>
      <c r="GE12">
        <v>10.872382398824605</v>
      </c>
      <c r="GF12">
        <v>12.947448125938855</v>
      </c>
      <c r="GG12">
        <v>5.7951678480420439</v>
      </c>
      <c r="GH12">
        <v>9.9280966092042728</v>
      </c>
    </row>
    <row r="13" spans="1:190">
      <c r="A13" t="s">
        <v>10</v>
      </c>
      <c r="B13">
        <v>494000</v>
      </c>
      <c r="C13">
        <v>512063.7695964718</v>
      </c>
      <c r="D13">
        <v>525394.14073085703</v>
      </c>
      <c r="E13">
        <v>573128.25560030795</v>
      </c>
      <c r="F13">
        <v>94600</v>
      </c>
      <c r="G13">
        <v>97553.841360621445</v>
      </c>
      <c r="H13">
        <v>101614.76529125503</v>
      </c>
      <c r="I13">
        <v>19.149797570850204</v>
      </c>
      <c r="J13">
        <f t="shared" si="0"/>
        <v>19.051111824899866</v>
      </c>
      <c r="K13">
        <f t="shared" si="1"/>
        <v>19.340673489411657</v>
      </c>
      <c r="L13">
        <v>24000</v>
      </c>
      <c r="M13">
        <v>23989.819813837392</v>
      </c>
      <c r="N13">
        <v>25132.697851388955</v>
      </c>
      <c r="O13">
        <v>4.8582995951417001</v>
      </c>
      <c r="P13">
        <f t="shared" si="2"/>
        <v>4.6849281746182507</v>
      </c>
      <c r="Q13">
        <f t="shared" si="3"/>
        <v>4.7835892909707285</v>
      </c>
      <c r="R13">
        <v>35.489037606318824</v>
      </c>
      <c r="S13">
        <v>33.376681562685825</v>
      </c>
      <c r="T13">
        <v>35.588291458835457</v>
      </c>
      <c r="U13">
        <v>37.469530421697087</v>
      </c>
      <c r="V13">
        <v>7284.4904999999999</v>
      </c>
      <c r="W13">
        <v>68.71704989636801</v>
      </c>
      <c r="X13">
        <v>71.596489031701651</v>
      </c>
      <c r="Y13">
        <v>73.836147295490974</v>
      </c>
      <c r="Z13">
        <v>432216.3240453722</v>
      </c>
      <c r="AA13">
        <v>460369</v>
      </c>
      <c r="AB13">
        <v>209797.11031935283</v>
      </c>
      <c r="AC13">
        <v>220017.33465444954</v>
      </c>
      <c r="AD13">
        <v>99589.518855140719</v>
      </c>
      <c r="AE13">
        <v>101814.97232576947</v>
      </c>
      <c r="AF13">
        <v>65001.433984974312</v>
      </c>
      <c r="AG13">
        <v>72416.369285651963</v>
      </c>
      <c r="AH13">
        <v>45206.157479237794</v>
      </c>
      <c r="AI13">
        <v>45785.993043028109</v>
      </c>
      <c r="AJ13">
        <v>207000</v>
      </c>
      <c r="AK13">
        <v>197000</v>
      </c>
      <c r="AL13">
        <v>231000</v>
      </c>
      <c r="AM13">
        <v>21675</v>
      </c>
      <c r="AN13">
        <v>24215</v>
      </c>
      <c r="AO13">
        <v>28670</v>
      </c>
      <c r="AP13">
        <v>94.314868804664727</v>
      </c>
      <c r="AQ13">
        <v>93.030794165316038</v>
      </c>
      <c r="AR13">
        <v>91.410256410256409</v>
      </c>
      <c r="AS13">
        <v>75</v>
      </c>
      <c r="AT13">
        <v>71.599999999999994</v>
      </c>
      <c r="AU13">
        <v>77.900000000000006</v>
      </c>
      <c r="AV13">
        <v>80.7</v>
      </c>
      <c r="AW13">
        <v>81.3</v>
      </c>
      <c r="AX13">
        <v>84.8</v>
      </c>
      <c r="AY13">
        <v>69.5</v>
      </c>
      <c r="AZ13">
        <v>62.2</v>
      </c>
      <c r="BA13">
        <v>71.400000000000006</v>
      </c>
      <c r="BB13">
        <v>6.1</v>
      </c>
      <c r="BC13">
        <v>8.1999999999999993</v>
      </c>
      <c r="BD13">
        <v>5.4</v>
      </c>
      <c r="BE13">
        <v>25.254404456522661</v>
      </c>
      <c r="BF13">
        <v>27.946142388108591</v>
      </c>
      <c r="BG13">
        <v>32.117550196036312</v>
      </c>
      <c r="BH13">
        <v>33.198198770656738</v>
      </c>
      <c r="BI13">
        <v>38.319923741445287</v>
      </c>
      <c r="BJ13">
        <v>34.6809724740015</v>
      </c>
      <c r="BK13" t="s">
        <v>32</v>
      </c>
      <c r="BL13" t="s">
        <v>32</v>
      </c>
      <c r="BM13" t="s">
        <v>41</v>
      </c>
      <c r="BN13" t="s">
        <v>37</v>
      </c>
      <c r="BO13" t="s">
        <v>41</v>
      </c>
      <c r="BP13" t="s">
        <v>46</v>
      </c>
      <c r="BQ13" t="s">
        <v>41</v>
      </c>
      <c r="BR13" t="s">
        <v>46</v>
      </c>
      <c r="BS13" t="s">
        <v>38</v>
      </c>
      <c r="BT13">
        <v>19.081222855550642</v>
      </c>
      <c r="BU13">
        <v>22.770714436039963</v>
      </c>
      <c r="BV13">
        <v>22.991592249655117</v>
      </c>
      <c r="BW13">
        <v>35.30120481927711</v>
      </c>
      <c r="BX13">
        <v>39.920088790233081</v>
      </c>
      <c r="BY13">
        <v>43.837543580647136</v>
      </c>
      <c r="BZ13" t="s">
        <v>68</v>
      </c>
      <c r="CA13">
        <v>177</v>
      </c>
      <c r="CB13">
        <v>179</v>
      </c>
      <c r="CC13">
        <v>189</v>
      </c>
      <c r="CD13">
        <v>40</v>
      </c>
      <c r="CE13">
        <v>43</v>
      </c>
      <c r="CF13">
        <v>50</v>
      </c>
      <c r="CG13">
        <v>18.373539675314824</v>
      </c>
      <c r="CH13">
        <v>19.529798485065029</v>
      </c>
      <c r="CI13">
        <v>19.216043514997889</v>
      </c>
      <c r="CJ13">
        <v>47.303563681437865</v>
      </c>
      <c r="CK13">
        <v>57.810294564227135</v>
      </c>
      <c r="CL13">
        <v>59.028527794746488</v>
      </c>
      <c r="CM13">
        <v>51.2</v>
      </c>
      <c r="CN13">
        <v>58.5</v>
      </c>
      <c r="CO13">
        <v>63.2</v>
      </c>
      <c r="CP13">
        <v>5.5</v>
      </c>
      <c r="CQ13">
        <v>5.4</v>
      </c>
      <c r="CR13">
        <v>4.5</v>
      </c>
      <c r="CS13">
        <v>21.385063978795948</v>
      </c>
      <c r="CT13">
        <v>18.993010831602362</v>
      </c>
      <c r="CU13">
        <v>12.035963042745395</v>
      </c>
      <c r="CV13">
        <v>34.118282953725995</v>
      </c>
      <c r="CW13">
        <v>31.968294983034252</v>
      </c>
      <c r="CX13">
        <v>19.02458674498466</v>
      </c>
      <c r="CY13">
        <v>25.828719723978033</v>
      </c>
      <c r="CZ13">
        <v>31.88867403898778</v>
      </c>
      <c r="DA13">
        <v>45.614325792941095</v>
      </c>
      <c r="DB13">
        <v>18.667933343500021</v>
      </c>
      <c r="DC13">
        <v>17.150020146375606</v>
      </c>
      <c r="DD13">
        <v>23.325124419328848</v>
      </c>
      <c r="DE13">
        <v>96.334980102984019</v>
      </c>
      <c r="DF13">
        <v>79.146333632978042</v>
      </c>
      <c r="DG13">
        <v>70.125664197339333</v>
      </c>
      <c r="DH13">
        <v>8.2678582053817582</v>
      </c>
      <c r="DI13">
        <v>8.3193046486392408</v>
      </c>
      <c r="DJ13">
        <v>6.5191899257331691</v>
      </c>
      <c r="DK13">
        <v>23.634992458521868</v>
      </c>
      <c r="DL13">
        <v>21.483050847457626</v>
      </c>
      <c r="DM13">
        <v>17.266506585978597</v>
      </c>
      <c r="DN13">
        <v>24.027236865698402</v>
      </c>
      <c r="DO13">
        <v>22.752342591374671</v>
      </c>
      <c r="DP13">
        <v>17.181869903280862</v>
      </c>
      <c r="DQ13">
        <v>6</v>
      </c>
      <c r="DR13">
        <v>7.0469798657718119</v>
      </c>
      <c r="DS13">
        <v>4.9504950495049505</v>
      </c>
      <c r="DT13">
        <v>27</v>
      </c>
      <c r="DU13">
        <v>29.530201342281881</v>
      </c>
      <c r="DV13">
        <v>23.1023102310231</v>
      </c>
      <c r="DW13">
        <v>27</v>
      </c>
      <c r="DX13">
        <v>29.194630872483224</v>
      </c>
      <c r="DY13">
        <v>26.732673267326735</v>
      </c>
      <c r="DZ13">
        <v>22</v>
      </c>
      <c r="EA13">
        <v>17.449664429530202</v>
      </c>
      <c r="EB13">
        <v>24.092409240924091</v>
      </c>
      <c r="EC13">
        <v>17</v>
      </c>
      <c r="ED13">
        <v>16.778523489932887</v>
      </c>
      <c r="EE13">
        <v>21.122112211221122</v>
      </c>
      <c r="EF13">
        <v>361696</v>
      </c>
      <c r="EG13">
        <v>378091</v>
      </c>
      <c r="EH13">
        <v>369648</v>
      </c>
      <c r="EI13">
        <v>38.548733538345971</v>
      </c>
      <c r="EJ13">
        <v>47.190118662113633</v>
      </c>
      <c r="EK13">
        <v>40.925697129116685</v>
      </c>
      <c r="EL13">
        <v>50.143130918684001</v>
      </c>
      <c r="EM13">
        <v>38.828901985061783</v>
      </c>
      <c r="EN13">
        <v>44.854482581508272</v>
      </c>
      <c r="EO13">
        <v>43.145961828625886</v>
      </c>
      <c r="EP13">
        <v>39.3925992244341</v>
      </c>
      <c r="EQ13">
        <v>25.259087144936043</v>
      </c>
      <c r="ER13">
        <v>29.151262863046995</v>
      </c>
      <c r="ES13">
        <v>36.540752309606376</v>
      </c>
      <c r="ET13">
        <v>41.712285546320913</v>
      </c>
      <c r="EU13">
        <v>14.362553164119346</v>
      </c>
      <c r="EV13">
        <v>10.264756296398048</v>
      </c>
      <c r="EW13">
        <v>7.8778092490139509</v>
      </c>
      <c r="EX13">
        <v>5.7881594062983721</v>
      </c>
      <c r="EY13">
        <v>8.1709934956865702</v>
      </c>
      <c r="EZ13">
        <v>8.4354115279179638</v>
      </c>
      <c r="FA13">
        <v>7.4827275855679387</v>
      </c>
      <c r="FB13">
        <v>7.9185386137973062</v>
      </c>
      <c r="FC13">
        <v>6.6948600648019356</v>
      </c>
      <c r="FD13">
        <v>2.5597687488428482</v>
      </c>
      <c r="FE13">
        <v>2.4598300553246686</v>
      </c>
      <c r="FF13">
        <v>4.5724949167534099</v>
      </c>
      <c r="FG13">
        <v>6.6836041453943196</v>
      </c>
      <c r="FH13">
        <v>4.7343179822858801</v>
      </c>
      <c r="FI13">
        <v>2.4929189718611724</v>
      </c>
      <c r="FJ13">
        <v>0.61592229239589458</v>
      </c>
      <c r="FK13">
        <v>33.518925747438352</v>
      </c>
      <c r="FL13">
        <v>40.534827499970227</v>
      </c>
      <c r="FM13">
        <v>40.519911941892197</v>
      </c>
      <c r="FN13">
        <v>35.731769120453741</v>
      </c>
      <c r="FO13">
        <v>26.067156381103885</v>
      </c>
      <c r="FP13">
        <v>27.19688940229365</v>
      </c>
      <c r="FQ13">
        <v>35.577848376593415</v>
      </c>
      <c r="FR13">
        <v>37.324376489362848</v>
      </c>
      <c r="FS13">
        <v>14.629049111807731</v>
      </c>
      <c r="FT13">
        <v>9.6968000857438881</v>
      </c>
      <c r="FU13">
        <v>6.5417419159229624</v>
      </c>
      <c r="FV13">
        <v>5.9671558426154565</v>
      </c>
      <c r="FW13">
        <v>9.8402969478625675</v>
      </c>
      <c r="FX13">
        <v>9.4431410844220043</v>
      </c>
      <c r="FY13">
        <v>8.5619372783717154</v>
      </c>
      <c r="FZ13">
        <v>7.8751576972428587</v>
      </c>
      <c r="GA13">
        <v>6.0707434613765026</v>
      </c>
      <c r="GB13">
        <v>1.2760357742553976</v>
      </c>
      <c r="GC13">
        <v>3.2474722841060384</v>
      </c>
      <c r="GD13">
        <v>4.2171207987837089</v>
      </c>
      <c r="GE13">
        <v>9.8738283504109603</v>
      </c>
      <c r="GF13">
        <v>11.852306153314832</v>
      </c>
      <c r="GG13">
        <v>5.5510882031136637</v>
      </c>
      <c r="GH13">
        <v>8.8844200515413903</v>
      </c>
    </row>
    <row r="14" spans="1:190">
      <c r="A14" t="s">
        <v>11</v>
      </c>
      <c r="B14">
        <v>660200</v>
      </c>
      <c r="C14">
        <v>726983.74413717072</v>
      </c>
      <c r="D14">
        <v>773448.38810764137</v>
      </c>
      <c r="E14">
        <v>882222.76014097827</v>
      </c>
      <c r="F14">
        <v>143300</v>
      </c>
      <c r="G14">
        <v>150987.51940592862</v>
      </c>
      <c r="H14">
        <v>159099.96283917862</v>
      </c>
      <c r="I14">
        <v>21.705543774613751</v>
      </c>
      <c r="J14">
        <f t="shared" si="0"/>
        <v>20.769036532602243</v>
      </c>
      <c r="K14">
        <f t="shared" si="1"/>
        <v>20.570210667636243</v>
      </c>
      <c r="L14">
        <v>28400</v>
      </c>
      <c r="M14">
        <v>28673.614673521111</v>
      </c>
      <c r="N14">
        <v>30462.136343000209</v>
      </c>
      <c r="O14">
        <v>4.3017267494698581</v>
      </c>
      <c r="P14">
        <f t="shared" si="2"/>
        <v>3.9441892483514511</v>
      </c>
      <c r="Q14">
        <f t="shared" si="3"/>
        <v>3.9384833960971122</v>
      </c>
      <c r="R14">
        <v>34.422143436162301</v>
      </c>
      <c r="S14">
        <v>37.485466152392952</v>
      </c>
      <c r="T14">
        <v>34.144242960064702</v>
      </c>
      <c r="U14">
        <v>36.178632732955521</v>
      </c>
      <c r="V14">
        <v>7271.3643999999995</v>
      </c>
      <c r="W14">
        <v>90.794069917759984</v>
      </c>
      <c r="X14">
        <v>96.157548752647358</v>
      </c>
      <c r="Y14">
        <v>106.16989570760613</v>
      </c>
      <c r="Z14">
        <v>706994.55472625943</v>
      </c>
      <c r="AA14">
        <v>813980</v>
      </c>
      <c r="AB14">
        <v>293220.64229904569</v>
      </c>
      <c r="AC14">
        <v>321925.76347400108</v>
      </c>
      <c r="AD14">
        <v>112684.31784806357</v>
      </c>
      <c r="AE14">
        <v>119814.79503634079</v>
      </c>
      <c r="AF14">
        <v>105977.09121237702</v>
      </c>
      <c r="AG14">
        <v>124603.50096524475</v>
      </c>
      <c r="AH14">
        <v>74559.233238605055</v>
      </c>
      <c r="AI14">
        <v>77507.467472415534</v>
      </c>
      <c r="AJ14">
        <v>339000</v>
      </c>
      <c r="AK14">
        <v>365000</v>
      </c>
      <c r="AL14">
        <v>447000</v>
      </c>
      <c r="AM14">
        <v>29225</v>
      </c>
      <c r="AN14">
        <v>33515</v>
      </c>
      <c r="AO14">
        <v>44680</v>
      </c>
      <c r="AP14">
        <v>94.38073394495413</v>
      </c>
      <c r="AQ14">
        <v>90.843373493975903</v>
      </c>
      <c r="AR14">
        <v>89.931740614334473</v>
      </c>
      <c r="AS14">
        <v>64.8</v>
      </c>
      <c r="AT14">
        <v>67.599999999999994</v>
      </c>
      <c r="AU14">
        <v>70.3</v>
      </c>
      <c r="AV14">
        <v>71.7</v>
      </c>
      <c r="AW14">
        <v>71.8</v>
      </c>
      <c r="AX14">
        <v>76.400000000000006</v>
      </c>
      <c r="AY14">
        <v>58</v>
      </c>
      <c r="AZ14">
        <v>63.5</v>
      </c>
      <c r="BA14">
        <v>64.3</v>
      </c>
      <c r="BB14">
        <v>9.6</v>
      </c>
      <c r="BC14">
        <v>9.8000000000000007</v>
      </c>
      <c r="BD14">
        <v>6.4</v>
      </c>
      <c r="BE14">
        <v>41.215711213678802</v>
      </c>
      <c r="BF14">
        <v>39.606745919981186</v>
      </c>
      <c r="BG14">
        <v>42.51493903268387</v>
      </c>
      <c r="BH14">
        <v>33.891252520645089</v>
      </c>
      <c r="BI14">
        <v>35.064643214709704</v>
      </c>
      <c r="BJ14">
        <v>36.452241454529883</v>
      </c>
      <c r="BK14" t="s">
        <v>30</v>
      </c>
      <c r="BL14" t="s">
        <v>30</v>
      </c>
      <c r="BM14" t="s">
        <v>41</v>
      </c>
      <c r="BN14" t="s">
        <v>29</v>
      </c>
      <c r="BO14" t="s">
        <v>31</v>
      </c>
      <c r="BP14" t="s">
        <v>46</v>
      </c>
      <c r="BQ14" t="s">
        <v>45</v>
      </c>
      <c r="BR14" t="s">
        <v>36</v>
      </c>
      <c r="BS14" t="s">
        <v>29</v>
      </c>
      <c r="BT14">
        <v>21.057962017228643</v>
      </c>
      <c r="BU14">
        <v>26.428179281884663</v>
      </c>
      <c r="BV14">
        <v>27.786124576665117</v>
      </c>
      <c r="BW14">
        <v>45.388314148331631</v>
      </c>
      <c r="BX14">
        <v>47.894772619128545</v>
      </c>
      <c r="BY14">
        <v>49.682895892282176</v>
      </c>
      <c r="BZ14" t="s">
        <v>67</v>
      </c>
      <c r="CA14">
        <v>262</v>
      </c>
      <c r="CB14">
        <v>256</v>
      </c>
      <c r="CC14">
        <v>274</v>
      </c>
      <c r="CD14">
        <v>39</v>
      </c>
      <c r="CE14">
        <v>40</v>
      </c>
      <c r="CF14">
        <v>50</v>
      </c>
      <c r="CG14">
        <v>9.2320782812167632</v>
      </c>
      <c r="CH14">
        <v>9.2838462078018384</v>
      </c>
      <c r="CI14">
        <v>10.825316726549755</v>
      </c>
      <c r="CJ14">
        <v>42.731596091205212</v>
      </c>
      <c r="CK14">
        <v>53.600743924615642</v>
      </c>
      <c r="CL14">
        <v>58.536675824175809</v>
      </c>
      <c r="CM14">
        <v>36.799999999999997</v>
      </c>
      <c r="CN14">
        <v>47.7</v>
      </c>
      <c r="CO14">
        <v>51</v>
      </c>
      <c r="CP14">
        <v>17.8</v>
      </c>
      <c r="CQ14">
        <v>11.3</v>
      </c>
      <c r="CR14">
        <v>9.6999999999999993</v>
      </c>
      <c r="CS14">
        <v>14.182860104875717</v>
      </c>
      <c r="CT14">
        <v>15.810865050719253</v>
      </c>
      <c r="CU14">
        <v>8.5864053732808898</v>
      </c>
      <c r="CV14">
        <v>27.805291218360889</v>
      </c>
      <c r="CW14">
        <v>23.737076492600949</v>
      </c>
      <c r="CX14">
        <v>12.188608799930769</v>
      </c>
      <c r="CY14">
        <v>18.275735507035133</v>
      </c>
      <c r="CZ14">
        <v>25.48246502968215</v>
      </c>
      <c r="DA14">
        <v>36.004019717100924</v>
      </c>
      <c r="DB14">
        <v>39.736113169728263</v>
      </c>
      <c r="DC14">
        <v>34.969593426997648</v>
      </c>
      <c r="DD14">
        <v>43.220966109687417</v>
      </c>
      <c r="DE14">
        <v>155.29149223827596</v>
      </c>
      <c r="DF14">
        <v>130.58101062841456</v>
      </c>
      <c r="DG14">
        <v>102.21616591332094</v>
      </c>
      <c r="DH14">
        <v>16.599936724741717</v>
      </c>
      <c r="DI14">
        <v>15.100847910659171</v>
      </c>
      <c r="DJ14">
        <v>11.003712498745777</v>
      </c>
      <c r="DK14">
        <v>36.0024154589372</v>
      </c>
      <c r="DL14">
        <v>35.172004744958478</v>
      </c>
      <c r="DM14">
        <v>27.877945765926711</v>
      </c>
      <c r="DN14">
        <v>42.022563274786926</v>
      </c>
      <c r="DO14">
        <v>38.132922232723729</v>
      </c>
      <c r="DP14">
        <v>27.162774070543378</v>
      </c>
      <c r="DQ14">
        <v>66</v>
      </c>
      <c r="DR14">
        <v>61.5</v>
      </c>
      <c r="DS14">
        <v>43.79562043795621</v>
      </c>
      <c r="DT14">
        <v>30</v>
      </c>
      <c r="DU14">
        <v>34.25</v>
      </c>
      <c r="DV14">
        <v>42.822384428223842</v>
      </c>
      <c r="DW14">
        <v>3</v>
      </c>
      <c r="DX14">
        <v>4</v>
      </c>
      <c r="DY14">
        <v>12.408759124087592</v>
      </c>
      <c r="DZ14">
        <v>1</v>
      </c>
      <c r="EA14">
        <v>0.25</v>
      </c>
      <c r="EB14">
        <v>0.72992700729927007</v>
      </c>
      <c r="ED14">
        <v>0</v>
      </c>
      <c r="EE14">
        <v>0.24330900243309003</v>
      </c>
      <c r="EF14">
        <v>446658</v>
      </c>
      <c r="EG14">
        <v>497332</v>
      </c>
      <c r="EH14">
        <v>503473</v>
      </c>
      <c r="EI14">
        <v>33.917593293711761</v>
      </c>
      <c r="EJ14">
        <v>43.903211026435024</v>
      </c>
      <c r="EK14">
        <v>39.217849576907518</v>
      </c>
      <c r="EL14">
        <v>46.173187808075618</v>
      </c>
      <c r="EM14">
        <v>18.081063226207593</v>
      </c>
      <c r="EN14">
        <v>23.277316560979511</v>
      </c>
      <c r="EO14">
        <v>18.60152608140837</v>
      </c>
      <c r="EP14">
        <v>14.233141168809032</v>
      </c>
      <c r="EQ14">
        <v>29.052189795204601</v>
      </c>
      <c r="ER14">
        <v>37.949858367172141</v>
      </c>
      <c r="ES14">
        <v>53.07534050365895</v>
      </c>
      <c r="ET14">
        <v>58.701381574059099</v>
      </c>
      <c r="EU14">
        <v>18.685734271169316</v>
      </c>
      <c r="EV14">
        <v>14.949099896290715</v>
      </c>
      <c r="EW14">
        <v>6.8944503763118838</v>
      </c>
      <c r="EX14">
        <v>6.2553267743895251</v>
      </c>
      <c r="EY14">
        <v>13.009754012357675</v>
      </c>
      <c r="EZ14">
        <v>13.335156415270546</v>
      </c>
      <c r="FA14">
        <v>15.457173363889684</v>
      </c>
      <c r="FB14">
        <v>12.850255903705033</v>
      </c>
      <c r="FC14">
        <v>8.9060739128745201</v>
      </c>
      <c r="FD14">
        <v>2.7599052685348098</v>
      </c>
      <c r="FE14">
        <v>3.449568999192687</v>
      </c>
      <c r="FF14">
        <v>4.9454319768178783</v>
      </c>
      <c r="FG14">
        <v>12.265184782186296</v>
      </c>
      <c r="FH14">
        <v>7.7286634917522754</v>
      </c>
      <c r="FI14">
        <v>2.5219406755384313</v>
      </c>
      <c r="FJ14">
        <v>2.2434734721172043</v>
      </c>
      <c r="FK14">
        <v>17.139765315587226</v>
      </c>
      <c r="FL14">
        <v>21.582611736152533</v>
      </c>
      <c r="FM14">
        <v>18.228613194685632</v>
      </c>
      <c r="FN14">
        <v>13.951396711462728</v>
      </c>
      <c r="FO14">
        <v>28.678906376525671</v>
      </c>
      <c r="FP14">
        <v>35.16217939488677</v>
      </c>
      <c r="FQ14">
        <v>52.035912933943628</v>
      </c>
      <c r="FR14">
        <v>53.832988412403182</v>
      </c>
      <c r="FS14">
        <v>17.750033126720748</v>
      </c>
      <c r="FT14">
        <v>12.116148007980419</v>
      </c>
      <c r="FU14">
        <v>6.0919284022165661</v>
      </c>
      <c r="FV14">
        <v>4.9773400047153746</v>
      </c>
      <c r="FW14">
        <v>13.792494221227603</v>
      </c>
      <c r="FX14">
        <v>14.000699315082581</v>
      </c>
      <c r="FY14">
        <v>13.479791199050339</v>
      </c>
      <c r="FZ14">
        <v>12.326338860800391</v>
      </c>
      <c r="GA14">
        <v>6.9117062469633836</v>
      </c>
      <c r="GB14">
        <v>1.4443941668894877</v>
      </c>
      <c r="GC14">
        <v>2.9718367537361789</v>
      </c>
      <c r="GD14">
        <v>4.1001929810773756</v>
      </c>
      <c r="GE14">
        <v>15.727094712975362</v>
      </c>
      <c r="GF14">
        <v>15.693967379008223</v>
      </c>
      <c r="GG14">
        <v>7.1919175163676607</v>
      </c>
      <c r="GH14">
        <v>10.811743029540949</v>
      </c>
    </row>
    <row r="15" spans="1:190">
      <c r="A15" t="s">
        <v>12</v>
      </c>
      <c r="B15">
        <v>576200</v>
      </c>
      <c r="C15">
        <v>612717.49836357322</v>
      </c>
      <c r="D15">
        <v>642557.24492778012</v>
      </c>
      <c r="E15">
        <v>700610.23647416092</v>
      </c>
      <c r="F15">
        <v>122500</v>
      </c>
      <c r="G15">
        <v>128962.82992810308</v>
      </c>
      <c r="H15">
        <v>136888.43655114417</v>
      </c>
      <c r="I15">
        <v>21.259979173897953</v>
      </c>
      <c r="J15">
        <f t="shared" si="0"/>
        <v>21.047681888069622</v>
      </c>
      <c r="K15">
        <f t="shared" si="1"/>
        <v>21.303695138715568</v>
      </c>
      <c r="L15">
        <v>32800</v>
      </c>
      <c r="M15">
        <v>35202.299496701111</v>
      </c>
      <c r="N15">
        <v>37153.421470879592</v>
      </c>
      <c r="O15">
        <v>5.692467893092676</v>
      </c>
      <c r="P15">
        <f t="shared" si="2"/>
        <v>5.7452740603489074</v>
      </c>
      <c r="Q15">
        <f t="shared" si="3"/>
        <v>5.7821185216043176</v>
      </c>
      <c r="R15">
        <v>36.652650520420423</v>
      </c>
      <c r="S15">
        <v>41.649279855183586</v>
      </c>
      <c r="T15">
        <v>36.946031250262365</v>
      </c>
      <c r="U15">
        <v>39.126609677602396</v>
      </c>
      <c r="V15">
        <v>15260.770600000002</v>
      </c>
      <c r="W15">
        <v>38.248609322517694</v>
      </c>
      <c r="X15">
        <v>39.589501214768404</v>
      </c>
      <c r="Y15">
        <v>42.69615802883628</v>
      </c>
      <c r="Z15">
        <v>621866.43791321944</v>
      </c>
      <c r="AA15">
        <v>646601</v>
      </c>
      <c r="AB15">
        <v>238995.91286270536</v>
      </c>
      <c r="AC15">
        <v>258220.60411920442</v>
      </c>
      <c r="AD15">
        <v>128036.34201626125</v>
      </c>
      <c r="AE15">
        <v>136033.62022954246</v>
      </c>
      <c r="AF15">
        <v>51669.496022597348</v>
      </c>
      <c r="AG15">
        <v>60670.932146978783</v>
      </c>
      <c r="AH15">
        <v>59290.074823846749</v>
      </c>
      <c r="AI15">
        <v>61516.051742683172</v>
      </c>
      <c r="AJ15">
        <v>315000</v>
      </c>
      <c r="AK15">
        <v>314000</v>
      </c>
      <c r="AL15">
        <v>343000</v>
      </c>
      <c r="AM15">
        <v>26810</v>
      </c>
      <c r="AN15">
        <v>30405</v>
      </c>
      <c r="AO15">
        <v>35205</v>
      </c>
      <c r="AP15">
        <v>95.332390381895337</v>
      </c>
      <c r="AQ15">
        <v>92.669432918395572</v>
      </c>
      <c r="AR15">
        <v>91.581342434584755</v>
      </c>
      <c r="AS15">
        <v>74.2</v>
      </c>
      <c r="AT15">
        <v>71.5</v>
      </c>
      <c r="AU15">
        <v>75.2</v>
      </c>
      <c r="AV15">
        <v>80.400000000000006</v>
      </c>
      <c r="AW15">
        <v>74.8</v>
      </c>
      <c r="AX15">
        <v>83.2</v>
      </c>
      <c r="AY15">
        <v>68.099999999999994</v>
      </c>
      <c r="AZ15">
        <v>68.2</v>
      </c>
      <c r="BA15">
        <v>67.099999999999994</v>
      </c>
      <c r="BB15">
        <v>5.6</v>
      </c>
      <c r="BC15">
        <v>7</v>
      </c>
      <c r="BD15">
        <v>5.7</v>
      </c>
      <c r="BE15">
        <v>25.48388625074255</v>
      </c>
      <c r="BF15">
        <v>28.279377813991875</v>
      </c>
      <c r="BG15">
        <v>34.851452824028726</v>
      </c>
      <c r="BH15">
        <v>26.279727900081816</v>
      </c>
      <c r="BI15">
        <v>32.627849261957678</v>
      </c>
      <c r="BJ15">
        <v>35.057458354325981</v>
      </c>
      <c r="BK15" t="s">
        <v>29</v>
      </c>
      <c r="BL15" t="s">
        <v>29</v>
      </c>
      <c r="BM15" t="s">
        <v>29</v>
      </c>
      <c r="BN15" t="s">
        <v>32</v>
      </c>
      <c r="BO15" t="s">
        <v>41</v>
      </c>
      <c r="BP15" t="s">
        <v>41</v>
      </c>
      <c r="BQ15" t="s">
        <v>45</v>
      </c>
      <c r="BR15" t="s">
        <v>39</v>
      </c>
      <c r="BS15" t="s">
        <v>46</v>
      </c>
      <c r="BT15">
        <v>20.167082078178915</v>
      </c>
      <c r="BU15">
        <v>18.64613839846038</v>
      </c>
      <c r="BV15">
        <v>17.178847978115556</v>
      </c>
      <c r="BW15">
        <v>34.726975152507066</v>
      </c>
      <c r="BX15">
        <v>38.563030698889619</v>
      </c>
      <c r="BY15">
        <v>41.245775749845492</v>
      </c>
      <c r="BZ15" t="s">
        <v>66</v>
      </c>
      <c r="CA15">
        <v>230</v>
      </c>
      <c r="CB15">
        <v>221</v>
      </c>
      <c r="CC15">
        <v>226</v>
      </c>
      <c r="CD15">
        <v>43</v>
      </c>
      <c r="CE15">
        <v>45</v>
      </c>
      <c r="CF15">
        <v>46</v>
      </c>
      <c r="CG15">
        <v>14.762320104666376</v>
      </c>
      <c r="CH15">
        <v>15.081116701358743</v>
      </c>
      <c r="CI15">
        <v>15.359210365825055</v>
      </c>
      <c r="CJ15">
        <v>54.344719372359684</v>
      </c>
      <c r="CK15">
        <v>62.519521103896103</v>
      </c>
      <c r="CL15">
        <v>67.357008330315097</v>
      </c>
      <c r="CM15">
        <v>44.3</v>
      </c>
      <c r="CN15">
        <v>49.3</v>
      </c>
      <c r="CO15">
        <v>54.8</v>
      </c>
      <c r="CP15">
        <v>8.5</v>
      </c>
      <c r="CQ15">
        <v>6.7</v>
      </c>
      <c r="CR15">
        <v>5.3</v>
      </c>
      <c r="CS15">
        <v>26.321714098848346</v>
      </c>
      <c r="CT15">
        <v>27.027321398829997</v>
      </c>
      <c r="CU15">
        <v>17.858493559235992</v>
      </c>
      <c r="CV15">
        <v>42.672983584074458</v>
      </c>
      <c r="CW15">
        <v>31.04571965983796</v>
      </c>
      <c r="CX15">
        <v>20.254838504981283</v>
      </c>
      <c r="CY15">
        <v>15.751279438951931</v>
      </c>
      <c r="CZ15">
        <v>24.89386318012351</v>
      </c>
      <c r="DA15">
        <v>40.9416841170125</v>
      </c>
      <c r="DB15">
        <v>15.254022878125268</v>
      </c>
      <c r="DC15">
        <v>17.033095761208539</v>
      </c>
      <c r="DD15">
        <v>20.944983818770226</v>
      </c>
      <c r="DE15">
        <v>89.407590125508634</v>
      </c>
      <c r="DF15">
        <v>78.337677139289525</v>
      </c>
      <c r="DG15">
        <v>67.870375816032464</v>
      </c>
      <c r="DH15">
        <v>7.6449606056985084</v>
      </c>
      <c r="DI15">
        <v>7.765453593561662</v>
      </c>
      <c r="DJ15">
        <v>6.1716636824259972</v>
      </c>
      <c r="DK15">
        <v>18.359030837004404</v>
      </c>
      <c r="DL15">
        <v>17.442348008385743</v>
      </c>
      <c r="DM15">
        <v>12.816254221336434</v>
      </c>
      <c r="DN15">
        <v>20.036105103993155</v>
      </c>
      <c r="DO15">
        <v>19.480561917686249</v>
      </c>
      <c r="DP15">
        <v>14.335715864711517</v>
      </c>
      <c r="DQ15">
        <v>5</v>
      </c>
      <c r="DR15">
        <v>3.7142857142857144</v>
      </c>
      <c r="DS15">
        <v>5.070422535211268</v>
      </c>
      <c r="DT15">
        <v>23</v>
      </c>
      <c r="DU15">
        <v>19.142857142857142</v>
      </c>
      <c r="DV15">
        <v>18.30985915492958</v>
      </c>
      <c r="DW15">
        <v>22</v>
      </c>
      <c r="DX15">
        <v>20.857142857142858</v>
      </c>
      <c r="DY15">
        <v>23.380281690140844</v>
      </c>
      <c r="DZ15">
        <v>26</v>
      </c>
      <c r="EA15">
        <v>32</v>
      </c>
      <c r="EB15">
        <v>25.070422535211268</v>
      </c>
      <c r="EC15">
        <v>24</v>
      </c>
      <c r="ED15">
        <v>24.285714285714285</v>
      </c>
      <c r="EE15">
        <v>28.169014084507044</v>
      </c>
      <c r="EF15">
        <v>414857</v>
      </c>
      <c r="EG15">
        <v>438908</v>
      </c>
      <c r="EH15">
        <v>431812</v>
      </c>
      <c r="EI15">
        <v>40.230285478080241</v>
      </c>
      <c r="EJ15">
        <v>46.233365133512571</v>
      </c>
      <c r="EK15">
        <v>40.300951032663917</v>
      </c>
      <c r="EL15">
        <v>49.549227476269699</v>
      </c>
      <c r="EM15">
        <v>33.009931761367476</v>
      </c>
      <c r="EN15">
        <v>40.819760005519555</v>
      </c>
      <c r="EO15">
        <v>39.842246574711055</v>
      </c>
      <c r="EP15">
        <v>39.473721142375972</v>
      </c>
      <c r="EQ15">
        <v>17.042767380582394</v>
      </c>
      <c r="ER15">
        <v>16.02263017391904</v>
      </c>
      <c r="ES15">
        <v>28.744195157926271</v>
      </c>
      <c r="ET15">
        <v>29.44214441091853</v>
      </c>
      <c r="EU15">
        <v>30.262144449699345</v>
      </c>
      <c r="EV15">
        <v>26.528359365463512</v>
      </c>
      <c r="EW15">
        <v>16.678189926366372</v>
      </c>
      <c r="EX15">
        <v>14.340046312539471</v>
      </c>
      <c r="EY15">
        <v>6.6657658266333355</v>
      </c>
      <c r="EZ15">
        <v>6.779499100418743</v>
      </c>
      <c r="FA15">
        <v>9.8351021536972372</v>
      </c>
      <c r="FB15">
        <v>9.2367787055879109</v>
      </c>
      <c r="FC15">
        <v>8.4298358219039251</v>
      </c>
      <c r="FD15">
        <v>2.0056150853673422</v>
      </c>
      <c r="FE15">
        <v>4.9002661872990636</v>
      </c>
      <c r="FF15">
        <v>7.0090987766940334</v>
      </c>
      <c r="FG15">
        <v>4.5895547598135309</v>
      </c>
      <c r="FH15">
        <v>7.8441362693118037</v>
      </c>
      <c r="FI15">
        <v>0</v>
      </c>
      <c r="FJ15">
        <v>0.28769910883446775</v>
      </c>
      <c r="FK15">
        <v>30.374240759142147</v>
      </c>
      <c r="FL15">
        <v>38.180027116346068</v>
      </c>
      <c r="FM15">
        <v>38.307486492848817</v>
      </c>
      <c r="FN15">
        <v>36.50529465391898</v>
      </c>
      <c r="FO15">
        <v>19.535933561900752</v>
      </c>
      <c r="FP15">
        <v>19.065651215998646</v>
      </c>
      <c r="FQ15">
        <v>29.274202346024218</v>
      </c>
      <c r="FR15">
        <v>28.501367493396291</v>
      </c>
      <c r="FS15">
        <v>24.677384328873856</v>
      </c>
      <c r="FT15">
        <v>20.121705787645112</v>
      </c>
      <c r="FU15">
        <v>12.328971619193073</v>
      </c>
      <c r="FV15">
        <v>11.756235536127539</v>
      </c>
      <c r="FW15">
        <v>8.4857298912220891</v>
      </c>
      <c r="FX15">
        <v>8.0787645114820776</v>
      </c>
      <c r="FY15">
        <v>9.005724390958104</v>
      </c>
      <c r="FZ15">
        <v>7.9337992940461444</v>
      </c>
      <c r="GA15">
        <v>7.5736537664269115</v>
      </c>
      <c r="GB15">
        <v>1.7964579272942971</v>
      </c>
      <c r="GC15">
        <v>4.9860191655135591</v>
      </c>
      <c r="GD15">
        <v>5.9982701792935789</v>
      </c>
      <c r="GE15">
        <v>9.3530576924342448</v>
      </c>
      <c r="GF15">
        <v>12.757393441233795</v>
      </c>
      <c r="GG15">
        <v>6.0975959854622275</v>
      </c>
      <c r="GH15">
        <v>9.3050328432174663</v>
      </c>
    </row>
    <row r="16" spans="1:190">
      <c r="A16" t="s">
        <v>13</v>
      </c>
      <c r="B16">
        <v>558500</v>
      </c>
      <c r="C16">
        <v>560389.00232596474</v>
      </c>
      <c r="D16">
        <v>581662.4988430948</v>
      </c>
      <c r="E16">
        <v>635305.22404033924</v>
      </c>
      <c r="F16">
        <v>91300</v>
      </c>
      <c r="G16">
        <v>93519.011297160934</v>
      </c>
      <c r="H16">
        <v>97633.509466481162</v>
      </c>
      <c r="I16">
        <v>16.347358997314235</v>
      </c>
      <c r="J16">
        <f t="shared" si="0"/>
        <v>16.68823101613318</v>
      </c>
      <c r="K16">
        <f t="shared" si="1"/>
        <v>16.78525083887488</v>
      </c>
      <c r="L16">
        <v>30500</v>
      </c>
      <c r="M16">
        <v>27497.647163550635</v>
      </c>
      <c r="N16">
        <v>30880.982015581438</v>
      </c>
      <c r="O16">
        <v>5.4610564010743063</v>
      </c>
      <c r="P16">
        <f t="shared" si="2"/>
        <v>4.9068855829465257</v>
      </c>
      <c r="Q16">
        <f t="shared" si="3"/>
        <v>5.3090893906694285</v>
      </c>
      <c r="R16">
        <v>37.343954242555803</v>
      </c>
      <c r="S16">
        <v>49.958531887862357</v>
      </c>
      <c r="T16">
        <v>37.350949763801673</v>
      </c>
      <c r="U16">
        <v>39.9587945578172</v>
      </c>
      <c r="V16">
        <v>5156.8017</v>
      </c>
      <c r="W16">
        <v>111.68213085906254</v>
      </c>
      <c r="X16">
        <v>115.38153895376739</v>
      </c>
      <c r="Y16">
        <v>115.40050654643419</v>
      </c>
      <c r="Z16">
        <v>1499250.0506395698</v>
      </c>
      <c r="AA16">
        <v>1380605</v>
      </c>
      <c r="AB16">
        <v>264621.31633139349</v>
      </c>
      <c r="AC16">
        <v>279757.18676263501</v>
      </c>
      <c r="AD16">
        <v>95300.434449688473</v>
      </c>
      <c r="AE16">
        <v>97307.231933058734</v>
      </c>
      <c r="AF16">
        <v>99245.885431634189</v>
      </c>
      <c r="AG16">
        <v>108943.90692200822</v>
      </c>
      <c r="AH16">
        <v>70074.99645007083</v>
      </c>
      <c r="AI16">
        <v>73506.047907568049</v>
      </c>
      <c r="AJ16">
        <v>870000</v>
      </c>
      <c r="AK16">
        <v>912000</v>
      </c>
      <c r="AL16">
        <v>1020000</v>
      </c>
      <c r="AM16">
        <v>65135</v>
      </c>
      <c r="AN16">
        <v>71695</v>
      </c>
      <c r="AO16">
        <v>80260</v>
      </c>
      <c r="AP16">
        <v>93.966022261277089</v>
      </c>
      <c r="AQ16">
        <v>82.081911262798641</v>
      </c>
      <c r="AR16">
        <v>83.834048640915597</v>
      </c>
      <c r="AS16">
        <v>63.4</v>
      </c>
      <c r="AT16">
        <v>65.7</v>
      </c>
      <c r="AU16">
        <v>70.2</v>
      </c>
      <c r="AV16">
        <v>70.599999999999994</v>
      </c>
      <c r="AW16">
        <v>74.5</v>
      </c>
      <c r="AX16">
        <v>76.3</v>
      </c>
      <c r="AY16">
        <v>56.3</v>
      </c>
      <c r="AZ16">
        <v>56.7</v>
      </c>
      <c r="BA16">
        <v>63.9</v>
      </c>
      <c r="BB16">
        <v>8.5</v>
      </c>
      <c r="BC16">
        <v>7.2</v>
      </c>
      <c r="BD16">
        <v>6.2</v>
      </c>
      <c r="BE16">
        <v>32.620578165944913</v>
      </c>
      <c r="BF16">
        <v>31.982693138320844</v>
      </c>
      <c r="BG16">
        <v>35.069868027059997</v>
      </c>
      <c r="BH16">
        <v>46.250843586149614</v>
      </c>
      <c r="BI16">
        <v>48.967644234320751</v>
      </c>
      <c r="BJ16">
        <v>49.117798516564427</v>
      </c>
      <c r="BK16" t="s">
        <v>33</v>
      </c>
      <c r="BL16" t="s">
        <v>33</v>
      </c>
      <c r="BM16" t="s">
        <v>38</v>
      </c>
      <c r="BN16" t="s">
        <v>38</v>
      </c>
      <c r="BO16" t="s">
        <v>38</v>
      </c>
      <c r="BP16" t="s">
        <v>145</v>
      </c>
      <c r="BQ16" t="s">
        <v>45</v>
      </c>
      <c r="BR16" t="s">
        <v>45</v>
      </c>
      <c r="BS16" t="s">
        <v>33</v>
      </c>
      <c r="BT16">
        <v>24.735129859567316</v>
      </c>
      <c r="BU16">
        <v>18.85598980352836</v>
      </c>
      <c r="BV16">
        <v>33.633736893697169</v>
      </c>
      <c r="BW16">
        <v>52.058823529411768</v>
      </c>
      <c r="BX16">
        <v>57.380556215830758</v>
      </c>
      <c r="BY16">
        <v>55.893873487848687</v>
      </c>
      <c r="BZ16" t="s">
        <v>69</v>
      </c>
      <c r="CA16">
        <v>236</v>
      </c>
      <c r="CB16">
        <v>236</v>
      </c>
      <c r="CC16">
        <v>252</v>
      </c>
      <c r="CD16">
        <v>86</v>
      </c>
      <c r="CE16">
        <v>87</v>
      </c>
      <c r="CF16">
        <v>91</v>
      </c>
      <c r="CG16">
        <v>33.627464497449331</v>
      </c>
      <c r="CH16">
        <v>34.507458847736629</v>
      </c>
      <c r="CI16">
        <v>34.358042693567285</v>
      </c>
      <c r="CJ16">
        <v>45.059043222828372</v>
      </c>
      <c r="CK16">
        <v>60.455324259407526</v>
      </c>
      <c r="CL16">
        <v>65.804677661169421</v>
      </c>
      <c r="CM16">
        <v>52</v>
      </c>
      <c r="CN16">
        <v>58.7</v>
      </c>
      <c r="CO16">
        <v>65.3</v>
      </c>
      <c r="CP16">
        <v>9.5</v>
      </c>
      <c r="CQ16">
        <v>8.4</v>
      </c>
      <c r="CR16">
        <v>4.8</v>
      </c>
      <c r="CS16">
        <v>19.507453515446901</v>
      </c>
      <c r="CT16">
        <v>21.907074363644117</v>
      </c>
      <c r="CU16">
        <v>12.302043574793114</v>
      </c>
      <c r="CV16">
        <v>21.210561886258716</v>
      </c>
      <c r="CW16">
        <v>15.368134813350199</v>
      </c>
      <c r="CX16">
        <v>8.5446418244535014</v>
      </c>
      <c r="CY16">
        <v>28.755718502223676</v>
      </c>
      <c r="CZ16">
        <v>29.15821903983505</v>
      </c>
      <c r="DA16">
        <v>41.726028080726991</v>
      </c>
      <c r="DB16">
        <v>30.526266096070714</v>
      </c>
      <c r="DC16">
        <v>33.566571783170637</v>
      </c>
      <c r="DD16">
        <v>37.427286520026399</v>
      </c>
      <c r="DE16">
        <v>200.44886547349603</v>
      </c>
      <c r="DF16">
        <v>184.57870949551841</v>
      </c>
      <c r="DG16">
        <v>157.07223952930983</v>
      </c>
      <c r="DH16">
        <v>10.86587029899696</v>
      </c>
      <c r="DI16">
        <v>11.423381970091421</v>
      </c>
      <c r="DJ16">
        <v>8.6788671794418413</v>
      </c>
      <c r="DK16">
        <v>24.108796296296298</v>
      </c>
      <c r="DL16">
        <v>23.544444444444444</v>
      </c>
      <c r="DM16">
        <v>20.598921061323352</v>
      </c>
      <c r="DN16">
        <v>36.303430464994776</v>
      </c>
      <c r="DO16">
        <v>33.905813286884253</v>
      </c>
      <c r="DP16">
        <v>25.670072992700732</v>
      </c>
      <c r="DQ16">
        <v>24</v>
      </c>
      <c r="DR16">
        <v>22.754491017964071</v>
      </c>
      <c r="DS16">
        <v>24.709302325581394</v>
      </c>
      <c r="DT16">
        <v>31</v>
      </c>
      <c r="DU16">
        <v>32.035928143712574</v>
      </c>
      <c r="DV16">
        <v>27.906976744186046</v>
      </c>
      <c r="DW16">
        <v>27</v>
      </c>
      <c r="DX16">
        <v>24.850299401197603</v>
      </c>
      <c r="DY16">
        <v>25</v>
      </c>
      <c r="DZ16">
        <v>17</v>
      </c>
      <c r="EA16">
        <v>20.059880239520957</v>
      </c>
      <c r="EB16">
        <v>21.220930232558139</v>
      </c>
      <c r="EC16">
        <v>0</v>
      </c>
      <c r="ED16">
        <v>0.29940119760479045</v>
      </c>
      <c r="EE16">
        <v>1.1627906976744187</v>
      </c>
      <c r="EF16">
        <v>368090</v>
      </c>
      <c r="EG16">
        <v>376472</v>
      </c>
      <c r="EH16">
        <v>355079</v>
      </c>
      <c r="EI16">
        <v>35.304675250292753</v>
      </c>
      <c r="EJ16">
        <v>48.4727292793931</v>
      </c>
      <c r="EK16">
        <v>39.303491725290677</v>
      </c>
      <c r="EL16">
        <v>44.655329486790166</v>
      </c>
      <c r="EM16">
        <v>44.688676238792084</v>
      </c>
      <c r="EN16">
        <v>53.4094761432208</v>
      </c>
      <c r="EO16">
        <v>50.388015247359718</v>
      </c>
      <c r="EP16">
        <v>44.204642547335325</v>
      </c>
      <c r="EQ16">
        <v>18.897339385535009</v>
      </c>
      <c r="ER16">
        <v>21.739532418222499</v>
      </c>
      <c r="ES16">
        <v>30.487888186028716</v>
      </c>
      <c r="ET16">
        <v>34.705617625765548</v>
      </c>
      <c r="EU16">
        <v>15.054133900655465</v>
      </c>
      <c r="EV16">
        <v>9.821313001189603</v>
      </c>
      <c r="EW16">
        <v>6.8551637451668883</v>
      </c>
      <c r="EX16">
        <v>6.8985983655207059</v>
      </c>
      <c r="EY16">
        <v>9.2695153357852202</v>
      </c>
      <c r="EZ16">
        <v>10.400705132551359</v>
      </c>
      <c r="FA16">
        <v>8.7433224488680619</v>
      </c>
      <c r="FB16">
        <v>9.1637805649584863</v>
      </c>
      <c r="FC16">
        <v>6.2178620339187436</v>
      </c>
      <c r="FD16">
        <v>1.8861062999648668</v>
      </c>
      <c r="FE16">
        <v>3.5256103725766126</v>
      </c>
      <c r="FF16">
        <v>5.0273608964199292</v>
      </c>
      <c r="FG16">
        <v>5.8724731053134889</v>
      </c>
      <c r="FH16">
        <v>2.742867004850865</v>
      </c>
      <c r="FI16">
        <v>0</v>
      </c>
      <c r="FJ16">
        <v>0</v>
      </c>
      <c r="FK16">
        <v>41.65012478481826</v>
      </c>
      <c r="FL16">
        <v>48.356338261354786</v>
      </c>
      <c r="FM16">
        <v>48.207604924835046</v>
      </c>
      <c r="FN16">
        <v>41.729541119566704</v>
      </c>
      <c r="FO16">
        <v>20.23820309861707</v>
      </c>
      <c r="FP16">
        <v>20.698303297134551</v>
      </c>
      <c r="FQ16">
        <v>29.762601183592952</v>
      </c>
      <c r="FR16">
        <v>31.652920000260394</v>
      </c>
      <c r="FS16">
        <v>14.622474445881279</v>
      </c>
      <c r="FT16">
        <v>8.7735542460495086</v>
      </c>
      <c r="FU16">
        <v>5.8805523433780014</v>
      </c>
      <c r="FV16">
        <v>5.6538183617271978</v>
      </c>
      <c r="FW16">
        <v>9.4177532143416052</v>
      </c>
      <c r="FX16">
        <v>8.9409557213899848</v>
      </c>
      <c r="FY16">
        <v>8.2028433439902049</v>
      </c>
      <c r="FZ16">
        <v>7.3144851021723429</v>
      </c>
      <c r="GA16">
        <v>5.1693037583704662</v>
      </c>
      <c r="GB16">
        <v>1.0442663461715345</v>
      </c>
      <c r="GC16">
        <v>3.1793755526834908</v>
      </c>
      <c r="GD16">
        <v>4.0465325200341118</v>
      </c>
      <c r="GE16">
        <v>8.9021406979713262</v>
      </c>
      <c r="GF16">
        <v>12.18658212789963</v>
      </c>
      <c r="GG16">
        <v>4.7670226515203007</v>
      </c>
      <c r="GH16">
        <v>9.6027028962392507</v>
      </c>
    </row>
    <row r="17" spans="1:190">
      <c r="A17" t="s">
        <v>14</v>
      </c>
      <c r="B17">
        <v>7758500</v>
      </c>
      <c r="C17">
        <v>8320793</v>
      </c>
      <c r="D17">
        <v>8750753</v>
      </c>
      <c r="E17">
        <v>9847813.5885605142</v>
      </c>
      <c r="F17">
        <v>1659100</v>
      </c>
      <c r="G17">
        <f>SUM(G3:G16)</f>
        <v>1764049.9244408708</v>
      </c>
      <c r="H17">
        <v>1855557.0821224903</v>
      </c>
      <c r="I17">
        <v>21.384012579589101</v>
      </c>
      <c r="J17">
        <f t="shared" si="0"/>
        <v>21.200502457408454</v>
      </c>
      <c r="K17">
        <f t="shared" si="1"/>
        <v>21.204541850541208</v>
      </c>
      <c r="L17">
        <v>419800</v>
      </c>
      <c r="M17">
        <v>439261.18893133587</v>
      </c>
      <c r="N17">
        <v>462639.21745556308</v>
      </c>
      <c r="O17">
        <v>5.4107699842755137</v>
      </c>
      <c r="P17">
        <f t="shared" si="2"/>
        <v>5.2790784355690121</v>
      </c>
      <c r="Q17">
        <f t="shared" si="3"/>
        <v>5.2868503711116412</v>
      </c>
      <c r="R17">
        <v>36.027865552262256</v>
      </c>
      <c r="S17">
        <v>35.562374798597368</v>
      </c>
      <c r="T17">
        <v>35.919701864088296</v>
      </c>
      <c r="U17">
        <v>37.958842922551611</v>
      </c>
      <c r="V17">
        <v>159470.63779999997</v>
      </c>
      <c r="W17">
        <v>49.350347009535362</v>
      </c>
      <c r="X17">
        <v>51.387688301412012</v>
      </c>
      <c r="Y17">
        <v>55.671633677983998</v>
      </c>
      <c r="Z17">
        <v>9301133.0523632504</v>
      </c>
      <c r="AA17">
        <v>10046359</v>
      </c>
      <c r="AB17">
        <v>3278368.8120793537</v>
      </c>
      <c r="AC17">
        <v>3554141.5917150234</v>
      </c>
      <c r="AD17">
        <v>1515625.8797121749</v>
      </c>
      <c r="AE17">
        <v>1605170.7666573727</v>
      </c>
      <c r="AF17">
        <v>913182.96988555859</v>
      </c>
      <c r="AG17">
        <v>1066241.1264937087</v>
      </c>
      <c r="AH17">
        <v>849559.96248162026</v>
      </c>
      <c r="AI17">
        <v>882729.69856394234</v>
      </c>
      <c r="AJ17">
        <v>4617000</v>
      </c>
      <c r="AK17">
        <v>4788000</v>
      </c>
      <c r="AL17">
        <v>5600000</v>
      </c>
      <c r="AM17">
        <v>363630</v>
      </c>
      <c r="AN17">
        <v>413260</v>
      </c>
      <c r="AO17">
        <v>500825</v>
      </c>
      <c r="AP17">
        <v>94.667056644242948</v>
      </c>
      <c r="AQ17">
        <v>88.300000000000011</v>
      </c>
      <c r="AR17">
        <v>89.7</v>
      </c>
      <c r="AS17">
        <v>68.5</v>
      </c>
      <c r="AT17">
        <v>67.3</v>
      </c>
      <c r="AU17">
        <v>72.2</v>
      </c>
      <c r="AV17">
        <v>76</v>
      </c>
      <c r="AW17">
        <v>74.5</v>
      </c>
      <c r="AX17">
        <v>79.400000000000006</v>
      </c>
      <c r="AY17">
        <v>61</v>
      </c>
      <c r="AZ17">
        <v>60.2</v>
      </c>
      <c r="BA17">
        <v>65</v>
      </c>
      <c r="BB17">
        <v>7.6</v>
      </c>
      <c r="BC17">
        <v>9.4</v>
      </c>
      <c r="BD17">
        <v>6.7</v>
      </c>
      <c r="BE17">
        <v>34.83919189136251</v>
      </c>
      <c r="BF17">
        <v>37.387638646358283</v>
      </c>
      <c r="BG17">
        <v>42.496235615561261</v>
      </c>
      <c r="BH17">
        <v>32.063025907529656</v>
      </c>
      <c r="BI17">
        <v>35.290728060734452</v>
      </c>
      <c r="BJ17">
        <v>36.6</v>
      </c>
      <c r="BK17" t="s">
        <v>29</v>
      </c>
      <c r="BL17" t="s">
        <v>29</v>
      </c>
      <c r="BM17" t="s">
        <v>29</v>
      </c>
      <c r="BN17" t="s">
        <v>28</v>
      </c>
      <c r="BO17" t="s">
        <v>28</v>
      </c>
      <c r="BP17" t="s">
        <v>41</v>
      </c>
      <c r="BQ17" t="s">
        <v>45</v>
      </c>
      <c r="BR17" t="s">
        <v>41</v>
      </c>
      <c r="BS17" t="s">
        <v>46</v>
      </c>
      <c r="BT17">
        <v>21.771992879354634</v>
      </c>
      <c r="BU17">
        <v>24.913737686431823</v>
      </c>
      <c r="BV17">
        <v>25.667091668797038</v>
      </c>
      <c r="BW17">
        <v>38.235294117647058</v>
      </c>
      <c r="BX17">
        <v>41.679673837576544</v>
      </c>
      <c r="BY17">
        <v>44.928547703024165</v>
      </c>
      <c r="BZ17" t="s">
        <v>62</v>
      </c>
      <c r="CA17">
        <v>3042</v>
      </c>
      <c r="CB17">
        <v>3022</v>
      </c>
      <c r="CC17">
        <v>3119</v>
      </c>
      <c r="CD17">
        <v>489</v>
      </c>
      <c r="CE17">
        <v>520</v>
      </c>
      <c r="CF17">
        <v>555</v>
      </c>
      <c r="CG17">
        <v>10.466052272764609</v>
      </c>
      <c r="CH17">
        <v>10.509554140127388</v>
      </c>
      <c r="CI17">
        <v>10.548513170053788</v>
      </c>
      <c r="CJ17">
        <v>48.4</v>
      </c>
      <c r="CK17">
        <v>58.2</v>
      </c>
      <c r="CL17">
        <v>60.9</v>
      </c>
      <c r="CM17">
        <v>37.1</v>
      </c>
      <c r="CN17">
        <v>45.3</v>
      </c>
      <c r="CO17">
        <v>49.9</v>
      </c>
      <c r="CP17">
        <v>12.9</v>
      </c>
      <c r="CQ17">
        <v>9.4</v>
      </c>
      <c r="CR17">
        <v>7.3</v>
      </c>
      <c r="CS17">
        <v>22.125893659113345</v>
      </c>
      <c r="CT17">
        <v>22.112479002679123</v>
      </c>
      <c r="CU17">
        <v>23.69057907066421</v>
      </c>
      <c r="CV17">
        <v>33.448802436642836</v>
      </c>
      <c r="CW17">
        <v>29.256637310772799</v>
      </c>
      <c r="CX17">
        <v>28.205175102080009</v>
      </c>
      <c r="CY17">
        <v>25.62109334396968</v>
      </c>
      <c r="CZ17">
        <v>24.643824121562162</v>
      </c>
      <c r="DA17">
        <v>23.174958809821021</v>
      </c>
      <c r="DB17">
        <v>18.804210560274139</v>
      </c>
      <c r="DC17">
        <v>23.987059564985916</v>
      </c>
      <c r="DD17">
        <v>24.929287017434763</v>
      </c>
      <c r="DE17">
        <v>123.35577945957878</v>
      </c>
      <c r="DF17">
        <v>105.32552633262942</v>
      </c>
      <c r="DG17">
        <v>86.488804077534624</v>
      </c>
      <c r="DH17">
        <v>12.061066368141118</v>
      </c>
      <c r="DI17">
        <v>8.9838034494641636</v>
      </c>
      <c r="DJ17">
        <v>11.501350564695741</v>
      </c>
      <c r="DK17">
        <v>24.783456225103823</v>
      </c>
      <c r="DL17">
        <v>24.016643322073001</v>
      </c>
      <c r="DM17">
        <v>18.7804979614396</v>
      </c>
      <c r="DN17">
        <v>31.526068632810482</v>
      </c>
      <c r="DO17">
        <v>29.647453666950131</v>
      </c>
      <c r="DP17">
        <v>18</v>
      </c>
      <c r="DQ17">
        <v>28.352570828961177</v>
      </c>
      <c r="DR17">
        <v>26.232948583420779</v>
      </c>
      <c r="DS17">
        <v>22.523267838676318</v>
      </c>
      <c r="DT17">
        <v>29.275970619097585</v>
      </c>
      <c r="DU17">
        <v>30.010493179433368</v>
      </c>
      <c r="DV17">
        <v>29.555325749741467</v>
      </c>
      <c r="DW17">
        <v>19.664218258132212</v>
      </c>
      <c r="DX17">
        <v>19.74816369359916</v>
      </c>
      <c r="DY17">
        <v>20.93071354705274</v>
      </c>
      <c r="DZ17">
        <v>13.976915005246591</v>
      </c>
      <c r="EA17">
        <v>15.131164742917102</v>
      </c>
      <c r="EB17">
        <v>16.153050672182008</v>
      </c>
      <c r="EC17">
        <v>8.7303252885624349</v>
      </c>
      <c r="ED17">
        <v>8.8772298006295909</v>
      </c>
      <c r="EE17">
        <v>10.837642192347467</v>
      </c>
      <c r="EF17">
        <v>5483584</v>
      </c>
      <c r="EG17">
        <v>5796259</v>
      </c>
      <c r="EH17">
        <v>5738498</v>
      </c>
      <c r="EI17">
        <v>36.949535495071757</v>
      </c>
      <c r="EJ17">
        <v>45.21879045082688</v>
      </c>
      <c r="EK17">
        <v>38.444047650591955</v>
      </c>
      <c r="EL17">
        <v>46.107603783559235</v>
      </c>
      <c r="EM17">
        <v>31.169977778036582</v>
      </c>
      <c r="EN17">
        <v>37.425637568887197</v>
      </c>
      <c r="EO17">
        <v>32.716742530723472</v>
      </c>
      <c r="EP17">
        <v>31.281826572350596</v>
      </c>
      <c r="EQ17">
        <v>24.668098588542072</v>
      </c>
      <c r="ER17">
        <v>28.003909754813321</v>
      </c>
      <c r="ES17">
        <v>42.281456934143897</v>
      </c>
      <c r="ET17">
        <v>43.840570362980316</v>
      </c>
      <c r="EU17">
        <v>18.425152134767032</v>
      </c>
      <c r="EV17">
        <v>13.71481147941914</v>
      </c>
      <c r="EW17">
        <v>8.7803605328134502</v>
      </c>
      <c r="EX17">
        <v>7.5399977590242599</v>
      </c>
      <c r="EY17">
        <v>7.6666605663023635</v>
      </c>
      <c r="EZ17">
        <v>8.0646589000739315</v>
      </c>
      <c r="FA17">
        <v>8.5439581967833167</v>
      </c>
      <c r="FB17">
        <v>9.1182684573423334</v>
      </c>
      <c r="FC17">
        <v>10.046024475770739</v>
      </c>
      <c r="FD17">
        <v>2.9914943716236908</v>
      </c>
      <c r="FE17">
        <v>4.3416224384273603</v>
      </c>
      <c r="FF17">
        <v>7.6796929478187641</v>
      </c>
      <c r="FG17">
        <v>8.0240864565812089</v>
      </c>
      <c r="FH17">
        <v>9.7994879251827172</v>
      </c>
      <c r="FI17">
        <v>3.3358593671084975</v>
      </c>
      <c r="FJ17">
        <v>0.53964390048373512</v>
      </c>
      <c r="FK17">
        <v>28.491655304441782</v>
      </c>
      <c r="FL17">
        <v>34.632039117850525</v>
      </c>
      <c r="FM17">
        <v>31.987590118143988</v>
      </c>
      <c r="FN17">
        <v>29.21730367216735</v>
      </c>
      <c r="FO17">
        <v>24.997624342957327</v>
      </c>
      <c r="FP17">
        <v>27.581906211828116</v>
      </c>
      <c r="FQ17">
        <v>41.137710952867465</v>
      </c>
      <c r="FR17">
        <v>40.326133664872863</v>
      </c>
      <c r="FS17">
        <v>16.881472330802502</v>
      </c>
      <c r="FT17">
        <v>11.409732293738681</v>
      </c>
      <c r="FU17">
        <v>6.792162018303312</v>
      </c>
      <c r="FV17">
        <v>6.3302947306929456</v>
      </c>
      <c r="FW17">
        <v>8.5654448137538264</v>
      </c>
      <c r="FX17">
        <v>8.4334083420963299</v>
      </c>
      <c r="FY17">
        <v>8.5424032137115464</v>
      </c>
      <c r="FZ17">
        <v>7.9504877515410923</v>
      </c>
      <c r="GA17">
        <v>8.3697867674301154</v>
      </c>
      <c r="GB17">
        <v>1.9322251821369996</v>
      </c>
      <c r="GC17">
        <v>4.5164602039991708</v>
      </c>
      <c r="GD17">
        <v>6.5401448803292155</v>
      </c>
      <c r="GE17">
        <v>12.694016440614444</v>
      </c>
      <c r="GF17">
        <v>16.01068885234934</v>
      </c>
      <c r="GG17">
        <v>7.023673492974515</v>
      </c>
      <c r="GH17">
        <v>9.6356353003965332</v>
      </c>
    </row>
    <row r="18" spans="1:190">
      <c r="A18" t="s">
        <v>15</v>
      </c>
    </row>
  </sheetData>
  <phoneticPr fontId="0" type="noConversion"/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Area Profile</vt:lpstr>
      <vt:lpstr>Sheet4</vt:lpstr>
      <vt:lpstr>Data</vt:lpstr>
      <vt:lpstr>Constituencies</vt:lpstr>
      <vt:lpstr>'Area Profile'!Print_Titles</vt:lpstr>
    </vt:vector>
  </TitlesOfParts>
  <Company>Greater London Authority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gpiggott</dc:creator>
  <cp:lastModifiedBy>Joseph Colombeau</cp:lastModifiedBy>
  <cp:lastPrinted>2012-02-29T15:55:23Z</cp:lastPrinted>
  <dcterms:created xsi:type="dcterms:W3CDTF">2012-02-28T13:07:32Z</dcterms:created>
  <dcterms:modified xsi:type="dcterms:W3CDTF">2016-06-20T10:06:18Z</dcterms:modified>
</cp:coreProperties>
</file>